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4941" documentId="14_{A48F4B07-3EF3-43E5-91B2-4CA340E6013A}" xr6:coauthVersionLast="47" xr6:coauthVersionMax="47" xr10:uidLastSave="{42A9D698-3421-4AE0-B6F6-C6C2C67AA39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<sst xmlns="http://schemas.openxmlformats.org/spreadsheetml/2006/main" count="135" uniqueCount="97">
  <si>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</si>
  <si>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</si>
  <si>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</si>
  <si>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</si>
  <si>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</si>
  <si>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</si>
  <si>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</si>
  <si>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</si>
  <si>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</si>
  <si>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</si>
  <si>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</si>
  <si>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</si>
  <si>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</si>
  <si>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</si>
  <si>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</si>
  <si>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</si>
  <si>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</si>
  <si>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</si>
  <si>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</si>
  <si>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</si>
  <si>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</si>
  <si>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</si>
  <si>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</si>
  <si>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</si>
  <si>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</si>
  <si>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</si>
  <si>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</si>
  <si>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</si>
  <si>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</si>
  <si>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</si>
  <si>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</si>
  <si>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</si>
  <si>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</si>
  <si>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</si>
  <si>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</si>
  <si>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</si>
  <si>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</si>
  <si>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</si>
  <si>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</si>
  <si>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</si>
  <si>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</si>
  <si>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</si>
  <si>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</si>
  <si>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</si>
  <si>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</si>
  <si>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</si>
  <si>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</si>
  <si>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</si>
  <si>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</si>
  <si>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</si>
  <si>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</si>
  <si>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</si>
  <si>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</si>
  <si>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</si>
  <si>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</si>
  <si>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</si>
  <si>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</si>
  <si>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</si>
  <si>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</si>
  <si>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</si>
  <si>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</si>
  <si>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</si>
  <si>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</si>
  <si>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</si>
  <si>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</si>
  <si>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</si>
  <si>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</si>
  <si>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</si>
  <si>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</si>
  <si>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</si>
  <si>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</si>
  <si>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</si>
  <si>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</si>
  <si>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</si>
  <si>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</si>
  <si>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</si>
  <si>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</si>
  <si>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</si>
  <si>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</si>
  <si>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</si>
  <si>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</si>
  <si>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</si>
  <si>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</si>
  <si>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</si>
  <si>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</si>
  <si>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</si>
  <si>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</si>
  <si>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</si>
  <si>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</si>
  <si>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</si>
  <si>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</si>
  <si>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</si>
  <si>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</si>
  <si>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</si>
  <si>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</si>
  <si>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Market</t>
  </si>
  <si>
    <t>000921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</si>
</sst>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25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3.3000000000000002E-2</c:v>
                </c:pt>
                <c:pt idx="3">
                  <c:v>0.06</c:v>
                </c:pt>
                <c:pt idx="4">
                  <c:v>5.8999999999999997E-2</c:v>
                </c:pt>
                <c:pt idx="5">
                  <c:v>0.19600000000000001</c:v>
                </c:pt>
                <c:pt idx="6">
                  <c:v>9.6000000000000002E-2</c:v>
                </c:pt>
                <c:pt idx="7">
                  <c:v>0</c:v>
                </c:pt>
                <c:pt idx="8">
                  <c:v>0</c:v>
                </c:pt>
                <c:pt idx="9">
                  <c:v>0.19</c:v>
                </c:pt>
                <c:pt idx="10">
                  <c:v>0.02</c:v>
                </c:pt>
                <c:pt idx="11">
                  <c:v>0.11600000000000001</c:v>
                </c:pt>
                <c:pt idx="12">
                  <c:v>0</c:v>
                </c:pt>
                <c:pt idx="13">
                  <c:v>0</c:v>
                </c:pt>
                <c:pt idx="14">
                  <c:v>5.1999999999999998E-2</c:v>
                </c:pt>
                <c:pt idx="15">
                  <c:v>0</c:v>
                </c:pt>
                <c:pt idx="16">
                  <c:v>3.5999999999999997E-2</c:v>
                </c:pt>
                <c:pt idx="17">
                  <c:v>8.0000000000000002E-3</c:v>
                </c:pt>
                <c:pt idx="18">
                  <c:v>0</c:v>
                </c:pt>
                <c:pt idx="19">
                  <c:v>0.10999999999999999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0.71546114480224232</c:v>
                </c:pt>
                <c:pt idx="1">
                  <c:v>0.23592190150885686</c:v>
                </c:pt>
                <c:pt idx="2">
                  <c:v>4.8616953688900844E-2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34" zoomScale="120" zoomScaleNormal="120" workbookViewId="0">
      <selection activeCell="I48" sqref="I48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9" t="s">
        <v>0</v>
      </c>
      <c r="B1" s="109"/>
      <c r="C1" s="12">
        <v>45420</v>
      </c>
      <c r="E1" s="14"/>
      <c r="F1" s="14"/>
      <c r="G1" s="43"/>
      <c r="H1" s="14"/>
      <c r="J1" s="65"/>
      <c r="K1" s="79"/>
    </row>
    <row r="2" spans="1:12" s="13" customFormat="1" x14ac:dyDescent="0.25">
      <c r="A2" s="109" t="s">
        <v>10</v>
      </c>
      <c r="B2" s="109"/>
      <c r="C2" s="15">
        <f>C25/C24</f>
        <v>4.9317591632870013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11" t="s">
        <v>76</v>
      </c>
      <c r="B3" s="112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6" t="s">
        <v>52</v>
      </c>
      <c r="B4" s="57"/>
      <c r="C4" s="15">
        <f>SUM(H28:H28)/C24</f>
        <v>0.13295793782076132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6" t="s">
        <v>86</v>
      </c>
      <c r="B5" s="57"/>
      <c r="C5" s="15">
        <f>SUM(H30:H30)/C24</f>
        <v>0.33508328353665268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6" t="s">
        <v>87</v>
      </c>
      <c r="B6" s="57"/>
      <c r="C6" s="15">
        <f>SUM(H31:H31)/C24</f>
        <v>0.32984755329644028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6" t="s">
        <v>46</v>
      </c>
      <c r="B7" s="57"/>
      <c r="C7" s="15">
        <f>SUM(H32:H33)/C24</f>
        <v>1.088520752647969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11" t="s">
        <v>80</v>
      </c>
      <c r="B8" s="112"/>
      <c r="C8" s="15">
        <f>SUM(H34:H35)/C24</f>
        <v>0.53216342266153238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11" t="s">
        <v>39</v>
      </c>
      <c r="B11" s="112"/>
      <c r="C11" s="15">
        <f>SUM(H36:H52)/C24</f>
        <v>1.0536534430101232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11" t="s">
        <v>60</v>
      </c>
      <c r="B12" s="112"/>
      <c r="C12" s="15">
        <f>SUM(H53:H53)/C24</f>
        <v>0.10985655657627508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11" t="s">
        <v>68</v>
      </c>
      <c r="B13" s="112"/>
      <c r="C13" s="15">
        <f>SUM(H54:H54)/C24</f>
        <v>0.64182050248023947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11" t="s">
        <v>26</v>
      </c>
      <c r="B16" s="112"/>
      <c r="C16" s="15">
        <f>SUM(H55:H56)/C24</f>
        <v>4.1678422281248656E-2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11" t="s">
        <v>25</v>
      </c>
      <c r="B17" s="112"/>
      <c r="C17" s="15">
        <f>SUM(H57:H62)/C24</f>
        <v>0.28610809672539222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10" t="s">
        <v>37</v>
      </c>
      <c r="B19" s="110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11" t="s">
        <v>38</v>
      </c>
      <c r="B20" s="112"/>
      <c r="C20" s="15">
        <f>SUM(H63:H64)/C24</f>
        <v>0.19808868456508785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9" t="s">
        <v>8</v>
      </c>
      <c r="B21" s="109"/>
      <c r="C21" s="18">
        <v>50028435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9" t="s">
        <v>6</v>
      </c>
      <c r="B22" s="109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9" t="s">
        <v>7</v>
      </c>
      <c r="B23" s="109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9" t="s">
        <v>9</v>
      </c>
      <c r="B24" s="109"/>
      <c r="C24" s="18">
        <f>C21+C22-C23</f>
        <v>50028435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10" t="s">
        <v>5</v>
      </c>
      <c r="B25" s="110"/>
      <c r="C25" s="11">
        <f t="array" ref="C25">SUM(ABS(Table132[Target allocation ($)]))</f>
        <v>246728192.73615813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63</v>
      </c>
      <c r="K27" s="92" t="s">
        <v>64</v>
      </c>
    </row>
    <row r="28" spans="1:17" x14ac:dyDescent="0.25">
      <c r="A28" s="44" t="s">
        <v>66</v>
      </c>
      <c r="B28" s="34" t="s">
        <v>14</v>
      </c>
      <c r="C28" s="93">
        <v>141.51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2.395</v>
      </c>
      <c r="H28" s="39">
        <f>Table132[[#This Row],[New position]]*Table132[[#This Row],[Last_Price]]</f>
        <v>6651677.5499999998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3">
        <v>92.9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3.278</v>
      </c>
      <c r="H29" s="39">
        <f>Table132[[#This Row],[New position]]*Table132[[#This Row],[Last_Price]]</f>
        <v>9104200</v>
      </c>
      <c r="I29" s="97"/>
      <c r="J29" s="94"/>
      <c r="K29" s="94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3">
        <v>41.21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6.0350000000000001</v>
      </c>
      <c r="H30" s="39">
        <f>Table132[[#This Row],[New position]]*Table132[[#This Row],[Last_Price]]</f>
        <v>16763692.27</v>
      </c>
      <c r="I30" s="105"/>
      <c r="J30" s="94"/>
      <c r="K30" s="94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3">
        <v>204.26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5.9409999999999998</v>
      </c>
      <c r="H31" s="39">
        <f>Table132[[#This Row],[New position]]*Table132[[#This Row],[Last_Price]]</f>
        <v>16501756.879999999</v>
      </c>
      <c r="I31" s="105"/>
      <c r="J31" s="94"/>
      <c r="K31" s="94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3">
        <v>220.73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16.568000000000001</v>
      </c>
      <c r="H32" s="39">
        <f>Table132[[#This Row],[New position]]*Table132[[#This Row],[Last_Price]]</f>
        <v>46018673.32</v>
      </c>
      <c r="I32" s="27"/>
      <c r="J32" s="94"/>
      <c r="K32" s="94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3">
        <v>903.46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3.0379999999999998</v>
      </c>
      <c r="H33" s="39">
        <f>Table132[[#This Row],[New position]]*Table132[[#This Row],[Last_Price]]</f>
        <v>8438316.4000000004</v>
      </c>
      <c r="I33" s="104"/>
      <c r="J33" s="94"/>
      <c r="K33" s="94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3">
        <v>55.12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5.3010000000000002</v>
      </c>
      <c r="H34" s="39">
        <f>Table132[[#This Row],[New position]]*Table132[[#This Row],[Last_Price]]</f>
        <v>14724646.559999999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3">
        <v>204.36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4.2839999999999998</v>
      </c>
      <c r="H35" s="39">
        <f>Table132[[#This Row],[New position]]*Table132[[#This Row],[Last_Price]]</f>
        <v>11898656.640000001</v>
      </c>
      <c r="I35" s="104"/>
      <c r="J35" s="94"/>
      <c r="K35" s="94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244.34812760055499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7.9000000000000001E-2</v>
      </c>
      <c r="H36" s="39">
        <f>Table132[[#This Row],[New position]]*Table132[[#This Row],[Last_Price]]</f>
        <v>219913.31484049949</v>
      </c>
      <c r="I36" s="52"/>
      <c r="J36" s="94"/>
      <c r="K36" s="95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4.3439667128987498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3.5000000000000003E-2</v>
      </c>
      <c r="H37" s="39">
        <f>Table132[[#This Row],[New position]]*Table132[[#This Row],[Last_Price]]</f>
        <v>98173.647711511745</v>
      </c>
      <c r="I37" s="52"/>
      <c r="J37" s="94"/>
      <c r="K37" s="95"/>
      <c r="L37"/>
      <c r="M37"/>
      <c r="N37"/>
      <c r="O37"/>
      <c r="P37"/>
      <c r="Q37"/>
    </row>
    <row r="38" spans="1:17" x14ac:dyDescent="0.25">
      <c r="A38" s="108" t="s">
        <v>96</v>
      </c>
      <c r="B38" s="44" t="s">
        <v>14</v>
      </c>
      <c r="C38" s="46">
        <v>5.65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6.9000000000000006E-2</v>
      </c>
      <c r="H38" s="39">
        <f>Table132[[#This Row],[New position]]*Table132[[#This Row],[Last_Price]]</f>
        <v>192665</v>
      </c>
      <c r="I38" s="27"/>
      <c r="J38" s="94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46.2404092071611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0.255</v>
      </c>
      <c r="H39" s="39">
        <f>Table132[[#This Row],[New position]]*Table132[[#This Row],[Last_Price]]</f>
        <v>707478.26086956484</v>
      </c>
      <c r="I39" s="52"/>
      <c r="J39" s="94"/>
      <c r="K39" s="94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9.7442455242966695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7.6999999999999999E-2</v>
      </c>
      <c r="H40" s="39">
        <f>Table132[[#This Row],[New position]]*Table132[[#This Row],[Last_Price]]</f>
        <v>214373.40153452673</v>
      </c>
      <c r="I40" s="27"/>
      <c r="J40" s="94"/>
      <c r="K40" s="94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3">
        <v>13.6700767263427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7.6999999999999999E-2</v>
      </c>
      <c r="H41" s="39">
        <f>Table132[[#This Row],[New position]]*Table132[[#This Row],[Last_Price]]</f>
        <v>213253.19693094611</v>
      </c>
      <c r="I41" s="27"/>
      <c r="J41" s="94"/>
      <c r="K41" s="94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3">
        <v>0.93222506393861904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0.90100000000000002</v>
      </c>
      <c r="H42" s="39">
        <f>Table132[[#This Row],[New position]]*Table132[[#This Row],[Last_Price]]</f>
        <v>2502092.0716112535</v>
      </c>
      <c r="I42" s="59"/>
      <c r="J42" s="94"/>
      <c r="K42" s="95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3">
        <v>2.5345268542199499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2.3380000000000001</v>
      </c>
      <c r="H43" s="39">
        <f>Table132[[#This Row],[New position]]*Table132[[#This Row],[Last_Price]]</f>
        <v>6493457.800511512</v>
      </c>
      <c r="I43" s="59"/>
      <c r="J43" s="94"/>
      <c r="K43" s="94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3">
        <v>8.3682864450127905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1.5760000000000001</v>
      </c>
      <c r="H44" s="39">
        <f>Table132[[#This Row],[New position]]*Table132[[#This Row],[Last_Price]]</f>
        <v>4376613.8107416891</v>
      </c>
      <c r="I44" s="59"/>
      <c r="J44" s="94"/>
      <c r="K44" s="94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3">
        <v>1.6585677749360599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0.10100000000000001</v>
      </c>
      <c r="H45" s="39">
        <f>Table132[[#This Row],[New position]]*Table132[[#This Row],[Last_Price]]</f>
        <v>281790.66496163659</v>
      </c>
      <c r="I45" s="59"/>
      <c r="J45" s="94"/>
      <c r="K45" s="94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3">
        <v>11.707161125319701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0.442</v>
      </c>
      <c r="H46" s="39">
        <f>Table132[[#This Row],[New position]]*Table132[[#This Row],[Last_Price]]</f>
        <v>1226910.4859335045</v>
      </c>
      <c r="I46" s="59"/>
      <c r="J46" s="94"/>
      <c r="K46" s="94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3">
        <v>0.45396419437340202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0.38</v>
      </c>
      <c r="H47" s="39">
        <f>Table132[[#This Row],[New position]]*Table132[[#This Row],[Last_Price]]</f>
        <v>1055466.7519181597</v>
      </c>
      <c r="I47" s="59"/>
      <c r="J47" s="94"/>
      <c r="K47" s="94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3">
        <v>4.5204603580562699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3.9E-2</v>
      </c>
      <c r="H48" s="39">
        <f>Table132[[#This Row],[New position]]*Table132[[#This Row],[Last_Price]]</f>
        <v>108491.04859335048</v>
      </c>
      <c r="I48" s="59"/>
      <c r="J48" s="94"/>
      <c r="K48" s="94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3">
        <v>2.2000000000000002</v>
      </c>
      <c r="D49" s="34">
        <v>1022000</v>
      </c>
      <c r="E49" s="34">
        <v>1112000</v>
      </c>
      <c r="F49" s="33">
        <f>Table132[[#This Row],[New position]]-Table132[[#This Row],[Old position]]</f>
        <v>90000</v>
      </c>
      <c r="G49" s="34">
        <f>ROUND(Table132[[#This Row],[Target allocation ($)]]/(IF(G88&gt;0, G67,E67)*C24)*100,3)</f>
        <v>0.88100000000000001</v>
      </c>
      <c r="H49" s="39">
        <f>Table132[[#This Row],[New position]]*Table132[[#This Row],[Last_Price]]</f>
        <v>2446400</v>
      </c>
      <c r="I49" s="27"/>
      <c r="J49" s="94" t="s">
        <v>95</v>
      </c>
      <c r="K49" s="94">
        <v>2.2400000000000002</v>
      </c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3">
        <v>44.42</v>
      </c>
      <c r="D50" s="34">
        <v>191673</v>
      </c>
      <c r="E50" s="34">
        <v>191673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3.0649999999999999</v>
      </c>
      <c r="H50" s="39">
        <f>Table132[[#This Row],[New position]]*Table132[[#This Row],[Last_Price]]</f>
        <v>8514114.6600000001</v>
      </c>
      <c r="I50" s="64"/>
      <c r="J50" s="94"/>
      <c r="K50" s="96"/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37.479999999999997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1.08</v>
      </c>
      <c r="H51" s="39">
        <f>Table132[[#This Row],[New position]]*Table132[[#This Row],[Last_Price]]</f>
        <v>2998399.9999999995</v>
      </c>
      <c r="I51" s="59"/>
      <c r="J51" s="94"/>
      <c r="K51" s="95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3">
        <v>65.69</v>
      </c>
      <c r="D52" s="34">
        <v>320643</v>
      </c>
      <c r="E52" s="34">
        <v>320643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7.5830000000000002</v>
      </c>
      <c r="H52" s="39">
        <f>Table132[[#This Row],[New position]]*Table132[[#This Row],[Last_Price]]</f>
        <v>21063038.669999998</v>
      </c>
      <c r="I52" s="27"/>
      <c r="J52" s="94"/>
      <c r="K52" s="94"/>
      <c r="L52"/>
      <c r="M5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108.65</v>
      </c>
      <c r="D53" s="34">
        <v>50584</v>
      </c>
      <c r="E53" s="34">
        <v>50584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1.9790000000000001</v>
      </c>
      <c r="H53" s="39">
        <f>Table132[[#This Row],[New position]]*Table132[[#This Row],[Last_Price]]</f>
        <v>5495951.6000000006</v>
      </c>
      <c r="I53" s="49"/>
      <c r="J53" s="94"/>
      <c r="K53" s="94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440.39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11.56</v>
      </c>
      <c r="H54" s="39">
        <f>Table132[[#This Row],[New position]]*Table132[[#This Row],[Last_Price]]</f>
        <v>32109275.289999999</v>
      </c>
      <c r="I54" s="98"/>
      <c r="J54" s="94"/>
      <c r="K54" s="94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55.58</v>
      </c>
      <c r="D55" s="34">
        <v>27428</v>
      </c>
      <c r="E55" s="34">
        <v>27428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0.54900000000000004</v>
      </c>
      <c r="H55" s="39">
        <f>Table132[[#This Row],[New position]]*Table132[[#This Row],[Last_Price]]</f>
        <v>1524448.24</v>
      </c>
      <c r="I55" s="99"/>
      <c r="J55" s="94"/>
      <c r="K55" s="94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24.5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0.20200000000000001</v>
      </c>
      <c r="H56" s="39">
        <f>Table132[[#This Row],[New position]]*Table132[[#This Row],[Last_Price]]</f>
        <v>560658</v>
      </c>
      <c r="I56" s="107"/>
      <c r="J56" s="94"/>
      <c r="K56" s="94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79.41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1.038</v>
      </c>
      <c r="H57" s="39">
        <f>Table132[[#This Row],[New position]]*Table132[[#This Row],[Last_Price]]</f>
        <v>2883535.92</v>
      </c>
      <c r="I57" s="26"/>
      <c r="J57" s="96"/>
      <c r="K57" s="94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71.64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0.98899999999999999</v>
      </c>
      <c r="H58" s="39">
        <f>Table132[[#This Row],[New position]]*Table132[[#This Row],[Last_Price]]</f>
        <v>2747394</v>
      </c>
      <c r="I58" s="26"/>
      <c r="J58" s="96"/>
      <c r="K58" s="96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106.75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1.0269999999999999</v>
      </c>
      <c r="H59" s="39">
        <f>Table132[[#This Row],[New position]]*Table132[[#This Row],[Last_Price]]</f>
        <v>2852893.75</v>
      </c>
      <c r="I59" s="53"/>
      <c r="J59" s="96"/>
      <c r="K59" s="95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36.29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1.0229999999999999</v>
      </c>
      <c r="H60" s="39">
        <f>Table132[[#This Row],[New position]]*Table132[[#This Row],[Last_Price]]</f>
        <v>2842377.96</v>
      </c>
      <c r="I60" s="53"/>
      <c r="J60" s="96"/>
      <c r="K60" s="94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17.32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0.71899999999999997</v>
      </c>
      <c r="H61" s="39">
        <f>Table132[[#This Row],[New position]]*Table132[[#This Row],[Last_Price]]</f>
        <v>1996996</v>
      </c>
      <c r="I61" s="53"/>
      <c r="J61" s="94"/>
      <c r="K61" s="94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47.13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0.35699999999999998</v>
      </c>
      <c r="H62" s="39">
        <f>Table132[[#This Row],[New position]]*Table132[[#This Row],[Last_Price]]</f>
        <v>990342.69000000006</v>
      </c>
      <c r="I62" s="53"/>
      <c r="J62" s="96"/>
      <c r="K62" s="94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213.68</v>
      </c>
      <c r="D63" s="34">
        <v>40781</v>
      </c>
      <c r="E63" s="34">
        <v>41716</v>
      </c>
      <c r="F63" s="33">
        <f>Table132[[#This Row],[New position]]-Table132[[#This Row],[Old position]]</f>
        <v>935</v>
      </c>
      <c r="G63" s="34">
        <f>ROUND(Table132[[#This Row],[Target allocation ($)]]/(IF(G88&gt;0, G67,E67)*C24)*100,3)</f>
        <v>3.2090000000000001</v>
      </c>
      <c r="H63" s="39">
        <f>Table132[[#This Row],[New position]]*Table132[[#This Row],[Last_Price]]</f>
        <v>8913874.8800000008</v>
      </c>
      <c r="I63" s="61"/>
      <c r="J63" s="96" t="s">
        <v>95</v>
      </c>
      <c r="K63" s="96">
        <v>214.2</v>
      </c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23.06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0.35899999999999999</v>
      </c>
      <c r="H64" s="39">
        <f>Table132[[#This Row],[New position]]*Table132[[#This Row],[Last_Price]]</f>
        <v>996192</v>
      </c>
      <c r="I64" s="107"/>
      <c r="J64" s="94"/>
      <c r="K64" s="94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8"/>
      <c r="K65" s="82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8"/>
      <c r="K66" s="82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5.5520000000000005</v>
      </c>
      <c r="F67" s="31"/>
      <c r="G67" s="34">
        <v>5.5519999999999996</v>
      </c>
      <c r="H67" s="46"/>
      <c r="I67" s="48"/>
      <c r="J67" s="100" t="s">
        <v>69</v>
      </c>
      <c r="K67" s="81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3"/>
      <c r="J68" s="67" t="s">
        <v>71</v>
      </c>
      <c r="K68" s="103">
        <f>1-SUM(K69:K70)</f>
        <v>0.71546114480224232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2.4E-2</v>
      </c>
      <c r="F69" s="47" t="str">
        <f>Table132[[#This Row],[Symbol]]</f>
        <v>Healthcare</v>
      </c>
      <c r="G69" s="34">
        <f>SUM(H28:H28)/(G67*C24)</f>
        <v>2.3947755371174592E-2</v>
      </c>
      <c r="H69" s="46"/>
      <c r="I69" s="93"/>
      <c r="J69" s="67" t="s">
        <v>72</v>
      </c>
      <c r="K69" s="101">
        <f>SUM(H36:H53)/C25</f>
        <v>0.23592190150885686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3.3000000000000002E-2</v>
      </c>
      <c r="F70" s="47" t="str">
        <f>Table132[[#This Row],[Symbol]]</f>
        <v>Energy</v>
      </c>
      <c r="G70" s="34">
        <f>SUM(H29:H29)/(G67*C24)</f>
        <v>3.2777468963486919E-2</v>
      </c>
      <c r="H70" s="46"/>
      <c r="I70" s="106"/>
      <c r="J70" s="67" t="s">
        <v>73</v>
      </c>
      <c r="K70" s="102">
        <f>(H63+H64+H55+H56)/C25</f>
        <v>4.8616953688900844E-2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0.06</v>
      </c>
      <c r="F71" s="47" t="str">
        <f>Table132[[#This Row],[Symbol]]</f>
        <v>Financials</v>
      </c>
      <c r="G71" s="51">
        <f>SUM(H30:H30)/(G67*C24)</f>
        <v>6.0353617351702575E-2</v>
      </c>
      <c r="H71" s="46"/>
      <c r="I71" s="93"/>
      <c r="J71" s="67"/>
      <c r="K71" s="101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5.8999999999999997E-2</v>
      </c>
      <c r="F72" s="47" t="str">
        <f>Table132[[#This Row],[Symbol]]</f>
        <v>Techs</v>
      </c>
      <c r="G72" s="34">
        <f>SUM(H31:H31)/(G67*C24)</f>
        <v>5.9410582366073536E-2</v>
      </c>
      <c r="H72" s="46"/>
      <c r="I72" s="105"/>
      <c r="K72" s="83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0.19600000000000001</v>
      </c>
      <c r="F73" s="47" t="str">
        <f>Table132[[#This Row],[Symbol]]</f>
        <v>Semiconductor</v>
      </c>
      <c r="G73" s="51">
        <f>SUM(H32:H33)/(G67*C24)</f>
        <v>0.19605921337319326</v>
      </c>
      <c r="H73" s="46"/>
      <c r="I73" s="93"/>
      <c r="J73" s="69"/>
      <c r="K73" s="83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9.6000000000000002E-2</v>
      </c>
      <c r="F74" s="47" t="str">
        <f>Table132[[#This Row],[Symbol]]</f>
        <v>Russell</v>
      </c>
      <c r="G74" s="51">
        <f>SUM(H34:H35)/(G67*C24)</f>
        <v>9.5850760565837967E-2</v>
      </c>
      <c r="H74" s="46"/>
      <c r="I74" s="93"/>
      <c r="J74" s="69"/>
      <c r="K74" s="83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3"/>
      <c r="J75" s="69"/>
      <c r="K75" s="83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9"/>
      <c r="K76" s="83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0.19</v>
      </c>
      <c r="F77" s="47" t="str">
        <f>Table132[[#This Row],[Symbol]]</f>
        <v>Int Stocks</v>
      </c>
      <c r="G77" s="34">
        <f>SUM(H36:H52)/(G67*C24)</f>
        <v>0.18977907835196742</v>
      </c>
      <c r="H77" s="46"/>
      <c r="I77" s="46"/>
      <c r="J77" s="71"/>
      <c r="K77" s="85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0.02</v>
      </c>
      <c r="F78" s="47" t="str">
        <f>Table132[[#This Row],[Symbol]]</f>
        <v>JP Stocks</v>
      </c>
      <c r="G78" s="34">
        <f>SUM(H53:H53)/(G67*C24)</f>
        <v>1.9786843763738307E-2</v>
      </c>
      <c r="H78" s="46"/>
      <c r="I78" s="62"/>
      <c r="J78" s="67"/>
      <c r="K78" s="81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0.11600000000000001</v>
      </c>
      <c r="F79" s="47" t="str">
        <f>Table132[[#This Row],[Symbol]]</f>
        <v>Nasdaq</v>
      </c>
      <c r="G79" s="34">
        <f>SUM(H54)/(G67*C24)</f>
        <v>0.11560167551877512</v>
      </c>
      <c r="H79" s="46"/>
      <c r="I79" s="27"/>
      <c r="J79" s="67"/>
      <c r="K79" s="81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70"/>
      <c r="K80" s="84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7"/>
      <c r="K81" s="81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5.1999999999999998E-2</v>
      </c>
      <c r="F82" s="47" t="str">
        <f>Table132[[#This Row],[Symbol]]</f>
        <v>Bonds</v>
      </c>
      <c r="G82" s="34">
        <f>(SUM(H57:H62))/(G67*C24)</f>
        <v>5.153243817100004E-2</v>
      </c>
      <c r="H82" s="46"/>
      <c r="I82" s="27"/>
      <c r="J82" s="72"/>
      <c r="K82" s="86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3"/>
      <c r="K83" s="80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3.5999999999999997E-2</v>
      </c>
      <c r="F84" s="47" t="str">
        <f>Table132[[#This Row],[Symbol]]</f>
        <v>Gold</v>
      </c>
      <c r="G84" s="34">
        <f>SUM(H63:H64)/(G67*C24)</f>
        <v>3.5678797652213226E-2</v>
      </c>
      <c r="H84" s="34"/>
      <c r="I84" s="28"/>
      <c r="J84" s="74"/>
      <c r="K84" s="87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8.0000000000000002E-3</v>
      </c>
      <c r="F85" s="47" t="str">
        <f>Table132[[#This Row],[Symbol]]</f>
        <v>Commodities</v>
      </c>
      <c r="G85" s="51">
        <f>SUM(H55:H56)/(G67*C24)</f>
        <v>7.5069204397061693E-3</v>
      </c>
      <c r="H85" s="34"/>
      <c r="I85" s="29"/>
      <c r="J85" s="75"/>
      <c r="K85" s="88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7"/>
      <c r="K86" s="81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0.10999999999999999</v>
      </c>
      <c r="F87" s="47" t="str">
        <f>Table132[[#This Row],[Symbol]]</f>
        <v>Cash</v>
      </c>
      <c r="G87" s="51">
        <f>1-SUM(G68:G86)</f>
        <v>0.11171484811113086</v>
      </c>
      <c r="H87" s="34"/>
      <c r="I87" s="27"/>
      <c r="J87" s="76"/>
      <c r="K87" s="89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5503127.8499999996</v>
      </c>
      <c r="F88" s="31"/>
      <c r="G88" s="39">
        <f>C24*G87</f>
        <v>5588919.0172625827</v>
      </c>
      <c r="H88" s="39"/>
      <c r="I88" s="30"/>
      <c r="J88" s="67"/>
      <c r="K88" s="81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7"/>
      <c r="K89" s="81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7"/>
      <c r="K90" s="81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7"/>
      <c r="K91" s="90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2024-05-09T07:44:20Z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