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5097" documentId="14_{A48F4B07-3EF3-43E5-91B2-4CA340E6013A}" xr6:coauthVersionLast="47" xr6:coauthVersionMax="47" xr10:uidLastSave="{77337988-4B9F-4F7F-8AE9-700FE4C0F08A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<sst xmlns="http://schemas.openxmlformats.org/spreadsheetml/2006/main" count="135" uniqueCount="98">
  <si>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</si>
  <si>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</si>
  <si>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</si>
  <si>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</si>
  <si>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</si>
  <si>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</si>
  <si>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</si>
  <si>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</si>
  <si>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</si>
  <si>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</si>
  <si>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</si>
  <si>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</si>
  <si>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</si>
  <si>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</si>
  <si>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</si>
  <si>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</si>
  <si>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</si>
  <si>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</si>
  <si>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</si>
  <si>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</si>
  <si>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</si>
  <si>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</si>
  <si>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</si>
  <si>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</si>
  <si>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</si>
  <si>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</si>
  <si>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</si>
  <si>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</si>
  <si>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</si>
  <si>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</si>
  <si>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</si>
  <si>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</si>
  <si>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</si>
  <si>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</si>
  <si>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</si>
  <si>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</si>
  <si>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</si>
  <si>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</si>
  <si>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</si>
  <si>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</si>
  <si>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</si>
  <si>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</si>
  <si>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</si>
  <si>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</si>
  <si>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</si>
  <si>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</si>
  <si>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</si>
  <si>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</si>
  <si>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</si>
  <si>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</si>
  <si>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</si>
  <si>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</si>
  <si>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</si>
  <si>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</si>
  <si>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</si>
  <si>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</si>
  <si>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</si>
  <si>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</si>
  <si>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</si>
  <si>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</si>
  <si>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</si>
  <si>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</si>
  <si>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</si>
  <si>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</si>
  <si>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</si>
  <si>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</si>
  <si>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</si>
  <si>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</si>
  <si>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</si>
  <si>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</si>
  <si>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</si>
  <si>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</si>
  <si>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</si>
  <si>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</si>
  <si>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</si>
  <si>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</si>
  <si>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</si>
  <si>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</si>
  <si>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</si>
  <si>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</si>
  <si>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</si>
  <si>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</si>
  <si>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</si>
  <si>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</si>
  <si>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</si>
  <si>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</si>
  <si>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</si>
  <si>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</si>
  <si>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</si>
  <si>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</si>
  <si>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</si>
  <si>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</si>
  <si>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</si>
  <si>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</si>
  <si>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</si>
  <si>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</si>
  <si>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Incomplete: 0/47919</t>
  </si>
  <si>
    <t>Incomplete: 0/80161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</si>
</sst>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2.5999999999999999E-2</c:v>
                </c:pt>
                <c:pt idx="2">
                  <c:v>3.5000000000000003E-2</c:v>
                </c:pt>
                <c:pt idx="3">
                  <c:v>6.5000000000000002E-2</c:v>
                </c:pt>
                <c:pt idx="4">
                  <c:v>6.4000000000000001E-2</c:v>
                </c:pt>
                <c:pt idx="5">
                  <c:v>7.6999999999999999E-2</c:v>
                </c:pt>
                <c:pt idx="6">
                  <c:v>0.10299999999999999</c:v>
                </c:pt>
                <c:pt idx="7">
                  <c:v>0</c:v>
                </c:pt>
                <c:pt idx="8">
                  <c:v>0</c:v>
                </c:pt>
                <c:pt idx="9">
                  <c:v>0.17899999999999999</c:v>
                </c:pt>
                <c:pt idx="10">
                  <c:v>1.6E-2</c:v>
                </c:pt>
                <c:pt idx="11">
                  <c:v>0.124</c:v>
                </c:pt>
                <c:pt idx="12">
                  <c:v>0</c:v>
                </c:pt>
                <c:pt idx="13">
                  <c:v>0</c:v>
                </c:pt>
                <c:pt idx="14">
                  <c:v>5.5E-2</c:v>
                </c:pt>
                <c:pt idx="15">
                  <c:v>0</c:v>
                </c:pt>
                <c:pt idx="16">
                  <c:v>4.1000000000000002E-2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0.20999999999999996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0.69483787263142049</c:v>
                </c:pt>
                <c:pt idx="1">
                  <c:v>0.24671058440605154</c:v>
                </c:pt>
                <c:pt idx="2">
                  <c:v>5.8451542962527969E-2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37" zoomScale="120" zoomScaleNormal="120" workbookViewId="0">
      <selection activeCell="I53" sqref="I5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45426</v>
      </c>
      <c r="E1" s="14"/>
      <c r="F1" s="14"/>
      <c r="G1" s="43"/>
      <c r="H1" s="14"/>
      <c r="J1" s="64"/>
      <c r="K1" s="78"/>
    </row>
    <row r="2" spans="1:12" s="13" customFormat="1" x14ac:dyDescent="0.25">
      <c r="A2" s="108" t="s">
        <v>10</v>
      </c>
      <c r="B2" s="108"/>
      <c r="C2" s="15">
        <f>C25/C24</f>
        <v>3.9561619388285023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52</v>
      </c>
      <c r="B4" s="57"/>
      <c r="C4" s="15">
        <f>SUM(H28:H28)/C24</f>
        <v>0.12956184039100885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86</v>
      </c>
      <c r="B5" s="57"/>
      <c r="C5" s="15">
        <f>SUM(H30:H30)/C24</f>
        <v>0.32593846745383082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87</v>
      </c>
      <c r="B6" s="57"/>
      <c r="C6" s="15">
        <f>SUM(H31:H31)/C24</f>
        <v>0.32056820271393999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46</v>
      </c>
      <c r="B7" s="57"/>
      <c r="C7" s="15">
        <f>SUM(H32:H33)/C24</f>
        <v>0.38573477776617598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0" t="s">
        <v>80</v>
      </c>
      <c r="B8" s="111"/>
      <c r="C8" s="15">
        <f>SUM(H34:H35)/C24</f>
        <v>0.51545591702846882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0" t="s">
        <v>39</v>
      </c>
      <c r="B11" s="111"/>
      <c r="C11" s="15">
        <f>SUM(H36:H52)/C24</f>
        <v>0.89448273549110979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0" t="s">
        <v>60</v>
      </c>
      <c r="B12" s="111"/>
      <c r="C12" s="15">
        <f>SUM(H53:H53)/C24</f>
        <v>8.1544288442247898E-2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0" t="s">
        <v>68</v>
      </c>
      <c r="B13" s="111"/>
      <c r="C13" s="15">
        <f>SUM(H54:H54)/C24</f>
        <v>0.62118540374076603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0" t="s">
        <v>26</v>
      </c>
      <c r="B16" s="111"/>
      <c r="C16" s="15">
        <f>SUM(H55:H56)/C24</f>
        <v>2.6190371988509285E-2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0" t="s">
        <v>25</v>
      </c>
      <c r="B17" s="111"/>
      <c r="C17" s="15">
        <f>SUM(H57:H62)/C24</f>
        <v>0.27423204704762305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0" t="s">
        <v>38</v>
      </c>
      <c r="B20" s="111"/>
      <c r="C20" s="15">
        <f>SUM(H63:H64)/C24</f>
        <v>0.20505339754564286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8" t="s">
        <v>8</v>
      </c>
      <c r="B21" s="108"/>
      <c r="C21" s="18">
        <v>52043620.479999997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8" t="s">
        <v>9</v>
      </c>
      <c r="B24" s="108"/>
      <c r="C24" s="18">
        <f>C21+C22-C23</f>
        <v>52043620.479999997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205892990.50181153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63</v>
      </c>
      <c r="K27" s="91" t="s">
        <v>64</v>
      </c>
    </row>
    <row r="28" spans="1:17" x14ac:dyDescent="0.25">
      <c r="A28" s="44" t="s">
        <v>66</v>
      </c>
      <c r="B28" s="34" t="s">
        <v>14</v>
      </c>
      <c r="C28" s="92">
        <v>143.44999999999999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2.5910000000000002</v>
      </c>
      <c r="H28" s="39">
        <f>Table132[[#This Row],[New position]]*Table132[[#This Row],[Last_Price]]</f>
        <v>6742867.2499999991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2">
        <v>93.58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3.524</v>
      </c>
      <c r="H29" s="39">
        <f>Table132[[#This Row],[New position]]*Table132[[#This Row],[Last_Price]]</f>
        <v>9170840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2">
        <v>41.7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6.5190000000000001</v>
      </c>
      <c r="H30" s="39">
        <f>Table132[[#This Row],[New position]]*Table132[[#This Row],[Last_Price]]</f>
        <v>16963017.900000002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2">
        <v>206.51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6.4109999999999996</v>
      </c>
      <c r="H31" s="39">
        <f>Table132[[#This Row],[New position]]*Table132[[#This Row],[Last_Price]]</f>
        <v>16683529.879999999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2">
        <v>223.38</v>
      </c>
      <c r="D32" s="34">
        <v>52121</v>
      </c>
      <c r="E32" s="34">
        <v>52121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4.4740000000000002</v>
      </c>
      <c r="H32" s="39">
        <f>Table132[[#This Row],[New position]]*Table132[[#This Row],[Last_Price]]</f>
        <v>11642788.98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2">
        <v>902.81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3.24</v>
      </c>
      <c r="H33" s="39">
        <f>Table132[[#This Row],[New position]]*Table132[[#This Row],[Last_Price]]</f>
        <v>8432245.4000000004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2">
        <v>55.74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5.7220000000000004</v>
      </c>
      <c r="H34" s="39">
        <f>Table132[[#This Row],[New position]]*Table132[[#This Row],[Last_Price]]</f>
        <v>14890272.120000001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2">
        <v>205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4.5869999999999997</v>
      </c>
      <c r="H35" s="39">
        <f>Table132[[#This Row],[New position]]*Table132[[#This Row],[Last_Price]]</f>
        <v>11935920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236.05963938973599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8.2000000000000003E-2</v>
      </c>
      <c r="H36" s="39">
        <f>Table132[[#This Row],[New position]]*Table132[[#This Row],[Last_Price]]</f>
        <v>212453.67545076238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4.4882108183079099</v>
      </c>
      <c r="D37" s="34">
        <v>22600</v>
      </c>
      <c r="E37" s="34">
        <v>22600</v>
      </c>
      <c r="F37" s="33">
        <f>ROUND(Table132[[#This Row],[New position]]-Table132[[#This Row],[Old position]], -2)</f>
        <v>0</v>
      </c>
      <c r="G37" s="34">
        <f>ROUND(Table132[[#This Row],[Target allocation ($)]]/(IF(G88&gt;0, G67,E67)*C24)*100,3)</f>
        <v>3.9E-2</v>
      </c>
      <c r="H37" s="39">
        <f>Table132[[#This Row],[New position]]*Table132[[#This Row],[Last_Price]]</f>
        <v>101433.56449375876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95</v>
      </c>
      <c r="B38" s="44" t="s">
        <v>14</v>
      </c>
      <c r="C38" s="46">
        <v>5.83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7.5999999999999998E-2</v>
      </c>
      <c r="H38" s="39">
        <f>Table132[[#This Row],[New position]]*Table132[[#This Row],[Last_Price]]</f>
        <v>198803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48.925831202045998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0.28799999999999998</v>
      </c>
      <c r="H39" s="39">
        <f>Table132[[#This Row],[New position]]*Table132[[#This Row],[Last_Price]]</f>
        <v>748565.21739130374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10.581841432225101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8.8999999999999996E-2</v>
      </c>
      <c r="H40" s="39">
        <f>Table132[[#This Row],[New position]]*Table132[[#This Row],[Last_Price]]</f>
        <v>232800.51150895222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13.964194373401501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8.4000000000000005E-2</v>
      </c>
      <c r="H41" s="39">
        <f>Table132[[#This Row],[New position]]*Table132[[#This Row],[Last_Price]]</f>
        <v>217841.43222506341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0.96419437340153402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0.995</v>
      </c>
      <c r="H42" s="39">
        <f>Table132[[#This Row],[New position]]*Table132[[#This Row],[Last_Price]]</f>
        <v>2587897.6982097174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2.50383631713555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2.4649999999999999</v>
      </c>
      <c r="H43" s="39">
        <f>Table132[[#This Row],[New position]]*Table132[[#This Row],[Last_Price]]</f>
        <v>6414828.6445012791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8.7391304347826093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1.756</v>
      </c>
      <c r="H44" s="39">
        <f>Table132[[#This Row],[New position]]*Table132[[#This Row],[Last_Price]]</f>
        <v>4570565.2173913047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1.64961636828645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0.29699999999999999</v>
      </c>
      <c r="H45" s="39">
        <f>Table132[[#This Row],[New position]]*Table132[[#This Row],[Last_Price]]</f>
        <v>773505.11508951639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11.476982097186699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0.46200000000000002</v>
      </c>
      <c r="H46" s="39">
        <f>Table132[[#This Row],[New position]]*Table132[[#This Row],[Last_Price]]</f>
        <v>1202787.7237851662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0.47058823529411797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0.42</v>
      </c>
      <c r="H47" s="39">
        <f>Table132[[#This Row],[New position]]*Table132[[#This Row],[Last_Price]]</f>
        <v>1094117.6470588243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4.8081841432225101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4.3999999999999997E-2</v>
      </c>
      <c r="H48" s="39">
        <f>Table132[[#This Row],[New position]]*Table132[[#This Row],[Last_Price]]</f>
        <v>115396.41943734024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2.3452685421994901</v>
      </c>
      <c r="D49" s="34">
        <v>1286000</v>
      </c>
      <c r="E49" s="34">
        <v>1286000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1.159</v>
      </c>
      <c r="H49" s="39">
        <f>Table132[[#This Row],[New position]]*Table132[[#This Row],[Last_Price]]</f>
        <v>3016015.3452685443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2">
        <v>44.21</v>
      </c>
      <c r="D50" s="34">
        <v>191673</v>
      </c>
      <c r="E50" s="34">
        <v>143754</v>
      </c>
      <c r="F50" s="33">
        <f>Table132[[#This Row],[New position]]-Table132[[#This Row],[Old position]]</f>
        <v>-47919</v>
      </c>
      <c r="G50" s="34">
        <f>ROUND(Table132[[#This Row],[Target allocation ($)]]/(IF(G88&gt;0, G67,E67)*C24)*100,3)</f>
        <v>2.4420000000000002</v>
      </c>
      <c r="H50" s="39">
        <f>Table132[[#This Row],[New position]]*Table132[[#This Row],[Last_Price]]</f>
        <v>6355364.3399999999</v>
      </c>
      <c r="I50" s="27" t="s">
        <v>96</v>
      </c>
      <c r="J50" s="93">
        <v>44.9</v>
      </c>
      <c r="K50" s="95">
        <v>0</v>
      </c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38.39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1.18</v>
      </c>
      <c r="H51" s="39">
        <f>Table132[[#This Row],[New position]]*Table132[[#This Row],[Last_Price]]</f>
        <v>3071200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2">
        <v>65.03</v>
      </c>
      <c r="D52" s="34">
        <v>320643</v>
      </c>
      <c r="E52" s="34">
        <v>240482</v>
      </c>
      <c r="F52" s="33">
        <f>Table132[[#This Row],[New position]]-Table132[[#This Row],[Old position]]</f>
        <v>-80161</v>
      </c>
      <c r="G52" s="34">
        <f>ROUND(Table132[[#This Row],[Target allocation ($)]]/(IF(G88&gt;0, G67,E67)*C24)*100,3)</f>
        <v>6.01</v>
      </c>
      <c r="H52" s="39">
        <f>Table132[[#This Row],[New position]]*Table132[[#This Row],[Last_Price]]</f>
        <v>15638544.460000001</v>
      </c>
      <c r="I52" s="27" t="s">
        <v>97</v>
      </c>
      <c r="J52" s="93">
        <v>65.83</v>
      </c>
      <c r="K52" s="93">
        <v>0</v>
      </c>
      <c r="L52"/>
      <c r="M5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108.4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1.631</v>
      </c>
      <c r="H53" s="39">
        <f>Table132[[#This Row],[New position]]*Table132[[#This Row],[Last_Price]]</f>
        <v>4243860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443.4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12.423999999999999</v>
      </c>
      <c r="H54" s="39">
        <f>Table132[[#This Row],[New position]]*Table132[[#This Row],[Last_Price]]</f>
        <v>32328737.399999999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54.09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0.317</v>
      </c>
      <c r="H55" s="39">
        <f>Table132[[#This Row],[New position]]*Table132[[#This Row],[Last_Price]]</f>
        <v>825954.3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23.47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0.20599999999999999</v>
      </c>
      <c r="H56" s="39">
        <f>Table132[[#This Row],[New position]]*Table132[[#This Row],[Last_Price]]</f>
        <v>537087.48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79.17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1.105</v>
      </c>
      <c r="H57" s="39">
        <f>Table132[[#This Row],[New position]]*Table132[[#This Row],[Last_Price]]</f>
        <v>2874821.04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71.59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1.0549999999999999</v>
      </c>
      <c r="H58" s="39">
        <f>Table132[[#This Row],[New position]]*Table132[[#This Row],[Last_Price]]</f>
        <v>2745476.5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106.35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1.0920000000000001</v>
      </c>
      <c r="H59" s="39">
        <f>Table132[[#This Row],[New position]]*Table132[[#This Row],[Last_Price]]</f>
        <v>2842203.75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36.15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1.0880000000000001</v>
      </c>
      <c r="H60" s="39">
        <f>Table132[[#This Row],[New position]]*Table132[[#This Row],[Last_Price]]</f>
        <v>2831412.6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17.239999999999998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0.76400000000000001</v>
      </c>
      <c r="H61" s="39">
        <f>Table132[[#This Row],[New position]]*Table132[[#This Row],[Last_Price]]</f>
        <v>1987771.9999999998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47.13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0.38100000000000001</v>
      </c>
      <c r="H62" s="39">
        <f>Table132[[#This Row],[New position]]*Table132[[#This Row],[Last_Price]]</f>
        <v>990342.69000000006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217.2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3.7130000000000001</v>
      </c>
      <c r="H63" s="39">
        <f>Table132[[#This Row],[New position]]*Table132[[#This Row],[Last_Price]]</f>
        <v>9661273.1999999993</v>
      </c>
      <c r="I63" s="61"/>
      <c r="J63" s="93"/>
      <c r="K63" s="95"/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23.39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0.38800000000000001</v>
      </c>
      <c r="H64" s="39">
        <f>Table132[[#This Row],[New position]]*Table132[[#This Row],[Last_Price]]</f>
        <v>1010448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</v>
      </c>
      <c r="F67" s="31"/>
      <c r="G67" s="34">
        <v>5</v>
      </c>
      <c r="H67" s="46"/>
      <c r="I67" s="48"/>
      <c r="J67" s="99" t="s">
        <v>69</v>
      </c>
      <c r="K67" s="80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71</v>
      </c>
      <c r="K68" s="102">
        <f>1-SUM(K69:K70)</f>
        <v>0.69483787263142049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2.5999999999999999E-2</v>
      </c>
      <c r="F69" s="47" t="str">
        <f>Table132[[#This Row],[Symbol]]</f>
        <v>Healthcare</v>
      </c>
      <c r="G69" s="34">
        <f>SUM(H28:H28)/(G67*C24)</f>
        <v>2.591236807820177E-2</v>
      </c>
      <c r="H69" s="46"/>
      <c r="I69" s="92"/>
      <c r="J69" s="66" t="s">
        <v>72</v>
      </c>
      <c r="K69" s="100">
        <f>SUM(H36:H53)/C25</f>
        <v>0.24671058440605154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3.5000000000000003E-2</v>
      </c>
      <c r="F70" s="47" t="str">
        <f>Table132[[#This Row],[Symbol]]</f>
        <v>Energy</v>
      </c>
      <c r="G70" s="34">
        <f>SUM(H29:H29)/(G67*C24)</f>
        <v>3.5242897843835788E-2</v>
      </c>
      <c r="H70" s="46"/>
      <c r="I70" s="105"/>
      <c r="J70" s="66" t="s">
        <v>73</v>
      </c>
      <c r="K70" s="101">
        <f>(H63+H64+H55+H56)/C25</f>
        <v>5.8451542962527969E-2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6.5000000000000002E-2</v>
      </c>
      <c r="F71" s="47" t="str">
        <f>Table132[[#This Row],[Symbol]]</f>
        <v>Financials</v>
      </c>
      <c r="G71" s="51">
        <f>SUM(H30:H30)/(G67*C24)</f>
        <v>6.5187693490766169E-2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6.4000000000000001E-2</v>
      </c>
      <c r="F72" s="47" t="str">
        <f>Table132[[#This Row],[Symbol]]</f>
        <v>Techs</v>
      </c>
      <c r="G72" s="34">
        <f>SUM(H31:H31)/(G67*C24)</f>
        <v>6.4113640542788009E-2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7.6999999999999999E-2</v>
      </c>
      <c r="F73" s="47" t="str">
        <f>Table132[[#This Row],[Symbol]]</f>
        <v>Semiconductor</v>
      </c>
      <c r="G73" s="51">
        <f>SUM(H32:H33)/(G67*C24)</f>
        <v>7.7146955553235197E-2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0.10299999999999999</v>
      </c>
      <c r="F74" s="47" t="str">
        <f>Table132[[#This Row],[Symbol]]</f>
        <v>Russell</v>
      </c>
      <c r="G74" s="51">
        <f>SUM(H34:H35)/(G67*C24)</f>
        <v>0.10309118340569377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0.17899999999999999</v>
      </c>
      <c r="F77" s="47" t="str">
        <f>Table132[[#This Row],[Symbol]]</f>
        <v>Int Stocks</v>
      </c>
      <c r="G77" s="34">
        <f>SUM(H36:H52)/(G67*C24)</f>
        <v>0.17889654709822195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1.6E-2</v>
      </c>
      <c r="F78" s="47" t="str">
        <f>Table132[[#This Row],[Symbol]]</f>
        <v>JP Stocks</v>
      </c>
      <c r="G78" s="34">
        <f>SUM(H53:H53)/(G67*C24)</f>
        <v>1.6308857688449582E-2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0.124</v>
      </c>
      <c r="F79" s="47" t="str">
        <f>Table132[[#This Row],[Symbol]]</f>
        <v>Nasdaq</v>
      </c>
      <c r="G79" s="34">
        <f>SUM(H54)/(G67*C24)</f>
        <v>0.12423708074815322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5.5E-2</v>
      </c>
      <c r="F82" s="47" t="str">
        <f>Table132[[#This Row],[Symbol]]</f>
        <v>Bonds</v>
      </c>
      <c r="G82" s="34">
        <f>(SUM(H57:H62))/(G67*C24)</f>
        <v>5.4846409409524614E-2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4.1000000000000002E-2</v>
      </c>
      <c r="F84" s="47" t="str">
        <f>Table132[[#This Row],[Symbol]]</f>
        <v>Gold</v>
      </c>
      <c r="G84" s="34">
        <f>SUM(H63:H64)/(G67*C24)</f>
        <v>4.1010679509128574E-2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5.0000000000000001E-3</v>
      </c>
      <c r="F85" s="47" t="str">
        <f>Table132[[#This Row],[Symbol]]</f>
        <v>Commodities</v>
      </c>
      <c r="G85" s="51">
        <f>SUM(H55:H56)/(G67*C24)</f>
        <v>5.2380743977018572E-3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0.20999999999999996</v>
      </c>
      <c r="F87" s="47" t="str">
        <f>Table132[[#This Row],[Symbol]]</f>
        <v>Cash</v>
      </c>
      <c r="G87" s="51">
        <f>1-SUM(G68:G86)</f>
        <v>0.20876761223429952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10929160.300799998</v>
      </c>
      <c r="F88" s="31"/>
      <c r="G88" s="39">
        <f>C24*G87</f>
        <v>10865022.379637688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2024-05-15T00:45:18Z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