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5-2024/"/>
    </mc:Choice>
  </mc:AlternateContent>
  <xr:revisionPtr revIDLastSave="5117" documentId="14_{A48F4B07-3EF3-43E5-91B2-4CA340E6013A}" xr6:coauthVersionLast="47" xr6:coauthVersionMax="47" xr10:uidLastSave="{9C8AF1AF-8586-47EC-9C9A-F505C89D9139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3" l="1"/>
  <c r="F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G36" i="3" l="1"/>
  <c r="G37" i="3"/>
  <c r="E67" i="3"/>
  <c r="G41" i="3" s="1"/>
  <c r="G64" i="3"/>
  <c r="G47" i="3" l="1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sharedStrings.xml><?xml version="1.0" encoding="utf-8"?>
<sst xmlns="http://schemas.openxmlformats.org/spreadsheetml/2006/main" count="133" uniqueCount="96">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</sst>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3.4000000000000002E-2</c:v>
                </c:pt>
                <c:pt idx="3">
                  <c:v>6.4000000000000001E-2</c:v>
                </c:pt>
                <c:pt idx="4">
                  <c:v>6.3E-2</c:v>
                </c:pt>
                <c:pt idx="5">
                  <c:v>7.5999999999999998E-2</c:v>
                </c:pt>
                <c:pt idx="6">
                  <c:v>0.10100000000000001</c:v>
                </c:pt>
                <c:pt idx="7">
                  <c:v>0</c:v>
                </c:pt>
                <c:pt idx="8">
                  <c:v>0</c:v>
                </c:pt>
                <c:pt idx="9">
                  <c:v>0.17499999999999999</c:v>
                </c:pt>
                <c:pt idx="10">
                  <c:v>1.6E-2</c:v>
                </c:pt>
                <c:pt idx="11">
                  <c:v>0.121</c:v>
                </c:pt>
                <c:pt idx="12">
                  <c:v>0</c:v>
                </c:pt>
                <c:pt idx="13">
                  <c:v>0</c:v>
                </c:pt>
                <c:pt idx="14">
                  <c:v>5.2999999999999999E-2</c:v>
                </c:pt>
                <c:pt idx="15">
                  <c:v>0</c:v>
                </c:pt>
                <c:pt idx="16">
                  <c:v>0.04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0.22699999999999987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0.6947486850899629</c:v>
                </c:pt>
                <c:pt idx="1">
                  <c:v>0.24676563950248076</c:v>
                </c:pt>
                <c:pt idx="2">
                  <c:v>5.8485675407556302E-2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zoomScale="115" zoomScaleNormal="115" workbookViewId="0">
      <selection activeCell="C2" sqref="C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4.85546875" bestFit="1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3" width="14.42578125" style="1" bestFit="1" customWidth="1"/>
    <col min="14" max="16384" width="9.140625" style="1"/>
  </cols>
  <sheetData>
    <row r="1" spans="1:12" s="13" customFormat="1" ht="12.75" x14ac:dyDescent="0.25">
      <c r="A1" s="108" t="s">
        <v>0</v>
      </c>
      <c r="B1" s="108"/>
      <c r="C1" s="12">
        <v>45427</v>
      </c>
      <c r="E1" s="14"/>
      <c r="F1" s="14"/>
      <c r="G1" s="43"/>
      <c r="H1" s="14"/>
      <c r="J1" s="64"/>
      <c r="K1" s="78"/>
    </row>
    <row r="2" spans="1:12" s="13" customFormat="1" x14ac:dyDescent="0.25">
      <c r="A2" s="108" t="s">
        <v>10</v>
      </c>
      <c r="B2" s="108"/>
      <c r="C2" s="15">
        <f>C25/C24</f>
        <v>3.8728301553612168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52</v>
      </c>
      <c r="B4" s="57"/>
      <c r="C4" s="15">
        <f>SUM(H28:H28)/C24</f>
        <v>0.12651096235112216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86</v>
      </c>
      <c r="B5" s="57"/>
      <c r="C5" s="15">
        <f>SUM(H30:H30)/C24</f>
        <v>0.3182837236573573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87</v>
      </c>
      <c r="B6" s="57"/>
      <c r="C6" s="15">
        <f>SUM(H31:H31)/C24</f>
        <v>0.31445623372999121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46</v>
      </c>
      <c r="B7" s="57"/>
      <c r="C7" s="15">
        <f>SUM(H32:H33)/C24</f>
        <v>0.38030692776146913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0" t="s">
        <v>80</v>
      </c>
      <c r="B8" s="111"/>
      <c r="C8" s="15">
        <f>SUM(H34:H35)/C24</f>
        <v>0.50483096670405236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0" t="s">
        <v>39</v>
      </c>
      <c r="B11" s="111"/>
      <c r="C11" s="15">
        <f>SUM(H36:H52)/C24</f>
        <v>0.87589708268655608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0" t="s">
        <v>60</v>
      </c>
      <c r="B12" s="111"/>
      <c r="C12" s="15">
        <f>SUM(H53:H53)/C24</f>
        <v>7.9784327285646495E-2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0" t="s">
        <v>68</v>
      </c>
      <c r="B13" s="111"/>
      <c r="C13" s="15">
        <f>SUM(H54:H54)/C24</f>
        <v>0.60732690019903923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0" t="s">
        <v>26</v>
      </c>
      <c r="B16" s="111"/>
      <c r="C16" s="15">
        <f>SUM(H55:H56)/C24</f>
        <v>2.5677809810714575E-2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0" t="s">
        <v>25</v>
      </c>
      <c r="B17" s="111"/>
      <c r="C17" s="15">
        <f>SUM(H57:H62)/C24</f>
        <v>0.26737176711067256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0" t="s">
        <v>38</v>
      </c>
      <c r="B20" s="111"/>
      <c r="C20" s="15">
        <f>SUM(H63:H64)/C24</f>
        <v>0.20082727756433738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8" t="s">
        <v>8</v>
      </c>
      <c r="B21" s="108"/>
      <c r="C21" s="18">
        <v>53525324.399999999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8" t="s">
        <v>9</v>
      </c>
      <c r="B24" s="108"/>
      <c r="C24" s="18">
        <f>C21+C22-C23</f>
        <v>53525324.399999999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207294490.41181153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63</v>
      </c>
      <c r="K27" s="91" t="s">
        <v>64</v>
      </c>
    </row>
    <row r="28" spans="1:17" x14ac:dyDescent="0.25">
      <c r="A28" s="44" t="s">
        <v>66</v>
      </c>
      <c r="B28" s="34" t="s">
        <v>14</v>
      </c>
      <c r="C28" s="92">
        <v>144.06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2.5299999999999998</v>
      </c>
      <c r="H28" s="39">
        <f>Table132[[#This Row],[New position]]*Table132[[#This Row],[Last_Price]]</f>
        <v>6771540.2999999998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2">
        <v>93.7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3.431</v>
      </c>
      <c r="H29" s="39">
        <f>Table132[[#This Row],[New position]]*Table132[[#This Row],[Last_Price]]</f>
        <v>9182600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2">
        <v>41.88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6.3659999999999997</v>
      </c>
      <c r="H30" s="39">
        <f>Table132[[#This Row],[New position]]*Table132[[#This Row],[Last_Price]]</f>
        <v>17036239.560000002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2">
        <v>208.34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6.2889999999999997</v>
      </c>
      <c r="H31" s="39">
        <f>Table132[[#This Row],[New position]]*Table132[[#This Row],[Last_Price]]</f>
        <v>16831371.920000002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2">
        <v>227.08</v>
      </c>
      <c r="D32" s="34">
        <v>52121</v>
      </c>
      <c r="E32" s="34">
        <v>52121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4.4219999999999997</v>
      </c>
      <c r="H32" s="39">
        <f>Table132[[#This Row],[New position]]*Table132[[#This Row],[Last_Price]]</f>
        <v>11835636.680000002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2">
        <v>912.25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3.1840000000000002</v>
      </c>
      <c r="H33" s="39">
        <f>Table132[[#This Row],[New position]]*Table132[[#This Row],[Last_Price]]</f>
        <v>8520415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2">
        <v>55.91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5.5810000000000004</v>
      </c>
      <c r="H34" s="39">
        <f>Table132[[#This Row],[New position]]*Table132[[#This Row],[Last_Price]]</f>
        <v>14935685.579999998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2">
        <v>207.57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4.516</v>
      </c>
      <c r="H35" s="39">
        <f>Table132[[#This Row],[New position]]*Table132[[#This Row],[Last_Price]]</f>
        <v>12085555.68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236.05963938973599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7.9000000000000001E-2</v>
      </c>
      <c r="H36" s="39">
        <f>Table132[[#This Row],[New position]]*Table132[[#This Row],[Last_Price]]</f>
        <v>212453.67545076238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4.4882108183079099</v>
      </c>
      <c r="D37" s="34">
        <v>22600</v>
      </c>
      <c r="E37" s="34">
        <v>22600</v>
      </c>
      <c r="F37" s="33">
        <f>ROUND(Table132[[#This Row],[New position]]-Table132[[#This Row],[Old position]], -2)</f>
        <v>0</v>
      </c>
      <c r="G37" s="34">
        <f>ROUND(Table132[[#This Row],[Target allocation ($)]]/(IF(G88&gt;0, G67,E67)*C24)*100,3)</f>
        <v>3.7999999999999999E-2</v>
      </c>
      <c r="H37" s="39">
        <f>Table132[[#This Row],[New position]]*Table132[[#This Row],[Last_Price]]</f>
        <v>101433.56449375876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95</v>
      </c>
      <c r="B38" s="44" t="s">
        <v>14</v>
      </c>
      <c r="C38" s="46">
        <v>5.77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7.3999999999999996E-2</v>
      </c>
      <c r="H38" s="39">
        <f>Table132[[#This Row],[New position]]*Table132[[#This Row],[Last_Price]]</f>
        <v>196757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48.925831202045998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0.28000000000000003</v>
      </c>
      <c r="H39" s="39">
        <f>Table132[[#This Row],[New position]]*Table132[[#This Row],[Last_Price]]</f>
        <v>748565.21739130374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10.581841432225101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8.6999999999999994E-2</v>
      </c>
      <c r="H40" s="39">
        <f>Table132[[#This Row],[New position]]*Table132[[#This Row],[Last_Price]]</f>
        <v>232800.51150895222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13.964194373401501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8.1000000000000003E-2</v>
      </c>
      <c r="H41" s="39">
        <f>Table132[[#This Row],[New position]]*Table132[[#This Row],[Last_Price]]</f>
        <v>217841.43222506341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0.96419437340153402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0.96699999999999997</v>
      </c>
      <c r="H42" s="39">
        <f>Table132[[#This Row],[New position]]*Table132[[#This Row],[Last_Price]]</f>
        <v>2587897.6982097174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2.50383631713555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2.3969999999999998</v>
      </c>
      <c r="H43" s="39">
        <f>Table132[[#This Row],[New position]]*Table132[[#This Row],[Last_Price]]</f>
        <v>6414828.6445012791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8.7391304347826093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1.708</v>
      </c>
      <c r="H44" s="39">
        <f>Table132[[#This Row],[New position]]*Table132[[#This Row],[Last_Price]]</f>
        <v>4570565.2173913047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1.64961636828645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0.28899999999999998</v>
      </c>
      <c r="H45" s="39">
        <f>Table132[[#This Row],[New position]]*Table132[[#This Row],[Last_Price]]</f>
        <v>773505.11508951639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11.476982097186699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0.44900000000000001</v>
      </c>
      <c r="H46" s="39">
        <f>Table132[[#This Row],[New position]]*Table132[[#This Row],[Last_Price]]</f>
        <v>1202787.7237851662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0.47058823529411797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0.40899999999999997</v>
      </c>
      <c r="H47" s="39">
        <f>Table132[[#This Row],[New position]]*Table132[[#This Row],[Last_Price]]</f>
        <v>1094117.6470588243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4.8081841432225101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4.2999999999999997E-2</v>
      </c>
      <c r="H48" s="39">
        <f>Table132[[#This Row],[New position]]*Table132[[#This Row],[Last_Price]]</f>
        <v>115396.41943734024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2.3452685421994901</v>
      </c>
      <c r="D49" s="34">
        <v>1286000</v>
      </c>
      <c r="E49" s="34">
        <v>1286000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1.127</v>
      </c>
      <c r="H49" s="39">
        <f>Table132[[#This Row],[New position]]*Table132[[#This Row],[Last_Price]]</f>
        <v>3016015.3452685443</v>
      </c>
      <c r="I49" s="27"/>
      <c r="J49" s="93"/>
      <c r="K49" s="93"/>
      <c r="L49"/>
      <c r="N49"/>
      <c r="O49"/>
      <c r="P49"/>
      <c r="Q49"/>
    </row>
    <row r="50" spans="1:17" x14ac:dyDescent="0.25">
      <c r="A50" s="34" t="s">
        <v>62</v>
      </c>
      <c r="B50" s="34" t="s">
        <v>14</v>
      </c>
      <c r="C50" s="92">
        <v>44.79</v>
      </c>
      <c r="D50" s="34">
        <v>191673</v>
      </c>
      <c r="E50" s="34">
        <v>143754</v>
      </c>
      <c r="F50" s="33">
        <f>Table132[[#This Row],[New position]]-Table132[[#This Row],[Old position]]</f>
        <v>-47919</v>
      </c>
      <c r="G50" s="34">
        <f>ROUND(Table132[[#This Row],[Target allocation ($)]]/(IF(G88&gt;0, G67,E67)*C24)*100,3)</f>
        <v>2.4060000000000001</v>
      </c>
      <c r="H50" s="39">
        <f>Table132[[#This Row],[New position]]*Table132[[#This Row],[Last_Price]]</f>
        <v>6438741.6600000001</v>
      </c>
      <c r="I50" s="27"/>
      <c r="J50" s="93">
        <v>45</v>
      </c>
      <c r="K50" s="95">
        <v>45.04</v>
      </c>
      <c r="L50"/>
      <c r="M50"/>
      <c r="N50"/>
      <c r="O50"/>
      <c r="P50"/>
      <c r="Q50"/>
    </row>
    <row r="51" spans="1:17" x14ac:dyDescent="0.25">
      <c r="A51" s="34" t="s">
        <v>91</v>
      </c>
      <c r="B51" s="34" t="s">
        <v>14</v>
      </c>
      <c r="C51" s="46">
        <v>38.86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1.1619999999999999</v>
      </c>
      <c r="H51" s="39">
        <f>Table132[[#This Row],[New position]]*Table132[[#This Row],[Last_Price]]</f>
        <v>3108800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57</v>
      </c>
      <c r="B52" s="34" t="s">
        <v>14</v>
      </c>
      <c r="C52" s="92">
        <v>65.91</v>
      </c>
      <c r="D52" s="34">
        <v>320643</v>
      </c>
      <c r="E52" s="34">
        <v>240482</v>
      </c>
      <c r="F52" s="33">
        <f>Table132[[#This Row],[New position]]-Table132[[#This Row],[Old position]]</f>
        <v>-80161</v>
      </c>
      <c r="G52" s="34">
        <f>ROUND(Table132[[#This Row],[Target allocation ($)]]/(IF(G88&gt;0, G67,E67)*C24)*100,3)</f>
        <v>5.9219999999999997</v>
      </c>
      <c r="H52" s="39">
        <f>Table132[[#This Row],[New position]]*Table132[[#This Row],[Last_Price]]</f>
        <v>15850168.619999999</v>
      </c>
      <c r="I52" s="27"/>
      <c r="J52" s="93">
        <v>66.5</v>
      </c>
      <c r="K52" s="93">
        <v>66.73</v>
      </c>
      <c r="L52" s="42"/>
      <c r="M52" s="42"/>
      <c r="N52"/>
      <c r="O52"/>
      <c r="P52"/>
      <c r="Q52"/>
    </row>
    <row r="53" spans="1:17" x14ac:dyDescent="0.25">
      <c r="A53" s="44" t="s">
        <v>58</v>
      </c>
      <c r="B53" s="34" t="s">
        <v>14</v>
      </c>
      <c r="C53" s="46">
        <v>109.08</v>
      </c>
      <c r="D53" s="34">
        <v>39150</v>
      </c>
      <c r="E53" s="34">
        <v>39150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1.5960000000000001</v>
      </c>
      <c r="H53" s="39">
        <f>Table132[[#This Row],[New position]]*Table132[[#This Row],[Last_Price]]</f>
        <v>4270482</v>
      </c>
      <c r="I53" s="49"/>
      <c r="J53" s="93"/>
      <c r="K53" s="93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445.85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12.147</v>
      </c>
      <c r="H54" s="39">
        <f>Table132[[#This Row],[New position]]*Table132[[#This Row],[Last_Price]]</f>
        <v>32507369.350000001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31</v>
      </c>
      <c r="B55" s="34" t="s">
        <v>14</v>
      </c>
      <c r="C55" s="46">
        <v>54.49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0.311</v>
      </c>
      <c r="H55" s="39">
        <f>Table132[[#This Row],[New position]]*Table132[[#This Row],[Last_Price]]</f>
        <v>832062.3</v>
      </c>
      <c r="I55" s="98"/>
      <c r="J55" s="93"/>
      <c r="K55" s="93"/>
      <c r="L55"/>
      <c r="M55"/>
      <c r="N55"/>
      <c r="O55"/>
      <c r="P55"/>
      <c r="Q55"/>
    </row>
    <row r="56" spans="1:17" x14ac:dyDescent="0.25">
      <c r="A56" s="44" t="s">
        <v>94</v>
      </c>
      <c r="B56" s="34" t="s">
        <v>14</v>
      </c>
      <c r="C56" s="46">
        <v>23.7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0.20300000000000001</v>
      </c>
      <c r="H56" s="39">
        <f>Table132[[#This Row],[New position]]*Table132[[#This Row],[Last_Price]]</f>
        <v>542350.79999999993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79.36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1.077</v>
      </c>
      <c r="H57" s="39">
        <f>Table132[[#This Row],[New position]]*Table132[[#This Row],[Last_Price]]</f>
        <v>2881720.3199999998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72.069999999999993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1.0329999999999999</v>
      </c>
      <c r="H58" s="39">
        <f>Table132[[#This Row],[New position]]*Table132[[#This Row],[Last_Price]]</f>
        <v>2763884.4999999995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42</v>
      </c>
      <c r="B59" s="44" t="s">
        <v>14</v>
      </c>
      <c r="C59" s="46">
        <v>106.66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1.0649999999999999</v>
      </c>
      <c r="H59" s="39">
        <f>Table132[[#This Row],[New position]]*Table132[[#This Row],[Last_Price]]</f>
        <v>2850488.5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47</v>
      </c>
      <c r="B60" s="44" t="s">
        <v>14</v>
      </c>
      <c r="C60" s="46">
        <v>36.21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1.06</v>
      </c>
      <c r="H60" s="39">
        <f>Table132[[#This Row],[New position]]*Table132[[#This Row],[Last_Price]]</f>
        <v>2836112.04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92</v>
      </c>
      <c r="B61" s="44" t="s">
        <v>14</v>
      </c>
      <c r="C61" s="46">
        <v>17.239999999999998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0.74299999999999999</v>
      </c>
      <c r="H61" s="39">
        <f>Table132[[#This Row],[New position]]*Table132[[#This Row],[Last_Price]]</f>
        <v>1987771.9999999998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61</v>
      </c>
      <c r="B62" s="44" t="s">
        <v>14</v>
      </c>
      <c r="C62" s="46">
        <v>47.17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0.37</v>
      </c>
      <c r="H62" s="39">
        <f>Table132[[#This Row],[New position]]*Table132[[#This Row],[Last_Price]]</f>
        <v>991183.21000000008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43</v>
      </c>
      <c r="B63" s="44" t="s">
        <v>14</v>
      </c>
      <c r="C63" s="46">
        <v>218.78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3.6360000000000001</v>
      </c>
      <c r="H63" s="39">
        <f>Table132[[#This Row],[New position]]*Table132[[#This Row],[Last_Price]]</f>
        <v>9731553.1799999997</v>
      </c>
      <c r="I63" s="61"/>
      <c r="J63" s="93"/>
      <c r="K63" s="95"/>
      <c r="L63"/>
      <c r="M63"/>
      <c r="N63"/>
      <c r="O63"/>
      <c r="P63"/>
      <c r="Q63"/>
    </row>
    <row r="64" spans="1:17" x14ac:dyDescent="0.25">
      <c r="A64" s="44" t="s">
        <v>93</v>
      </c>
      <c r="B64" s="34" t="s">
        <v>14</v>
      </c>
      <c r="C64" s="46">
        <v>23.56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0.38</v>
      </c>
      <c r="H64" s="39">
        <f>Table132[[#This Row],[New position]]*Table132[[#This Row],[Last_Price]]</f>
        <v>1017792</v>
      </c>
      <c r="I64" s="106"/>
      <c r="J64" s="93"/>
      <c r="K64" s="93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7"/>
      <c r="K65" s="81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40</v>
      </c>
      <c r="F66" s="31"/>
      <c r="G66" s="55" t="s">
        <v>41</v>
      </c>
      <c r="H66" s="46"/>
      <c r="I66" s="48"/>
      <c r="J66" s="67"/>
      <c r="K66" s="81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</v>
      </c>
      <c r="F67" s="31"/>
      <c r="G67" s="34">
        <v>5</v>
      </c>
      <c r="H67" s="46"/>
      <c r="I67" s="48"/>
      <c r="J67" s="99" t="s">
        <v>69</v>
      </c>
      <c r="K67" s="80" t="s">
        <v>70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2"/>
      <c r="J68" s="66" t="s">
        <v>71</v>
      </c>
      <c r="K68" s="102">
        <f>1-SUM(K69:K70)</f>
        <v>0.6947486850899629</v>
      </c>
      <c r="L68"/>
      <c r="M68"/>
      <c r="N68"/>
      <c r="O68"/>
      <c r="P68"/>
      <c r="Q68"/>
    </row>
    <row r="69" spans="1:17" ht="15" customHeight="1" x14ac:dyDescent="0.25">
      <c r="A69" s="44" t="s">
        <v>53</v>
      </c>
      <c r="B69" s="44"/>
      <c r="C69" s="45"/>
      <c r="D69" s="47" t="str">
        <f>Table132[[#This Row],[Symbol]]</f>
        <v>Healthcare</v>
      </c>
      <c r="E69" s="34">
        <f>ROUND(SUM(G28:G28)/100, 3)</f>
        <v>2.5000000000000001E-2</v>
      </c>
      <c r="F69" s="47" t="str">
        <f>Table132[[#This Row],[Symbol]]</f>
        <v>Healthcare</v>
      </c>
      <c r="G69" s="34">
        <f>SUM(H28:H28)/(G67*C24)</f>
        <v>2.530219247022443E-2</v>
      </c>
      <c r="H69" s="46"/>
      <c r="I69" s="92"/>
      <c r="J69" s="66" t="s">
        <v>72</v>
      </c>
      <c r="K69" s="100">
        <f>SUM(H36:H53)/C25</f>
        <v>0.24676563950248076</v>
      </c>
      <c r="L69"/>
      <c r="M69"/>
      <c r="N69"/>
      <c r="O69"/>
      <c r="P69"/>
      <c r="Q69"/>
    </row>
    <row r="70" spans="1:17" ht="15" customHeight="1" x14ac:dyDescent="0.25">
      <c r="A70" s="44" t="s">
        <v>90</v>
      </c>
      <c r="B70" s="44"/>
      <c r="C70" s="45"/>
      <c r="D70" s="47" t="str">
        <f>Table132[[#This Row],[Symbol]]</f>
        <v>Energy</v>
      </c>
      <c r="E70" s="34">
        <f>ROUND(SUM(G29:G29)/100, 3)</f>
        <v>3.4000000000000002E-2</v>
      </c>
      <c r="F70" s="47" t="str">
        <f>Table132[[#This Row],[Symbol]]</f>
        <v>Energy</v>
      </c>
      <c r="G70" s="34">
        <f>SUM(H29:H29)/(G67*C24)</f>
        <v>3.4311235300051729E-2</v>
      </c>
      <c r="H70" s="46"/>
      <c r="I70" s="105"/>
      <c r="J70" s="66" t="s">
        <v>73</v>
      </c>
      <c r="K70" s="101">
        <f>(H63+H64+H55+H56)/C25</f>
        <v>5.8485675407556302E-2</v>
      </c>
      <c r="L70"/>
      <c r="M70"/>
      <c r="N70"/>
      <c r="O70"/>
      <c r="P70"/>
      <c r="Q70"/>
    </row>
    <row r="71" spans="1:17" ht="15" customHeight="1" x14ac:dyDescent="0.25">
      <c r="A71" s="44" t="s">
        <v>84</v>
      </c>
      <c r="B71" s="44"/>
      <c r="C71" s="45"/>
      <c r="D71" s="47" t="str">
        <f>Table132[[#This Row],[Symbol]]</f>
        <v>Financials</v>
      </c>
      <c r="E71" s="34">
        <f>ROUND(SUM(G30:G30)/100, 3)</f>
        <v>6.4000000000000001E-2</v>
      </c>
      <c r="F71" s="47" t="str">
        <f>Table132[[#This Row],[Symbol]]</f>
        <v>Financials</v>
      </c>
      <c r="G71" s="51">
        <f>SUM(H30:H30)/(G67*C24)</f>
        <v>6.3656744731471454E-2</v>
      </c>
      <c r="H71" s="46"/>
      <c r="I71" s="92"/>
      <c r="J71" s="66"/>
      <c r="K71" s="100"/>
      <c r="L71"/>
      <c r="M71"/>
      <c r="N71"/>
      <c r="O71"/>
      <c r="P71"/>
      <c r="Q71"/>
    </row>
    <row r="72" spans="1:17" ht="15" customHeight="1" x14ac:dyDescent="0.25">
      <c r="A72" s="44" t="s">
        <v>85</v>
      </c>
      <c r="B72" s="44"/>
      <c r="C72" s="45"/>
      <c r="D72" s="47" t="str">
        <f>Table132[[#This Row],[Symbol]]</f>
        <v>Techs</v>
      </c>
      <c r="E72" s="51">
        <f>ROUND(SUM(G31:G31)/100, 3)</f>
        <v>6.3E-2</v>
      </c>
      <c r="F72" s="47" t="str">
        <f>Table132[[#This Row],[Symbol]]</f>
        <v>Techs</v>
      </c>
      <c r="G72" s="34">
        <f>SUM(H31:H31)/(G67*C24)</f>
        <v>6.2891246745998247E-2</v>
      </c>
      <c r="H72" s="46"/>
      <c r="I72" s="104"/>
      <c r="K72" s="82"/>
      <c r="L72"/>
      <c r="M72"/>
      <c r="N72"/>
      <c r="O72"/>
      <c r="P72"/>
      <c r="Q72"/>
    </row>
    <row r="73" spans="1:17" ht="15" customHeight="1" x14ac:dyDescent="0.25">
      <c r="A73" s="44" t="s">
        <v>49</v>
      </c>
      <c r="B73" s="44"/>
      <c r="C73" s="45"/>
      <c r="D73" s="47" t="str">
        <f>Table132[[#This Row],[Symbol]]</f>
        <v>Semiconductor</v>
      </c>
      <c r="E73" s="34">
        <f>ROUND(SUM(G32:G33)/100, 3)</f>
        <v>7.5999999999999998E-2</v>
      </c>
      <c r="F73" s="47" t="str">
        <f>Table132[[#This Row],[Symbol]]</f>
        <v>Semiconductor</v>
      </c>
      <c r="G73" s="51">
        <f>SUM(H32:H33)/(G67*C24)</f>
        <v>7.6061385552293817E-2</v>
      </c>
      <c r="H73" s="46"/>
      <c r="I73" s="92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44" t="s">
        <v>88</v>
      </c>
      <c r="B74" s="44"/>
      <c r="C74" s="45"/>
      <c r="D74" s="47" t="str">
        <f>Table132[[#This Row],[Symbol]]</f>
        <v>Russell</v>
      </c>
      <c r="E74" s="51">
        <f>ROUND(SUM(G34:G35)/100, 3)</f>
        <v>0.10100000000000001</v>
      </c>
      <c r="F74" s="47" t="str">
        <f>Table132[[#This Row],[Symbol]]</f>
        <v>Russell</v>
      </c>
      <c r="G74" s="51">
        <f>SUM(H34:H35)/(G67*C24)</f>
        <v>0.10096619334081046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44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45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48</v>
      </c>
      <c r="B77" s="44"/>
      <c r="C77" s="45"/>
      <c r="D77" s="47" t="str">
        <f>Table132[[#This Row],[Symbol]]</f>
        <v>Int Stocks</v>
      </c>
      <c r="E77" s="34">
        <f>ROUND(SUM(G36:G52)/100, 3)</f>
        <v>0.17499999999999999</v>
      </c>
      <c r="F77" s="47" t="str">
        <f>Table132[[#This Row],[Symbol]]</f>
        <v>Int Stocks</v>
      </c>
      <c r="G77" s="34">
        <f>SUM(H36:H52)/(G67*C24)</f>
        <v>0.1751794165373112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59</v>
      </c>
      <c r="B78" s="44"/>
      <c r="C78" s="45"/>
      <c r="D78" s="47" t="str">
        <f>Table132[[#This Row],[Symbol]]</f>
        <v>JP Stocks</v>
      </c>
      <c r="E78" s="34">
        <f>ROUND(SUM(G53:G53)/100, 3)</f>
        <v>1.6E-2</v>
      </c>
      <c r="F78" s="47" t="str">
        <f>Table132[[#This Row],[Symbol]]</f>
        <v>JP Stocks</v>
      </c>
      <c r="G78" s="34">
        <f>SUM(H53:H53)/(G67*C24)</f>
        <v>1.59568654571293E-2</v>
      </c>
      <c r="H78" s="46"/>
      <c r="I78" s="62"/>
      <c r="J78" s="66"/>
      <c r="K78" s="80"/>
      <c r="L78"/>
      <c r="M78"/>
      <c r="N78"/>
      <c r="O78"/>
      <c r="P78"/>
      <c r="Q78"/>
    </row>
    <row r="79" spans="1:17" ht="15.75" customHeight="1" x14ac:dyDescent="0.25">
      <c r="A79" s="44" t="s">
        <v>67</v>
      </c>
      <c r="B79" s="44"/>
      <c r="C79" s="45"/>
      <c r="D79" s="47" t="str">
        <f>Table132[[#This Row],[Symbol]]</f>
        <v>Nasdaq</v>
      </c>
      <c r="E79" s="51">
        <f>ROUND(SUM(G54)/100, 3)</f>
        <v>0.121</v>
      </c>
      <c r="F79" s="47" t="str">
        <f>Table132[[#This Row],[Symbol]]</f>
        <v>Nasdaq</v>
      </c>
      <c r="G79" s="34">
        <f>SUM(H54)/(G67*C24)</f>
        <v>0.12146538003980785</v>
      </c>
      <c r="H79" s="46"/>
      <c r="I79" s="27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58" t="s">
        <v>50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69"/>
      <c r="K80" s="83"/>
      <c r="L80"/>
      <c r="M80"/>
      <c r="N80"/>
      <c r="O80"/>
      <c r="P80"/>
      <c r="Q80"/>
    </row>
    <row r="81" spans="1:17" ht="15.75" customHeight="1" x14ac:dyDescent="0.25">
      <c r="A81" s="44" t="s">
        <v>51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6"/>
      <c r="K81" s="80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ROUND((SUM(G57:G62))/100, 3)</f>
        <v>5.2999999999999999E-2</v>
      </c>
      <c r="F82" s="47" t="str">
        <f>Table132[[#This Row],[Symbol]]</f>
        <v>Bonds</v>
      </c>
      <c r="G82" s="34">
        <f>(SUM(H57:H62))/(G67*C24)</f>
        <v>5.3474353422134517E-2</v>
      </c>
      <c r="H82" s="46"/>
      <c r="I82" s="27"/>
      <c r="J82" s="71"/>
      <c r="K82" s="85"/>
      <c r="L82"/>
      <c r="M82"/>
      <c r="N82"/>
      <c r="O82"/>
      <c r="P82"/>
      <c r="Q82"/>
    </row>
    <row r="83" spans="1:17" ht="14.25" customHeight="1" x14ac:dyDescent="0.25">
      <c r="A83" s="44" t="s">
        <v>55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2"/>
      <c r="K83" s="79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ROUND(SUM(G63:G64)/100,3)</f>
        <v>0.04</v>
      </c>
      <c r="F84" s="47" t="str">
        <f>Table132[[#This Row],[Symbol]]</f>
        <v>Gold</v>
      </c>
      <c r="G84" s="34">
        <f>SUM(H63:H64)/(G67*C24)</f>
        <v>4.0165455512867473E-2</v>
      </c>
      <c r="H84" s="34"/>
      <c r="I84" s="28"/>
      <c r="J84" s="73"/>
      <c r="K84" s="86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ROUND(SUM(G55:G56)/100,3)</f>
        <v>5.0000000000000001E-3</v>
      </c>
      <c r="F85" s="47" t="str">
        <f>Table132[[#This Row],[Symbol]]</f>
        <v>Commodities</v>
      </c>
      <c r="G85" s="51">
        <f>SUM(H55:H56)/(G67*C24)</f>
        <v>5.1355619621429142E-3</v>
      </c>
      <c r="H85" s="34"/>
      <c r="I85" s="29"/>
      <c r="J85" s="74"/>
      <c r="K85" s="87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6"/>
      <c r="K86" s="80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0.22699999999999987</v>
      </c>
      <c r="F87" s="47" t="str">
        <f>Table132[[#This Row],[Symbol]]</f>
        <v>Cash</v>
      </c>
      <c r="G87" s="51">
        <f>1-SUM(G68:G86)</f>
        <v>0.22543396892775669</v>
      </c>
      <c r="H87" s="34"/>
      <c r="I87" s="27"/>
      <c r="J87" s="75"/>
      <c r="K87" s="88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12150248.638799993</v>
      </c>
      <c r="F88" s="31"/>
      <c r="G88" s="39">
        <f>C24*G87</f>
        <v>12066426.317637697</v>
      </c>
      <c r="H88" s="39"/>
      <c r="I88" s="30"/>
      <c r="J88" s="66"/>
      <c r="K88" s="8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6"/>
      <c r="K91" s="89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2024-05-16T08:12:07Z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