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investments_ghfm_fund/Documents/Investments Team/01. GHFM Reporting/3. GHFM_Daily/Investment thesis/2024/05-2024/"/>
    </mc:Choice>
  </mc:AlternateContent>
  <xr:revisionPtr revIDLastSave="5134" documentId="14_{A48F4B07-3EF3-43E5-91B2-4CA340E6013A}" xr6:coauthVersionLast="47" xr6:coauthVersionMax="47" xr10:uidLastSave="{DDBC9E81-E2D5-4A9D-9163-111AA7C9CFA1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" i="3" l="1"/>
  <c r="F37" i="3"/>
  <c r="F51" i="3"/>
  <c r="H38" i="3" l="1"/>
  <c r="F38" i="3"/>
  <c r="H48" i="3"/>
  <c r="F48" i="3"/>
  <c r="H64" i="3"/>
  <c r="H56" i="3"/>
  <c r="F64" i="3"/>
  <c r="F56" i="3"/>
  <c r="F61" i="3" l="1"/>
  <c r="H61" i="3"/>
  <c r="H51" i="3" l="1"/>
  <c r="H49" i="3" l="1"/>
  <c r="F49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3" i="3"/>
  <c r="F33" i="3"/>
  <c r="H34" i="3" l="1"/>
  <c r="H35" i="3"/>
  <c r="F34" i="3"/>
  <c r="F35" i="3"/>
  <c r="F55" i="3"/>
  <c r="H55" i="3"/>
  <c r="E81" i="3" l="1"/>
  <c r="E86" i="3" l="1"/>
  <c r="F54" i="3"/>
  <c r="H54" i="3" l="1"/>
  <c r="E83" i="3"/>
  <c r="E80" i="3"/>
  <c r="H28" i="3"/>
  <c r="F28" i="3"/>
  <c r="E68" i="3"/>
  <c r="H32" i="3"/>
  <c r="F32" i="3"/>
  <c r="F50" i="3" l="1"/>
  <c r="H50" i="3"/>
  <c r="E76" i="3" l="1"/>
  <c r="E75" i="3"/>
  <c r="F78" i="3" l="1"/>
  <c r="D78" i="3"/>
  <c r="F63" i="3" l="1"/>
  <c r="H63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8" i="3" l="1"/>
  <c r="H59" i="3"/>
  <c r="H60" i="3"/>
  <c r="H62" i="3"/>
  <c r="F58" i="3"/>
  <c r="F59" i="3"/>
  <c r="F60" i="3"/>
  <c r="F62" i="3"/>
  <c r="F36" i="3" l="1"/>
  <c r="F39" i="3"/>
  <c r="F40" i="3"/>
  <c r="F53" i="3"/>
  <c r="F57" i="3"/>
  <c r="H57" i="3"/>
  <c r="H36" i="3" l="1"/>
  <c r="H39" i="3"/>
  <c r="H53" i="3" l="1"/>
  <c r="H52" i="3"/>
  <c r="H41" i="3" l="1"/>
  <c r="H40" i="3"/>
  <c r="C25" i="3" l="1" a="1"/>
  <c r="C25" i="3" s="1"/>
  <c r="K69" i="3" s="1"/>
  <c r="K70" i="3" l="1"/>
  <c r="F41" i="3"/>
  <c r="K68" i="3" l="1"/>
  <c r="F52" i="3"/>
  <c r="C24" i="3"/>
  <c r="C11" i="3" s="1"/>
  <c r="G85" i="3" l="1"/>
  <c r="C16" i="3"/>
  <c r="C13" i="3"/>
  <c r="C20" i="3"/>
  <c r="G84" i="3"/>
  <c r="C17" i="3"/>
  <c r="G77" i="3"/>
  <c r="C7" i="3"/>
  <c r="G70" i="3"/>
  <c r="C6" i="3"/>
  <c r="C5" i="3"/>
  <c r="C4" i="3"/>
  <c r="G72" i="3"/>
  <c r="G69" i="3"/>
  <c r="G71" i="3"/>
  <c r="G73" i="3"/>
  <c r="C8" i="3"/>
  <c r="G74" i="3"/>
  <c r="G82" i="3"/>
  <c r="G81" i="3"/>
  <c r="C15" i="3"/>
  <c r="C19" i="3"/>
  <c r="G86" i="3"/>
  <c r="G79" i="3"/>
  <c r="C18" i="3"/>
  <c r="G83" i="3"/>
  <c r="G80" i="3"/>
  <c r="C14" i="3"/>
  <c r="G68" i="3"/>
  <c r="C3" i="3"/>
  <c r="C12" i="3"/>
  <c r="C9" i="3"/>
  <c r="G75" i="3"/>
  <c r="C10" i="3"/>
  <c r="G76" i="3"/>
  <c r="G78" i="3"/>
  <c r="C2" i="3"/>
  <c r="G87" i="3" l="1"/>
  <c r="G88" i="3" s="1"/>
  <c r="G36" i="3" l="1"/>
  <c r="G37" i="3"/>
  <c r="E67" i="3"/>
  <c r="G41" i="3" s="1"/>
  <c r="G64" i="3"/>
  <c r="G47" i="3" l="1"/>
  <c r="G38" i="3"/>
  <c r="G48" i="3"/>
  <c r="G52" i="3"/>
  <c r="G45" i="3"/>
  <c r="G58" i="3"/>
  <c r="G30" i="3"/>
  <c r="E71" i="3" s="1"/>
  <c r="G42" i="3"/>
  <c r="G57" i="3"/>
  <c r="G56" i="3"/>
  <c r="G43" i="3"/>
  <c r="G33" i="3"/>
  <c r="G40" i="3"/>
  <c r="G62" i="3"/>
  <c r="G60" i="3"/>
  <c r="G55" i="3"/>
  <c r="G28" i="3"/>
  <c r="E69" i="3" s="1"/>
  <c r="G44" i="3"/>
  <c r="G35" i="3"/>
  <c r="G39" i="3"/>
  <c r="G31" i="3"/>
  <c r="E72" i="3" s="1"/>
  <c r="G63" i="3"/>
  <c r="E84" i="3" s="1"/>
  <c r="G32" i="3"/>
  <c r="G46" i="3"/>
  <c r="G61" i="3"/>
  <c r="G54" i="3"/>
  <c r="E79" i="3" s="1"/>
  <c r="G49" i="3"/>
  <c r="G59" i="3"/>
  <c r="G50" i="3"/>
  <c r="G53" i="3"/>
  <c r="E78" i="3" s="1"/>
  <c r="G29" i="3"/>
  <c r="E70" i="3" s="1"/>
  <c r="G51" i="3"/>
  <c r="G34" i="3"/>
  <c r="E74" i="3" l="1"/>
  <c r="E85" i="3"/>
  <c r="E82" i="3"/>
  <c r="E73" i="3"/>
  <c r="E77" i="3"/>
  <c r="E87" i="3" l="1"/>
  <c r="E88" i="3" s="1"/>
</calcChain>
</file>

<file path=xl/sharedStrings.xml><?xml version="1.0" encoding="utf-8"?>
<sst xmlns="http://schemas.openxmlformats.org/spreadsheetml/2006/main" count="133" uniqueCount="96">
  <si>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</si>
  <si>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</si>
  <si>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</si>
  <si>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</si>
  <si>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</si>
  <si>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</si>
  <si>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</si>
  <si>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</si>
  <si>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</si>
  <si>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</si>
  <si>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</si>
  <si>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</si>
  <si>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</si>
  <si>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</si>
  <si>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</si>
  <si>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</si>
  <si>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</si>
  <si>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</si>
  <si>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</si>
  <si>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</si>
  <si>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</si>
  <si>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</si>
  <si>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</si>
  <si>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</si>
  <si>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</si>
  <si>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</si>
  <si>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</si>
  <si>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</si>
  <si>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</si>
  <si>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</si>
  <si>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</si>
  <si>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</si>
  <si>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</si>
  <si>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</si>
  <si>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</si>
  <si>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</si>
  <si>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</si>
  <si>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</si>
  <si>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</si>
  <si>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</si>
  <si>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</si>
  <si>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</si>
  <si>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</si>
  <si>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</si>
  <si>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</si>
  <si>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</si>
  <si>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</si>
  <si>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</si>
  <si>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</si>
  <si>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</si>
  <si>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</si>
  <si>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</si>
  <si>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</si>
  <si>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</si>
  <si>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</si>
  <si>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</si>
  <si>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</si>
  <si>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</si>
  <si>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</si>
  <si>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</si>
  <si>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</si>
  <si>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</si>
  <si>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</si>
  <si>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</si>
  <si>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</si>
  <si>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</si>
  <si>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</si>
  <si>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</si>
  <si>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</si>
  <si>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</si>
  <si>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</si>
  <si>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</si>
  <si>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</si>
  <si>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</si>
  <si>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</si>
  <si>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</si>
  <si>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</si>
  <si>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</si>
  <si>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</si>
  <si>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</si>
  <si>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</si>
  <si>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</si>
  <si>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</si>
  <si>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</si>
  <si>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</si>
  <si>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</si>
  <si>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</si>
  <si>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</si>
  <si>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</si>
  <si>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</si>
  <si>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</si>
  <si>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</si>
  <si>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</si>
  <si>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</si>
  <si>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</si>
  <si>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000921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</si>
</sst>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3" fillId="2" borderId="1" xfId="0" applyFont="1" applyFill="1" applyBorder="1"/>
    <xf numFmtId="0" fontId="24" fillId="2" borderId="1" xfId="0" applyFont="1" applyFill="1" applyBorder="1"/>
    <xf numFmtId="164" fontId="24" fillId="2" borderId="1" xfId="1" applyNumberFormat="1" applyFont="1" applyFill="1" applyBorder="1"/>
    <xf numFmtId="0" fontId="24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2.5000000000000001E-2</c:v>
                </c:pt>
                <c:pt idx="2">
                  <c:v>3.3000000000000002E-2</c:v>
                </c:pt>
                <c:pt idx="3">
                  <c:v>6.2E-2</c:v>
                </c:pt>
                <c:pt idx="4">
                  <c:v>6.2E-2</c:v>
                </c:pt>
                <c:pt idx="5">
                  <c:v>7.4999999999999997E-2</c:v>
                </c:pt>
                <c:pt idx="6">
                  <c:v>9.7000000000000003E-2</c:v>
                </c:pt>
                <c:pt idx="7">
                  <c:v>0</c:v>
                </c:pt>
                <c:pt idx="8">
                  <c:v>0</c:v>
                </c:pt>
                <c:pt idx="9">
                  <c:v>0.16900000000000001</c:v>
                </c:pt>
                <c:pt idx="10">
                  <c:v>1.4999999999999999E-2</c:v>
                </c:pt>
                <c:pt idx="11">
                  <c:v>0.11799999999999999</c:v>
                </c:pt>
                <c:pt idx="12">
                  <c:v>0</c:v>
                </c:pt>
                <c:pt idx="13">
                  <c:v>0</c:v>
                </c:pt>
                <c:pt idx="14">
                  <c:v>5.1999999999999998E-2</c:v>
                </c:pt>
                <c:pt idx="15">
                  <c:v>0</c:v>
                </c:pt>
                <c:pt idx="16">
                  <c:v>3.9E-2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0.24799999999999989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0.69601902782273539</c:v>
                </c:pt>
                <c:pt idx="1">
                  <c:v>0.24559401208661827</c:v>
                </c:pt>
                <c:pt idx="2">
                  <c:v>5.8386960090646298E-2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topLeftCell="A25" zoomScale="115" zoomScaleNormal="115" workbookViewId="0">
      <selection activeCell="L16" sqref="L16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4.85546875" bestFit="1" customWidth="1"/>
    <col min="8" max="8" width="20.28515625" style="42" bestFit="1" customWidth="1"/>
    <col min="9" max="9" width="42.28515625" customWidth="1"/>
    <col min="10" max="10" width="9" style="77" customWidth="1"/>
    <col min="11" max="11" width="13.42578125" style="90" bestFit="1" customWidth="1"/>
    <col min="12" max="13" width="14.42578125" style="1" bestFit="1" customWidth="1"/>
    <col min="14" max="16384" width="9.140625" style="1"/>
  </cols>
  <sheetData>
    <row r="1" spans="1:12" s="13" customFormat="1" ht="12.75" x14ac:dyDescent="0.25">
      <c r="A1" s="108" t="s">
        <v>0</v>
      </c>
      <c r="B1" s="108"/>
      <c r="C1" s="12">
        <v>45429</v>
      </c>
      <c r="E1" s="14"/>
      <c r="F1" s="14"/>
      <c r="G1" s="43"/>
      <c r="H1" s="14"/>
      <c r="J1" s="64"/>
      <c r="K1" s="78"/>
    </row>
    <row r="2" spans="1:12" s="13" customFormat="1" x14ac:dyDescent="0.25">
      <c r="A2" s="108" t="s">
        <v>10</v>
      </c>
      <c r="B2" s="108"/>
      <c r="C2" s="15">
        <f>C25/C24</f>
        <v>3.7605414307801244</v>
      </c>
      <c r="D2"/>
      <c r="E2" s="23"/>
      <c r="F2" s="17"/>
      <c r="G2" s="17"/>
      <c r="H2" s="16"/>
      <c r="J2" s="64"/>
      <c r="K2" s="78"/>
    </row>
    <row r="3" spans="1:12" s="13" customFormat="1" x14ac:dyDescent="0.25">
      <c r="A3" s="110" t="s">
        <v>76</v>
      </c>
      <c r="B3" s="111"/>
      <c r="C3" s="15">
        <f>SUM(0)/C24</f>
        <v>0</v>
      </c>
      <c r="D3"/>
      <c r="E3" s="23"/>
      <c r="F3" s="17"/>
      <c r="G3" s="17"/>
      <c r="H3" s="16"/>
      <c r="J3" s="64"/>
      <c r="K3" s="78"/>
    </row>
    <row r="4" spans="1:12" s="13" customFormat="1" x14ac:dyDescent="0.25">
      <c r="A4" s="56" t="s">
        <v>52</v>
      </c>
      <c r="B4" s="57"/>
      <c r="C4" s="15">
        <f>SUM(H28:H28)/C24</f>
        <v>0.12336190542087586</v>
      </c>
      <c r="D4"/>
      <c r="E4" s="23"/>
      <c r="F4" s="17"/>
      <c r="G4" s="17"/>
      <c r="H4" s="16"/>
      <c r="J4" s="64"/>
      <c r="K4" s="78"/>
    </row>
    <row r="5" spans="1:12" s="13" customFormat="1" x14ac:dyDescent="0.25">
      <c r="A5" s="56" t="s">
        <v>86</v>
      </c>
      <c r="B5" s="57"/>
      <c r="C5" s="15">
        <f>SUM(H30:H30)/C24</f>
        <v>0.30836747690156591</v>
      </c>
      <c r="D5"/>
      <c r="E5" s="23"/>
      <c r="F5" s="17"/>
      <c r="G5" s="17"/>
      <c r="H5" s="16"/>
      <c r="J5" s="64"/>
      <c r="K5" s="78"/>
    </row>
    <row r="6" spans="1:12" s="13" customFormat="1" x14ac:dyDescent="0.25">
      <c r="A6" s="56" t="s">
        <v>87</v>
      </c>
      <c r="B6" s="57"/>
      <c r="C6" s="15">
        <f>SUM(H31:H31)/C24</f>
        <v>0.30822745501174464</v>
      </c>
      <c r="D6"/>
      <c r="E6" s="23"/>
      <c r="F6" s="17"/>
      <c r="G6" s="17"/>
      <c r="H6" s="16"/>
      <c r="J6" s="64"/>
      <c r="K6" s="78"/>
    </row>
    <row r="7" spans="1:12" s="13" customFormat="1" x14ac:dyDescent="0.25">
      <c r="A7" s="56" t="s">
        <v>46</v>
      </c>
      <c r="B7" s="57"/>
      <c r="C7" s="15">
        <f>SUM(H32:H33)/C24</f>
        <v>0.37560798169737769</v>
      </c>
      <c r="D7"/>
      <c r="E7" s="23"/>
      <c r="F7" s="17"/>
      <c r="G7" s="17"/>
      <c r="H7" s="16"/>
      <c r="J7" s="64"/>
      <c r="K7" s="78"/>
    </row>
    <row r="8" spans="1:12" s="13" customFormat="1" x14ac:dyDescent="0.25">
      <c r="A8" s="110" t="s">
        <v>80</v>
      </c>
      <c r="B8" s="111"/>
      <c r="C8" s="15">
        <f>SUM(H34:H35)/C24</f>
        <v>0.48611589635942437</v>
      </c>
      <c r="D8"/>
      <c r="E8" s="23"/>
      <c r="F8" s="17"/>
      <c r="G8" s="17"/>
      <c r="H8" s="16"/>
      <c r="J8" s="64"/>
      <c r="K8" s="78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4"/>
      <c r="K9" s="78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4"/>
      <c r="K10" s="78"/>
      <c r="L10" s="63"/>
    </row>
    <row r="11" spans="1:12" s="13" customFormat="1" x14ac:dyDescent="0.25">
      <c r="A11" s="110" t="s">
        <v>39</v>
      </c>
      <c r="B11" s="111"/>
      <c r="C11" s="15">
        <f>SUM(H36:H52)/C24</f>
        <v>0.84751418262539302</v>
      </c>
      <c r="D11"/>
      <c r="E11" s="23"/>
      <c r="F11" s="17"/>
      <c r="G11" s="17"/>
      <c r="H11" s="16"/>
      <c r="J11" s="64"/>
      <c r="K11" s="78"/>
      <c r="L11" s="36"/>
    </row>
    <row r="12" spans="1:12" s="13" customFormat="1" x14ac:dyDescent="0.25">
      <c r="A12" s="110" t="s">
        <v>60</v>
      </c>
      <c r="B12" s="111"/>
      <c r="C12" s="15">
        <f>SUM(H53:H53)/C24</f>
        <v>7.6052274977849582E-2</v>
      </c>
      <c r="D12"/>
      <c r="E12" s="23"/>
      <c r="F12" s="17"/>
      <c r="G12" s="17"/>
      <c r="H12" s="16"/>
      <c r="J12" s="64"/>
      <c r="K12" s="78"/>
    </row>
    <row r="13" spans="1:12" s="13" customFormat="1" x14ac:dyDescent="0.25">
      <c r="A13" s="110" t="s">
        <v>68</v>
      </c>
      <c r="B13" s="111"/>
      <c r="C13" s="15">
        <f>SUM(H54:H54)/C24</f>
        <v>0.59214807619383092</v>
      </c>
      <c r="D13"/>
      <c r="E13" s="23"/>
      <c r="F13" s="17"/>
      <c r="G13" s="17"/>
      <c r="H13" s="16"/>
      <c r="J13" s="64"/>
      <c r="K13" s="78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4"/>
      <c r="K14" s="78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4"/>
      <c r="K15" s="78"/>
    </row>
    <row r="16" spans="1:12" s="13" customFormat="1" x14ac:dyDescent="0.25">
      <c r="A16" s="110" t="s">
        <v>26</v>
      </c>
      <c r="B16" s="111"/>
      <c r="C16" s="15">
        <f>SUM(H55:H56)/C24</f>
        <v>2.4794250057959502E-2</v>
      </c>
      <c r="D16"/>
      <c r="E16" s="23"/>
      <c r="F16" s="17"/>
      <c r="G16" s="17"/>
      <c r="H16" s="16"/>
      <c r="J16" s="64"/>
      <c r="K16" s="78"/>
    </row>
    <row r="17" spans="1:17" s="13" customFormat="1" x14ac:dyDescent="0.25">
      <c r="A17" s="110" t="s">
        <v>25</v>
      </c>
      <c r="B17" s="111"/>
      <c r="C17" s="15">
        <f>SUM(H57:H62)/C24</f>
        <v>0.25863853812656917</v>
      </c>
      <c r="D17"/>
      <c r="E17" s="23"/>
      <c r="F17" s="17"/>
      <c r="G17" s="17"/>
      <c r="H17" s="16"/>
      <c r="J17" s="64"/>
      <c r="K17" s="78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4"/>
      <c r="K18" s="78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4"/>
      <c r="K19" s="78"/>
    </row>
    <row r="20" spans="1:17" s="13" customFormat="1" x14ac:dyDescent="0.25">
      <c r="A20" s="110" t="s">
        <v>38</v>
      </c>
      <c r="B20" s="111"/>
      <c r="C20" s="15">
        <f>SUM(H63:H64)/C24</f>
        <v>0.19477233238022154</v>
      </c>
      <c r="D20"/>
      <c r="E20" s="23"/>
      <c r="F20" s="17"/>
      <c r="G20" s="17"/>
      <c r="H20" s="16"/>
      <c r="J20" s="64"/>
      <c r="K20" s="78"/>
    </row>
    <row r="21" spans="1:17" s="13" customFormat="1" ht="12.75" x14ac:dyDescent="0.25">
      <c r="A21" s="108" t="s">
        <v>8</v>
      </c>
      <c r="B21" s="108"/>
      <c r="C21" s="18">
        <v>55642300</v>
      </c>
      <c r="D21" s="24"/>
      <c r="E21" s="17"/>
      <c r="F21" s="17"/>
      <c r="G21" s="17"/>
      <c r="H21" s="16"/>
      <c r="J21" s="64"/>
      <c r="K21" s="78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4"/>
      <c r="K22" s="78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4"/>
      <c r="K23" s="78"/>
    </row>
    <row r="24" spans="1:17" s="13" customFormat="1" ht="12.75" x14ac:dyDescent="0.25">
      <c r="A24" s="108" t="s">
        <v>9</v>
      </c>
      <c r="B24" s="108"/>
      <c r="C24" s="18">
        <f>C21+C22-C23</f>
        <v>55642300</v>
      </c>
      <c r="D24" s="21"/>
      <c r="E24" s="17"/>
      <c r="F24" s="17"/>
      <c r="G24" s="17"/>
      <c r="H24" s="16"/>
      <c r="J24" s="64"/>
      <c r="K24" s="78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209245174.45389691</v>
      </c>
      <c r="D25" s="21" t="s">
        <v>22</v>
      </c>
      <c r="E25" s="17"/>
      <c r="F25" s="17"/>
      <c r="G25" s="17"/>
      <c r="H25" s="16"/>
      <c r="J25" s="64"/>
      <c r="K25" s="78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5"/>
      <c r="K26" s="78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1" t="s">
        <v>63</v>
      </c>
      <c r="K27" s="91" t="s">
        <v>64</v>
      </c>
    </row>
    <row r="28" spans="1:17" x14ac:dyDescent="0.25">
      <c r="A28" s="44" t="s">
        <v>66</v>
      </c>
      <c r="B28" s="34" t="s">
        <v>14</v>
      </c>
      <c r="C28" s="92">
        <v>146.03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2.4670000000000001</v>
      </c>
      <c r="H28" s="39">
        <f>Table132[[#This Row],[New position]]*Table132[[#This Row],[Last_Price]]</f>
        <v>6864140.1500000004</v>
      </c>
      <c r="I28" s="96"/>
      <c r="J28" s="93"/>
      <c r="K28" s="93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2">
        <v>93.65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3.2989999999999999</v>
      </c>
      <c r="H29" s="39">
        <f>Table132[[#This Row],[New position]]*Table132[[#This Row],[Last_Price]]</f>
        <v>9177700</v>
      </c>
      <c r="I29" s="96"/>
      <c r="J29" s="93"/>
      <c r="K29" s="93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2">
        <v>42.18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6.1669999999999998</v>
      </c>
      <c r="H30" s="39">
        <f>Table132[[#This Row],[New position]]*Table132[[#This Row],[Last_Price]]</f>
        <v>17158275.66</v>
      </c>
      <c r="I30" s="104"/>
      <c r="J30" s="93"/>
      <c r="K30" s="93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2">
        <v>212.29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6.165</v>
      </c>
      <c r="H31" s="39">
        <f>Table132[[#This Row],[New position]]*Table132[[#This Row],[Last_Price]]</f>
        <v>17150484.52</v>
      </c>
      <c r="I31" s="104"/>
      <c r="J31" s="93"/>
      <c r="K31" s="93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2">
        <v>232</v>
      </c>
      <c r="D32" s="34">
        <v>52121</v>
      </c>
      <c r="E32" s="34">
        <v>52121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4.3460000000000001</v>
      </c>
      <c r="H32" s="39">
        <f>Table132[[#This Row],[New position]]*Table132[[#This Row],[Last_Price]]</f>
        <v>12092072</v>
      </c>
      <c r="I32" s="27"/>
      <c r="J32" s="93"/>
      <c r="K32" s="93"/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2">
        <v>943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3.1659999999999999</v>
      </c>
      <c r="H33" s="39">
        <f>Table132[[#This Row],[New position]]*Table132[[#This Row],[Last_Price]]</f>
        <v>8807620</v>
      </c>
      <c r="I33" s="103"/>
      <c r="J33" s="93"/>
      <c r="K33" s="93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2">
        <v>55.91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5.3680000000000003</v>
      </c>
      <c r="H34" s="39">
        <f>Table132[[#This Row],[New position]]*Table132[[#This Row],[Last_Price]]</f>
        <v>14935685.579999998</v>
      </c>
      <c r="I34" s="103"/>
      <c r="J34" s="93"/>
      <c r="K34" s="93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2">
        <v>208.04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4.3540000000000001</v>
      </c>
      <c r="H35" s="39">
        <f>Table132[[#This Row],[New position]]*Table132[[#This Row],[Last_Price]]</f>
        <v>12112920.959999999</v>
      </c>
      <c r="I35" s="103"/>
      <c r="J35" s="93"/>
      <c r="K35" s="93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237.83633841886299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7.6999999999999999E-2</v>
      </c>
      <c r="H36" s="39">
        <f>Table132[[#This Row],[New position]]*Table132[[#This Row],[Last_Price]]</f>
        <v>214052.70457697668</v>
      </c>
      <c r="I36" s="52"/>
      <c r="J36" s="93"/>
      <c r="K36" s="94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4.3772538141470196</v>
      </c>
      <c r="D37" s="34">
        <v>22600</v>
      </c>
      <c r="E37" s="34">
        <v>22600</v>
      </c>
      <c r="F37" s="33">
        <f>ROUND(Table132[[#This Row],[New position]]-Table132[[#This Row],[Old position]], -2)</f>
        <v>0</v>
      </c>
      <c r="G37" s="34">
        <f>ROUND(Table132[[#This Row],[Target allocation ($)]]/(IF(G88&gt;0, G67,E67)*C24)*100,3)</f>
        <v>3.5999999999999997E-2</v>
      </c>
      <c r="H37" s="39">
        <f>Table132[[#This Row],[New position]]*Table132[[#This Row],[Last_Price]]</f>
        <v>98925.936199722637</v>
      </c>
      <c r="I37" s="52"/>
      <c r="J37" s="93"/>
      <c r="K37" s="94"/>
      <c r="L37"/>
      <c r="M37"/>
      <c r="N37"/>
      <c r="O37"/>
      <c r="P37"/>
      <c r="Q37"/>
    </row>
    <row r="38" spans="1:17" x14ac:dyDescent="0.25">
      <c r="A38" s="107" t="s">
        <v>95</v>
      </c>
      <c r="B38" s="44" t="s">
        <v>14</v>
      </c>
      <c r="C38" s="46">
        <v>5.67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6.9000000000000006E-2</v>
      </c>
      <c r="H38" s="39">
        <f>Table132[[#This Row],[New position]]*Table132[[#This Row],[Last_Price]]</f>
        <v>193347</v>
      </c>
      <c r="I38" s="27"/>
      <c r="J38" s="93"/>
      <c r="K38" s="94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50.588235294117602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0.27800000000000002</v>
      </c>
      <c r="H39" s="39">
        <f>Table132[[#This Row],[New position]]*Table132[[#This Row],[Last_Price]]</f>
        <v>773999.9999999993</v>
      </c>
      <c r="I39" s="52"/>
      <c r="J39" s="93"/>
      <c r="K39" s="93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10.9846547314578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8.6999999999999994E-2</v>
      </c>
      <c r="H40" s="39">
        <f>Table132[[#This Row],[New position]]*Table132[[#This Row],[Last_Price]]</f>
        <v>241662.40409207161</v>
      </c>
      <c r="I40" s="27"/>
      <c r="J40" s="93"/>
      <c r="K40" s="93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2">
        <v>14.143222506393901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7.9000000000000001E-2</v>
      </c>
      <c r="H41" s="39">
        <f>Table132[[#This Row],[New position]]*Table132[[#This Row],[Last_Price]]</f>
        <v>220634.27109974486</v>
      </c>
      <c r="I41" s="27"/>
      <c r="J41" s="93"/>
      <c r="K41" s="93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2">
        <v>0.97058823529411797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0.93600000000000005</v>
      </c>
      <c r="H42" s="39">
        <f>Table132[[#This Row],[New position]]*Table132[[#This Row],[Last_Price]]</f>
        <v>2605058.8235294125</v>
      </c>
      <c r="I42" s="59"/>
      <c r="J42" s="93"/>
      <c r="K42" s="94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2">
        <v>2.47314578005115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2.2770000000000001</v>
      </c>
      <c r="H43" s="39">
        <f>Table132[[#This Row],[New position]]*Table132[[#This Row],[Last_Price]]</f>
        <v>6336199.4884910462</v>
      </c>
      <c r="I43" s="59"/>
      <c r="J43" s="93"/>
      <c r="K43" s="93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2">
        <v>8.9974424552429699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1.6910000000000001</v>
      </c>
      <c r="H44" s="39">
        <f>Table132[[#This Row],[New position]]*Table132[[#This Row],[Last_Price]]</f>
        <v>4705662.4040920734</v>
      </c>
      <c r="I44" s="59"/>
      <c r="J44" s="93"/>
      <c r="K44" s="93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2">
        <v>1.68286445012788</v>
      </c>
      <c r="D45" s="34">
        <v>468900</v>
      </c>
      <c r="E45" s="34">
        <v>468900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0.28399999999999997</v>
      </c>
      <c r="H45" s="39">
        <f>Table132[[#This Row],[New position]]*Table132[[#This Row],[Last_Price]]</f>
        <v>789095.14066496294</v>
      </c>
      <c r="I45" s="59"/>
      <c r="J45" s="93"/>
      <c r="K45" s="93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2">
        <v>11.387468030690499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0.42899999999999999</v>
      </c>
      <c r="H46" s="39">
        <f>Table132[[#This Row],[New position]]*Table132[[#This Row],[Last_Price]]</f>
        <v>1193406.6496163644</v>
      </c>
      <c r="I46" s="59"/>
      <c r="J46" s="93"/>
      <c r="K46" s="93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2">
        <v>0.489769820971867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0.40899999999999997</v>
      </c>
      <c r="H47" s="39">
        <f>Table132[[#This Row],[New position]]*Table132[[#This Row],[Last_Price]]</f>
        <v>1138714.8337595908</v>
      </c>
      <c r="I47" s="59"/>
      <c r="J47" s="93"/>
      <c r="K47" s="93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2">
        <v>4.7058823529411802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4.1000000000000002E-2</v>
      </c>
      <c r="H48" s="39">
        <f>Table132[[#This Row],[New position]]*Table132[[#This Row],[Last_Price]]</f>
        <v>112941.17647058833</v>
      </c>
      <c r="I48" s="59"/>
      <c r="J48" s="93"/>
      <c r="K48" s="93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2">
        <v>2.39130434782609</v>
      </c>
      <c r="D49" s="34">
        <v>1286000</v>
      </c>
      <c r="E49" s="34">
        <v>1286000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1.105</v>
      </c>
      <c r="H49" s="39">
        <f>Table132[[#This Row],[New position]]*Table132[[#This Row],[Last_Price]]</f>
        <v>3075217.3913043519</v>
      </c>
      <c r="I49" s="27"/>
      <c r="J49" s="93"/>
      <c r="K49" s="93"/>
      <c r="L49"/>
      <c r="N49"/>
      <c r="O49"/>
      <c r="P49"/>
      <c r="Q49"/>
    </row>
    <row r="50" spans="1:17" x14ac:dyDescent="0.25">
      <c r="A50" s="34" t="s">
        <v>62</v>
      </c>
      <c r="B50" s="34" t="s">
        <v>14</v>
      </c>
      <c r="C50" s="92">
        <v>45.12</v>
      </c>
      <c r="D50" s="34">
        <v>143754</v>
      </c>
      <c r="E50" s="34">
        <v>143754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2.331</v>
      </c>
      <c r="H50" s="39">
        <f>Table132[[#This Row],[New position]]*Table132[[#This Row],[Last_Price]]</f>
        <v>6486180.4799999995</v>
      </c>
      <c r="I50" s="27"/>
      <c r="J50" s="93"/>
      <c r="K50" s="95"/>
      <c r="L50"/>
      <c r="M50"/>
      <c r="N50"/>
      <c r="O50"/>
      <c r="P50"/>
      <c r="Q50"/>
    </row>
    <row r="51" spans="1:17" x14ac:dyDescent="0.25">
      <c r="A51" s="34" t="s">
        <v>91</v>
      </c>
      <c r="B51" s="34" t="s">
        <v>14</v>
      </c>
      <c r="C51" s="46">
        <v>39.21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($)]]/(IF(G88&gt;0, G67,E67)*C24)*100,3)</f>
        <v>1.127</v>
      </c>
      <c r="H51" s="39">
        <f>Table132[[#This Row],[New position]]*Table132[[#This Row],[Last_Price]]</f>
        <v>3136800</v>
      </c>
      <c r="I51" s="59"/>
      <c r="J51" s="93"/>
      <c r="K51" s="94"/>
      <c r="L51"/>
      <c r="M51"/>
      <c r="N51"/>
      <c r="O51"/>
      <c r="P51"/>
      <c r="Q51"/>
    </row>
    <row r="52" spans="1:17" x14ac:dyDescent="0.25">
      <c r="A52" s="34" t="s">
        <v>57</v>
      </c>
      <c r="B52" s="34" t="s">
        <v>14</v>
      </c>
      <c r="C52" s="92">
        <v>65.849999999999994</v>
      </c>
      <c r="D52" s="34">
        <v>240482</v>
      </c>
      <c r="E52" s="34">
        <v>240482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5.6920000000000002</v>
      </c>
      <c r="H52" s="39">
        <f>Table132[[#This Row],[New position]]*Table132[[#This Row],[Last_Price]]</f>
        <v>15835739.699999999</v>
      </c>
      <c r="I52" s="27"/>
      <c r="J52" s="93"/>
      <c r="K52" s="93"/>
      <c r="L52" s="42"/>
      <c r="M52" s="42"/>
      <c r="N52"/>
      <c r="O52"/>
      <c r="P52"/>
      <c r="Q52"/>
    </row>
    <row r="53" spans="1:17" x14ac:dyDescent="0.25">
      <c r="A53" s="44" t="s">
        <v>58</v>
      </c>
      <c r="B53" s="34" t="s">
        <v>14</v>
      </c>
      <c r="C53" s="46">
        <v>108.09</v>
      </c>
      <c r="D53" s="34">
        <v>39150</v>
      </c>
      <c r="E53" s="34">
        <v>39150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1.5209999999999999</v>
      </c>
      <c r="H53" s="39">
        <f>Table132[[#This Row],[New position]]*Table132[[#This Row],[Last_Price]]</f>
        <v>4231723.5</v>
      </c>
      <c r="I53" s="49"/>
      <c r="J53" s="93"/>
      <c r="K53" s="93"/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451.9</v>
      </c>
      <c r="D54" s="34">
        <v>72911</v>
      </c>
      <c r="E54" s="34">
        <v>72911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11.843</v>
      </c>
      <c r="H54" s="39">
        <f>Table132[[#This Row],[New position]]*Table132[[#This Row],[Last_Price]]</f>
        <v>32948480.899999999</v>
      </c>
      <c r="I54" s="97"/>
      <c r="J54" s="93"/>
      <c r="K54" s="93"/>
      <c r="L54"/>
      <c r="M54"/>
      <c r="N54"/>
      <c r="O54"/>
      <c r="P54"/>
      <c r="Q54"/>
    </row>
    <row r="55" spans="1:17" x14ac:dyDescent="0.25">
      <c r="A55" s="44" t="s">
        <v>31</v>
      </c>
      <c r="B55" s="34" t="s">
        <v>14</v>
      </c>
      <c r="C55" s="46">
        <v>55.13</v>
      </c>
      <c r="D55" s="34">
        <v>15270</v>
      </c>
      <c r="E55" s="34">
        <v>15270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0.30299999999999999</v>
      </c>
      <c r="H55" s="39">
        <f>Table132[[#This Row],[New position]]*Table132[[#This Row],[Last_Price]]</f>
        <v>841835.10000000009</v>
      </c>
      <c r="I55" s="98"/>
      <c r="J55" s="93"/>
      <c r="K55" s="93"/>
      <c r="L55"/>
      <c r="M55"/>
      <c r="N55"/>
      <c r="O55"/>
      <c r="P55"/>
      <c r="Q55"/>
    </row>
    <row r="56" spans="1:17" x14ac:dyDescent="0.25">
      <c r="A56" s="44" t="s">
        <v>94</v>
      </c>
      <c r="B56" s="34" t="s">
        <v>14</v>
      </c>
      <c r="C56" s="46">
        <v>23.5</v>
      </c>
      <c r="D56" s="34">
        <v>22884</v>
      </c>
      <c r="E56" s="34">
        <v>22884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0.193</v>
      </c>
      <c r="H56" s="39">
        <f>Table132[[#This Row],[New position]]*Table132[[#This Row],[Last_Price]]</f>
        <v>537774</v>
      </c>
      <c r="I56" s="106"/>
      <c r="J56" s="93"/>
      <c r="K56" s="93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79.87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1.042</v>
      </c>
      <c r="H57" s="39">
        <f>Table132[[#This Row],[New position]]*Table132[[#This Row],[Last_Price]]</f>
        <v>2900239.44</v>
      </c>
      <c r="I57" s="26"/>
      <c r="J57" s="95"/>
      <c r="K57" s="93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72.400000000000006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0.998</v>
      </c>
      <c r="H58" s="39">
        <f>Table132[[#This Row],[New position]]*Table132[[#This Row],[Last_Price]]</f>
        <v>2776540</v>
      </c>
      <c r="I58" s="26"/>
      <c r="J58" s="95"/>
      <c r="K58" s="95"/>
      <c r="L58"/>
      <c r="M58"/>
      <c r="N58"/>
      <c r="O58"/>
      <c r="P58"/>
      <c r="Q58"/>
    </row>
    <row r="59" spans="1:17" x14ac:dyDescent="0.25">
      <c r="A59" s="44" t="s">
        <v>42</v>
      </c>
      <c r="B59" s="44" t="s">
        <v>14</v>
      </c>
      <c r="C59" s="46">
        <v>107.44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1.032</v>
      </c>
      <c r="H59" s="39">
        <f>Table132[[#This Row],[New position]]*Table132[[#This Row],[Last_Price]]</f>
        <v>2871334</v>
      </c>
      <c r="I59" s="53"/>
      <c r="J59" s="95"/>
      <c r="K59" s="94"/>
      <c r="L59"/>
      <c r="M59"/>
      <c r="N59"/>
      <c r="O59"/>
      <c r="P59"/>
      <c r="Q59"/>
    </row>
    <row r="60" spans="1:17" x14ac:dyDescent="0.25">
      <c r="A60" s="44" t="s">
        <v>47</v>
      </c>
      <c r="B60" s="44" t="s">
        <v>14</v>
      </c>
      <c r="C60" s="46">
        <v>36.33</v>
      </c>
      <c r="D60" s="34">
        <v>78324</v>
      </c>
      <c r="E60" s="34">
        <v>78324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1.0229999999999999</v>
      </c>
      <c r="H60" s="39">
        <f>Table132[[#This Row],[New position]]*Table132[[#This Row],[Last_Price]]</f>
        <v>2845510.92</v>
      </c>
      <c r="I60" s="53"/>
      <c r="J60" s="95"/>
      <c r="K60" s="93"/>
      <c r="L60"/>
      <c r="M60"/>
      <c r="N60"/>
      <c r="O60"/>
      <c r="P60"/>
      <c r="Q60"/>
    </row>
    <row r="61" spans="1:17" x14ac:dyDescent="0.25">
      <c r="A61" s="44" t="s">
        <v>92</v>
      </c>
      <c r="B61" s="44" t="s">
        <v>14</v>
      </c>
      <c r="C61" s="46">
        <v>17.38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0.72</v>
      </c>
      <c r="H61" s="39">
        <f>Table132[[#This Row],[New position]]*Table132[[#This Row],[Last_Price]]</f>
        <v>2003914</v>
      </c>
      <c r="I61" s="53"/>
      <c r="J61" s="93"/>
      <c r="K61" s="93"/>
      <c r="L61"/>
      <c r="M61"/>
      <c r="N61"/>
      <c r="O61"/>
      <c r="P61"/>
      <c r="Q61"/>
    </row>
    <row r="62" spans="1:17" x14ac:dyDescent="0.25">
      <c r="A62" s="44" t="s">
        <v>61</v>
      </c>
      <c r="B62" s="44" t="s">
        <v>14</v>
      </c>
      <c r="C62" s="46">
        <v>47.29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0.35699999999999998</v>
      </c>
      <c r="H62" s="39">
        <f>Table132[[#This Row],[New position]]*Table132[[#This Row],[Last_Price]]</f>
        <v>993704.77</v>
      </c>
      <c r="I62" s="53"/>
      <c r="J62" s="95"/>
      <c r="K62" s="93"/>
      <c r="L62"/>
      <c r="M62"/>
      <c r="N62"/>
      <c r="O62"/>
      <c r="P62"/>
      <c r="Q62"/>
    </row>
    <row r="63" spans="1:17" x14ac:dyDescent="0.25">
      <c r="A63" s="44" t="s">
        <v>43</v>
      </c>
      <c r="B63" s="44" t="s">
        <v>14</v>
      </c>
      <c r="C63" s="46">
        <v>220.55</v>
      </c>
      <c r="D63" s="34">
        <v>44481</v>
      </c>
      <c r="E63" s="34">
        <v>44481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3.5259999999999998</v>
      </c>
      <c r="H63" s="39">
        <f>Table132[[#This Row],[New position]]*Table132[[#This Row],[Last_Price]]</f>
        <v>9810284.5500000007</v>
      </c>
      <c r="I63" s="61"/>
      <c r="J63" s="93"/>
      <c r="K63" s="95"/>
      <c r="L63"/>
      <c r="M63"/>
      <c r="N63"/>
      <c r="O63"/>
      <c r="P63"/>
      <c r="Q63"/>
    </row>
    <row r="64" spans="1:17" x14ac:dyDescent="0.25">
      <c r="A64" s="44" t="s">
        <v>93</v>
      </c>
      <c r="B64" s="34" t="s">
        <v>14</v>
      </c>
      <c r="C64" s="46">
        <v>23.78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0.36899999999999999</v>
      </c>
      <c r="H64" s="39">
        <f>Table132[[#This Row],[New position]]*Table132[[#This Row],[Last_Price]]</f>
        <v>1027296</v>
      </c>
      <c r="I64" s="106"/>
      <c r="J64" s="93"/>
      <c r="K64" s="93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7"/>
      <c r="K65" s="81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40</v>
      </c>
      <c r="F66" s="31"/>
      <c r="G66" s="55" t="s">
        <v>41</v>
      </c>
      <c r="H66" s="46"/>
      <c r="I66" s="48"/>
      <c r="J66" s="67"/>
      <c r="K66" s="81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5</v>
      </c>
      <c r="F67" s="31"/>
      <c r="G67" s="34">
        <v>5</v>
      </c>
      <c r="H67" s="46"/>
      <c r="I67" s="48"/>
      <c r="J67" s="99" t="s">
        <v>69</v>
      </c>
      <c r="K67" s="80" t="s">
        <v>70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2"/>
      <c r="J68" s="66" t="s">
        <v>71</v>
      </c>
      <c r="K68" s="102">
        <f>1-SUM(K69:K70)</f>
        <v>0.69601902782273539</v>
      </c>
      <c r="L68"/>
      <c r="M68"/>
      <c r="N68"/>
      <c r="O68"/>
      <c r="P68"/>
      <c r="Q68"/>
    </row>
    <row r="69" spans="1:17" ht="15" customHeight="1" x14ac:dyDescent="0.25">
      <c r="A69" s="44" t="s">
        <v>53</v>
      </c>
      <c r="B69" s="44"/>
      <c r="C69" s="45"/>
      <c r="D69" s="47" t="str">
        <f>Table132[[#This Row],[Symbol]]</f>
        <v>Healthcare</v>
      </c>
      <c r="E69" s="34">
        <f>ROUND(SUM(G28:G28)/100, 3)</f>
        <v>2.5000000000000001E-2</v>
      </c>
      <c r="F69" s="47" t="str">
        <f>Table132[[#This Row],[Symbol]]</f>
        <v>Healthcare</v>
      </c>
      <c r="G69" s="34">
        <f>SUM(H28:H28)/(G67*C24)</f>
        <v>2.467238108417517E-2</v>
      </c>
      <c r="H69" s="46"/>
      <c r="I69" s="92"/>
      <c r="J69" s="66" t="s">
        <v>72</v>
      </c>
      <c r="K69" s="100">
        <f>SUM(H36:H53)/C25</f>
        <v>0.24559401208661827</v>
      </c>
      <c r="L69"/>
      <c r="M69"/>
      <c r="N69"/>
      <c r="O69"/>
      <c r="P69"/>
      <c r="Q69"/>
    </row>
    <row r="70" spans="1:17" ht="15" customHeight="1" x14ac:dyDescent="0.25">
      <c r="A70" s="44" t="s">
        <v>90</v>
      </c>
      <c r="B70" s="44"/>
      <c r="C70" s="45"/>
      <c r="D70" s="47" t="str">
        <f>Table132[[#This Row],[Symbol]]</f>
        <v>Energy</v>
      </c>
      <c r="E70" s="34">
        <f>ROUND(SUM(G29:G29)/100, 3)</f>
        <v>3.3000000000000002E-2</v>
      </c>
      <c r="F70" s="47" t="str">
        <f>Table132[[#This Row],[Symbol]]</f>
        <v>Energy</v>
      </c>
      <c r="G70" s="34">
        <f>SUM(H29:H29)/(G67*C24)</f>
        <v>3.2988212205462393E-2</v>
      </c>
      <c r="H70" s="46"/>
      <c r="I70" s="105"/>
      <c r="J70" s="66" t="s">
        <v>73</v>
      </c>
      <c r="K70" s="101">
        <f>(H63+H64+H55+H56)/C25</f>
        <v>5.8386960090646298E-2</v>
      </c>
      <c r="L70"/>
      <c r="M70"/>
      <c r="N70"/>
      <c r="O70"/>
      <c r="P70"/>
      <c r="Q70"/>
    </row>
    <row r="71" spans="1:17" ht="15" customHeight="1" x14ac:dyDescent="0.25">
      <c r="A71" s="44" t="s">
        <v>84</v>
      </c>
      <c r="B71" s="44"/>
      <c r="C71" s="45"/>
      <c r="D71" s="47" t="str">
        <f>Table132[[#This Row],[Symbol]]</f>
        <v>Financials</v>
      </c>
      <c r="E71" s="34">
        <f>ROUND(SUM(G30:G30)/100, 3)</f>
        <v>6.2E-2</v>
      </c>
      <c r="F71" s="47" t="str">
        <f>Table132[[#This Row],[Symbol]]</f>
        <v>Financials</v>
      </c>
      <c r="G71" s="51">
        <f>SUM(H30:H30)/(G67*C24)</f>
        <v>6.1673495380313179E-2</v>
      </c>
      <c r="H71" s="46"/>
      <c r="I71" s="92"/>
      <c r="J71" s="66"/>
      <c r="K71" s="100"/>
      <c r="L71"/>
      <c r="M71"/>
      <c r="N71"/>
      <c r="O71"/>
      <c r="P71"/>
      <c r="Q71"/>
    </row>
    <row r="72" spans="1:17" ht="15" customHeight="1" x14ac:dyDescent="0.25">
      <c r="A72" s="44" t="s">
        <v>85</v>
      </c>
      <c r="B72" s="44"/>
      <c r="C72" s="45"/>
      <c r="D72" s="47" t="str">
        <f>Table132[[#This Row],[Symbol]]</f>
        <v>Techs</v>
      </c>
      <c r="E72" s="51">
        <f>ROUND(SUM(G31:G31)/100, 3)</f>
        <v>6.2E-2</v>
      </c>
      <c r="F72" s="47" t="str">
        <f>Table132[[#This Row],[Symbol]]</f>
        <v>Techs</v>
      </c>
      <c r="G72" s="34">
        <f>SUM(H31:H31)/(G67*C24)</f>
        <v>6.164549100234893E-2</v>
      </c>
      <c r="H72" s="46"/>
      <c r="I72" s="104"/>
      <c r="K72" s="82"/>
      <c r="L72"/>
      <c r="M72"/>
      <c r="N72"/>
      <c r="O72"/>
      <c r="P72"/>
      <c r="Q72"/>
    </row>
    <row r="73" spans="1:17" ht="15" customHeight="1" x14ac:dyDescent="0.25">
      <c r="A73" s="44" t="s">
        <v>49</v>
      </c>
      <c r="B73" s="44"/>
      <c r="C73" s="45"/>
      <c r="D73" s="47" t="str">
        <f>Table132[[#This Row],[Symbol]]</f>
        <v>Semiconductor</v>
      </c>
      <c r="E73" s="34">
        <f>ROUND(SUM(G32:G33)/100, 3)</f>
        <v>7.4999999999999997E-2</v>
      </c>
      <c r="F73" s="47" t="str">
        <f>Table132[[#This Row],[Symbol]]</f>
        <v>Semiconductor</v>
      </c>
      <c r="G73" s="51">
        <f>SUM(H32:H33)/(G67*C24)</f>
        <v>7.5121596339475544E-2</v>
      </c>
      <c r="H73" s="46"/>
      <c r="I73" s="92"/>
      <c r="J73" s="68"/>
      <c r="K73" s="82"/>
      <c r="L73"/>
      <c r="M73"/>
      <c r="N73"/>
      <c r="O73"/>
      <c r="P73"/>
      <c r="Q73"/>
    </row>
    <row r="74" spans="1:17" ht="15.75" customHeight="1" x14ac:dyDescent="0.25">
      <c r="A74" s="44" t="s">
        <v>88</v>
      </c>
      <c r="B74" s="44"/>
      <c r="C74" s="45"/>
      <c r="D74" s="47" t="str">
        <f>Table132[[#This Row],[Symbol]]</f>
        <v>Russell</v>
      </c>
      <c r="E74" s="51">
        <f>ROUND(SUM(G34:G35)/100, 3)</f>
        <v>9.7000000000000003E-2</v>
      </c>
      <c r="F74" s="47" t="str">
        <f>Table132[[#This Row],[Symbol]]</f>
        <v>Russell</v>
      </c>
      <c r="G74" s="51">
        <f>SUM(H34:H35)/(G67*C24)</f>
        <v>9.7223179271884883E-2</v>
      </c>
      <c r="H74" s="46"/>
      <c r="I74" s="92"/>
      <c r="J74" s="68"/>
      <c r="K74" s="82"/>
      <c r="L74"/>
      <c r="M74"/>
      <c r="N74"/>
      <c r="O74"/>
      <c r="P74"/>
      <c r="Q74"/>
    </row>
    <row r="75" spans="1:17" ht="15.75" customHeight="1" x14ac:dyDescent="0.25">
      <c r="A75" s="44" t="s">
        <v>44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2"/>
      <c r="J75" s="68"/>
      <c r="K75" s="82"/>
      <c r="L75"/>
      <c r="M75"/>
      <c r="N75"/>
      <c r="O75"/>
      <c r="P75"/>
      <c r="Q75"/>
    </row>
    <row r="76" spans="1:17" ht="15.75" customHeight="1" x14ac:dyDescent="0.25">
      <c r="A76" s="44" t="s">
        <v>45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68"/>
      <c r="K76" s="82"/>
      <c r="L76"/>
      <c r="M76"/>
      <c r="N76"/>
      <c r="O76"/>
      <c r="P76"/>
      <c r="Q76"/>
    </row>
    <row r="77" spans="1:17" ht="14.25" customHeight="1" x14ac:dyDescent="0.25">
      <c r="A77" s="44" t="s">
        <v>48</v>
      </c>
      <c r="B77" s="44"/>
      <c r="C77" s="45"/>
      <c r="D77" s="47" t="str">
        <f>Table132[[#This Row],[Symbol]]</f>
        <v>Int Stocks</v>
      </c>
      <c r="E77" s="34">
        <f>ROUND(SUM(G36:G52)/100, 3)</f>
        <v>0.16900000000000001</v>
      </c>
      <c r="F77" s="47" t="str">
        <f>Table132[[#This Row],[Symbol]]</f>
        <v>Int Stocks</v>
      </c>
      <c r="G77" s="34">
        <f>SUM(H36:H52)/(G67*C24)</f>
        <v>0.16950283652507861</v>
      </c>
      <c r="H77" s="46"/>
      <c r="I77" s="46"/>
      <c r="J77" s="70"/>
      <c r="K77" s="84"/>
      <c r="L77"/>
      <c r="M77"/>
      <c r="N77"/>
      <c r="O77"/>
      <c r="P77"/>
      <c r="Q77"/>
    </row>
    <row r="78" spans="1:17" ht="14.25" customHeight="1" x14ac:dyDescent="0.25">
      <c r="A78" s="44" t="s">
        <v>59</v>
      </c>
      <c r="B78" s="44"/>
      <c r="C78" s="45"/>
      <c r="D78" s="47" t="str">
        <f>Table132[[#This Row],[Symbol]]</f>
        <v>JP Stocks</v>
      </c>
      <c r="E78" s="34">
        <f>ROUND(SUM(G53:G53)/100, 3)</f>
        <v>1.4999999999999999E-2</v>
      </c>
      <c r="F78" s="47" t="str">
        <f>Table132[[#This Row],[Symbol]]</f>
        <v>JP Stocks</v>
      </c>
      <c r="G78" s="34">
        <f>SUM(H53:H53)/(G67*C24)</f>
        <v>1.5210454995569916E-2</v>
      </c>
      <c r="H78" s="46"/>
      <c r="I78" s="62"/>
      <c r="J78" s="66"/>
      <c r="K78" s="80"/>
      <c r="L78"/>
      <c r="M78"/>
      <c r="N78"/>
      <c r="O78"/>
      <c r="P78"/>
      <c r="Q78"/>
    </row>
    <row r="79" spans="1:17" ht="15.75" customHeight="1" x14ac:dyDescent="0.25">
      <c r="A79" s="44" t="s">
        <v>67</v>
      </c>
      <c r="B79" s="44"/>
      <c r="C79" s="45"/>
      <c r="D79" s="47" t="str">
        <f>Table132[[#This Row],[Symbol]]</f>
        <v>Nasdaq</v>
      </c>
      <c r="E79" s="51">
        <f>ROUND(SUM(G54)/100, 3)</f>
        <v>0.11799999999999999</v>
      </c>
      <c r="F79" s="47" t="str">
        <f>Table132[[#This Row],[Symbol]]</f>
        <v>Nasdaq</v>
      </c>
      <c r="G79" s="34">
        <f>SUM(H54)/(G67*C24)</f>
        <v>0.11842961523876619</v>
      </c>
      <c r="H79" s="46"/>
      <c r="I79" s="27"/>
      <c r="J79" s="66"/>
      <c r="K79" s="80"/>
      <c r="L79"/>
      <c r="M79"/>
      <c r="N79"/>
      <c r="O79"/>
      <c r="P79"/>
      <c r="Q79"/>
    </row>
    <row r="80" spans="1:17" ht="15.75" customHeight="1" x14ac:dyDescent="0.25">
      <c r="A80" s="58" t="s">
        <v>50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51">
        <f>SUM(0)/(G67*C24)</f>
        <v>0</v>
      </c>
      <c r="H80" s="46"/>
      <c r="I80" s="27"/>
      <c r="J80" s="69"/>
      <c r="K80" s="83"/>
      <c r="L80"/>
      <c r="M80"/>
      <c r="N80"/>
      <c r="O80"/>
      <c r="P80"/>
      <c r="Q80"/>
    </row>
    <row r="81" spans="1:17" ht="15.75" customHeight="1" x14ac:dyDescent="0.25">
      <c r="A81" s="44" t="s">
        <v>51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34">
        <f>SUM(0)/(G67*C24)</f>
        <v>0</v>
      </c>
      <c r="H81" s="46"/>
      <c r="I81" s="59"/>
      <c r="J81" s="66"/>
      <c r="K81" s="80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ROUND((SUM(G57:G62))/100, 3)</f>
        <v>5.1999999999999998E-2</v>
      </c>
      <c r="F82" s="47" t="str">
        <f>Table132[[#This Row],[Symbol]]</f>
        <v>Bonds</v>
      </c>
      <c r="G82" s="34">
        <f>(SUM(H57:H62))/(G67*C24)</f>
        <v>5.1727707625313833E-2</v>
      </c>
      <c r="H82" s="46"/>
      <c r="I82" s="27"/>
      <c r="J82" s="71"/>
      <c r="K82" s="85"/>
      <c r="L82"/>
      <c r="M82"/>
      <c r="N82"/>
      <c r="O82"/>
      <c r="P82"/>
      <c r="Q82"/>
    </row>
    <row r="83" spans="1:17" ht="14.25" customHeight="1" x14ac:dyDescent="0.25">
      <c r="A83" s="44" t="s">
        <v>55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2"/>
      <c r="K83" s="79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ROUND(SUM(G63:G64)/100,3)</f>
        <v>3.9E-2</v>
      </c>
      <c r="F84" s="47" t="str">
        <f>Table132[[#This Row],[Symbol]]</f>
        <v>Gold</v>
      </c>
      <c r="G84" s="34">
        <f>SUM(H63:H64)/(G67*C24)</f>
        <v>3.8954466476044308E-2</v>
      </c>
      <c r="H84" s="34"/>
      <c r="I84" s="28"/>
      <c r="J84" s="73"/>
      <c r="K84" s="86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ROUND(SUM(G55:G56)/100,3)</f>
        <v>5.0000000000000001E-3</v>
      </c>
      <c r="F85" s="47" t="str">
        <f>Table132[[#This Row],[Symbol]]</f>
        <v>Commodities</v>
      </c>
      <c r="G85" s="51">
        <f>SUM(H55:H56)/(G67*C24)</f>
        <v>4.9588500115919009E-3</v>
      </c>
      <c r="H85" s="34"/>
      <c r="I85" s="29"/>
      <c r="J85" s="74"/>
      <c r="K85" s="87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34">
        <f>SUM(0)/(G67*C24)</f>
        <v>0</v>
      </c>
      <c r="H86" s="46"/>
      <c r="I86" s="50"/>
      <c r="J86" s="66"/>
      <c r="K86" s="80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0.24799999999999989</v>
      </c>
      <c r="F87" s="47" t="str">
        <f>Table132[[#This Row],[Symbol]]</f>
        <v>Cash</v>
      </c>
      <c r="G87" s="51">
        <f>1-SUM(G68:G86)</f>
        <v>0.24789171384397513</v>
      </c>
      <c r="H87" s="34"/>
      <c r="I87" s="27"/>
      <c r="J87" s="75"/>
      <c r="K87" s="88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13799290.399999993</v>
      </c>
      <c r="F88" s="31"/>
      <c r="G88" s="39">
        <f>C24*G87</f>
        <v>13793265.109220617</v>
      </c>
      <c r="H88" s="39"/>
      <c r="I88" s="30"/>
      <c r="J88" s="66"/>
      <c r="K88" s="80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6"/>
      <c r="K89" s="80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6"/>
      <c r="K90" s="80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6"/>
      <c r="K91" s="89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Investment Team</cp:lastModifiedBy>
  <cp:lastPrinted>2024-01-08T12:16:57Z</cp:lastPrinted>
  <dcterms:created xsi:type="dcterms:W3CDTF">2020-06-30T03:42:56Z</dcterms:created>
  <dcterms:modified xsi:type="dcterms:W3CDTF">2025-08-04T09:49:03Z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