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5158" documentId="14_{A48F4B07-3EF3-43E5-91B2-4CA340E6013A}" xr6:coauthVersionLast="47" xr6:coauthVersionMax="47" xr10:uidLastSave="{D2F9239A-7892-4446-8B16-3ED75299B06F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3" l="1"/>
  <c r="C38" i="3"/>
  <c r="F37" i="3"/>
  <c r="H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1" i="3"/>
  <c r="D71" i="3"/>
  <c r="F29" i="3" l="1"/>
  <c r="H29" i="3"/>
  <c r="F72" i="3" l="1"/>
  <c r="F73" i="3"/>
  <c r="D72" i="3"/>
  <c r="D73" i="3"/>
  <c r="H30" i="3"/>
  <c r="H31" i="3"/>
  <c r="F30" i="3"/>
  <c r="F31" i="3"/>
  <c r="H33" i="3"/>
  <c r="F33" i="3"/>
  <c r="H34" i="3" l="1"/>
  <c r="H35" i="3"/>
  <c r="F34" i="3"/>
  <c r="F35" i="3"/>
  <c r="F55" i="3"/>
  <c r="H55" i="3"/>
  <c r="E82" i="3" l="1"/>
  <c r="E87" i="3" l="1"/>
  <c r="F54" i="3"/>
  <c r="H54" i="3" l="1"/>
  <c r="E84" i="3"/>
  <c r="E81" i="3"/>
  <c r="H28" i="3"/>
  <c r="F28" i="3"/>
  <c r="E69" i="3"/>
  <c r="H32" i="3"/>
  <c r="F32" i="3"/>
  <c r="F50" i="3" l="1"/>
  <c r="H50" i="3"/>
  <c r="E77" i="3" l="1"/>
  <c r="E76" i="3"/>
  <c r="F79" i="3" l="1"/>
  <c r="D79" i="3"/>
  <c r="F63" i="3" l="1"/>
  <c r="H63" i="3"/>
  <c r="D84" i="3" l="1"/>
  <c r="F84" i="3"/>
  <c r="D70" i="3" l="1"/>
  <c r="D74" i="3"/>
  <c r="D75" i="3"/>
  <c r="D76" i="3"/>
  <c r="D77" i="3"/>
  <c r="D78" i="3"/>
  <c r="D80" i="3"/>
  <c r="D81" i="3"/>
  <c r="D82" i="3"/>
  <c r="D83" i="3"/>
  <c r="D85" i="3"/>
  <c r="D86" i="3"/>
  <c r="D87" i="3"/>
  <c r="D88" i="3"/>
  <c r="F70" i="3"/>
  <c r="H43" i="3"/>
  <c r="F43" i="3"/>
  <c r="F42" i="3" l="1"/>
  <c r="H42" i="3"/>
  <c r="F82" i="3"/>
  <c r="D69" i="3" l="1"/>
  <c r="F78" i="3"/>
  <c r="F76" i="3"/>
  <c r="F75" i="3"/>
  <c r="F74" i="3"/>
  <c r="F69" i="3"/>
  <c r="F81" i="3"/>
  <c r="F77" i="3" l="1"/>
  <c r="F80" i="3"/>
  <c r="F83" i="3"/>
  <c r="F85" i="3"/>
  <c r="F86" i="3"/>
  <c r="F87" i="3"/>
  <c r="F88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70" i="3" s="1"/>
  <c r="K71" i="3" l="1"/>
  <c r="F41" i="3"/>
  <c r="K69" i="3" l="1"/>
  <c r="F52" i="3"/>
  <c r="C24" i="3"/>
  <c r="C11" i="3" s="1"/>
  <c r="G86" i="3" l="1"/>
  <c r="C16" i="3"/>
  <c r="C13" i="3"/>
  <c r="C20" i="3"/>
  <c r="G85" i="3"/>
  <c r="C17" i="3"/>
  <c r="G78" i="3"/>
  <c r="C7" i="3"/>
  <c r="G71" i="3"/>
  <c r="C6" i="3"/>
  <c r="C5" i="3"/>
  <c r="C4" i="3"/>
  <c r="G73" i="3"/>
  <c r="G70" i="3"/>
  <c r="G72" i="3"/>
  <c r="G74" i="3"/>
  <c r="C8" i="3"/>
  <c r="G75" i="3"/>
  <c r="G83" i="3"/>
  <c r="G82" i="3"/>
  <c r="C15" i="3"/>
  <c r="C19" i="3"/>
  <c r="G87" i="3"/>
  <c r="G80" i="3"/>
  <c r="C18" i="3"/>
  <c r="G84" i="3"/>
  <c r="G81" i="3"/>
  <c r="C14" i="3"/>
  <c r="G69" i="3"/>
  <c r="C3" i="3"/>
  <c r="C12" i="3"/>
  <c r="C9" i="3"/>
  <c r="G76" i="3"/>
  <c r="C10" i="3"/>
  <c r="G77" i="3"/>
  <c r="G79" i="3"/>
  <c r="C2" i="3"/>
  <c r="G88" i="3" l="1"/>
  <c r="G89" i="3" s="1"/>
  <c r="E68" i="3" l="1"/>
  <c r="G41" i="3" s="1"/>
  <c r="G64" i="3"/>
  <c r="G36" i="3" l="1"/>
  <c r="G37" i="3"/>
  <c r="G47" i="3"/>
  <c r="G38" i="3"/>
  <c r="G48" i="3"/>
  <c r="G52" i="3"/>
  <c r="G45" i="3"/>
  <c r="G58" i="3"/>
  <c r="G30" i="3"/>
  <c r="E72" i="3" s="1"/>
  <c r="G42" i="3"/>
  <c r="G57" i="3"/>
  <c r="G56" i="3"/>
  <c r="G43" i="3"/>
  <c r="G33" i="3"/>
  <c r="G40" i="3"/>
  <c r="G62" i="3"/>
  <c r="G60" i="3"/>
  <c r="G55" i="3"/>
  <c r="G28" i="3"/>
  <c r="E70" i="3" s="1"/>
  <c r="G44" i="3"/>
  <c r="G35" i="3"/>
  <c r="G39" i="3"/>
  <c r="G31" i="3"/>
  <c r="E73" i="3" s="1"/>
  <c r="G63" i="3"/>
  <c r="E85" i="3" s="1"/>
  <c r="G32" i="3"/>
  <c r="G46" i="3"/>
  <c r="G61" i="3"/>
  <c r="G54" i="3"/>
  <c r="E80" i="3" s="1"/>
  <c r="G49" i="3"/>
  <c r="G59" i="3"/>
  <c r="G50" i="3"/>
  <c r="G53" i="3"/>
  <c r="E79" i="3" s="1"/>
  <c r="G29" i="3"/>
  <c r="E71" i="3" s="1"/>
  <c r="G51" i="3"/>
  <c r="G34" i="3"/>
  <c r="E75" i="3" l="1"/>
  <c r="E86" i="3"/>
  <c r="E83" i="3"/>
  <c r="E74" i="3"/>
  <c r="E78" i="3"/>
  <c r="E88" i="3" l="1"/>
  <c r="E8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7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7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<sst xmlns="http://schemas.openxmlformats.org/spreadsheetml/2006/main" count="135" uniqueCount="98">
  <si>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</si>
  <si>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</si>
  <si>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</si>
  <si>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</si>
  <si>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</si>
  <si>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</si>
  <si>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</si>
  <si>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</si>
  <si>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</si>
  <si>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</si>
  <si>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</si>
  <si>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</si>
  <si>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</si>
  <si>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</si>
  <si>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</si>
  <si>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</si>
  <si>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</si>
  <si>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</si>
  <si>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</si>
  <si>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</si>
  <si>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</si>
  <si>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</si>
  <si>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</si>
  <si>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</si>
  <si>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</si>
  <si>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</si>
  <si>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</si>
  <si>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</si>
  <si>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</si>
  <si>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</si>
  <si>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</si>
  <si>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</si>
  <si>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</si>
  <si>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</si>
  <si>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</si>
  <si>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</si>
  <si>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</si>
  <si>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</si>
  <si>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</si>
  <si>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</si>
  <si>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</si>
  <si>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</si>
  <si>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</si>
  <si>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</si>
  <si>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</si>
  <si>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</si>
  <si>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</si>
  <si>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</si>
  <si>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</si>
  <si>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</si>
  <si>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</si>
  <si>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</si>
  <si>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</si>
  <si>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</si>
  <si>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</si>
  <si>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</si>
  <si>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</si>
  <si>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</si>
  <si>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</si>
  <si>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</si>
  <si>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</si>
  <si>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</si>
  <si>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</si>
  <si>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</si>
  <si>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</si>
  <si>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</si>
  <si>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</si>
  <si>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</si>
  <si>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</si>
  <si>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</si>
  <si>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</si>
  <si>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</si>
  <si>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</si>
  <si>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</si>
  <si>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</si>
  <si>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</si>
  <si>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</si>
  <si>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</si>
  <si>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</si>
  <si>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</si>
  <si>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</si>
  <si>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</si>
  <si>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</si>
  <si>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</si>
  <si>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</si>
  <si>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</si>
  <si>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</si>
  <si>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</si>
  <si>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</si>
  <si>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</si>
  <si>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</si>
  <si>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</si>
  <si>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</si>
  <si>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</si>
  <si>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Leverage for Single Equities</t>
  </si>
  <si>
    <t>Khoo Jing Yan</t>
  </si>
  <si>
    <t>NVDA 24MAY24 1010 C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</si>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</sst>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164" fontId="0" fillId="5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Sheet1!$D$69:$D$88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Sheet1!$E$69:$E$88</c:f>
              <c:numCache>
                <c:formatCode>General</c:formatCode>
                <c:ptCount val="20"/>
                <c:pt idx="0">
                  <c:v>0</c:v>
                </c:pt>
                <c:pt idx="1">
                  <c:v>3.3000000000000002E-2</c:v>
                </c:pt>
                <c:pt idx="2">
                  <c:v>4.3999999999999997E-2</c:v>
                </c:pt>
                <c:pt idx="3">
                  <c:v>8.1000000000000003E-2</c:v>
                </c:pt>
                <c:pt idx="4">
                  <c:v>8.2000000000000003E-2</c:v>
                </c:pt>
                <c:pt idx="5">
                  <c:v>0.10100000000000001</c:v>
                </c:pt>
                <c:pt idx="6">
                  <c:v>0.129</c:v>
                </c:pt>
                <c:pt idx="7">
                  <c:v>0</c:v>
                </c:pt>
                <c:pt idx="8">
                  <c:v>0</c:v>
                </c:pt>
                <c:pt idx="9">
                  <c:v>0.223</c:v>
                </c:pt>
                <c:pt idx="10">
                  <c:v>2.1000000000000001E-2</c:v>
                </c:pt>
                <c:pt idx="11">
                  <c:v>0.158</c:v>
                </c:pt>
                <c:pt idx="12">
                  <c:v>0</c:v>
                </c:pt>
                <c:pt idx="13">
                  <c:v>0</c:v>
                </c:pt>
                <c:pt idx="14">
                  <c:v>6.9000000000000006E-2</c:v>
                </c:pt>
                <c:pt idx="15">
                  <c:v>0</c:v>
                </c:pt>
                <c:pt idx="16">
                  <c:v>5.1999999999999998E-2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Sheet1!$J$69:$J$71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Sheet1!$K$69:$K$71</c:f>
              <c:numCache>
                <c:formatCode>0%</c:formatCode>
                <c:ptCount val="3"/>
                <c:pt idx="0">
                  <c:v>0.69677049051510731</c:v>
                </c:pt>
                <c:pt idx="1">
                  <c:v>0.24397686754419862</c:v>
                </c:pt>
                <c:pt idx="2">
                  <c:v>5.9252641940694094E-2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2" totalsRowShown="0" headerRowDxfId="13" dataDxfId="11" headerRowBorderDxfId="12" tableBorderDxfId="10" totalsRowBorderDxfId="9">
  <autoFilter ref="A27:I92" xr:uid="{00000000-0009-0000-0100-000001000000}"/>
  <sortState xmlns:xlrd2="http://schemas.microsoft.com/office/spreadsheetml/2017/richdata2" ref="A28:I91">
    <sortCondition ref="A27:A9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0"/>
  <sheetViews>
    <sheetView tabSelected="1" zoomScale="115" zoomScaleNormal="115" workbookViewId="0">
      <selection activeCell="K12" sqref="K12"/>
    </sheetView>
  </sheetViews>
  <sheetFormatPr defaultColWidth="9.140625" defaultRowHeight="15" outlineLevelCol="1" x14ac:dyDescent="0.25"/>
  <cols>
    <col min="1" max="1" width="12.28515625" style="1" customWidth="1"/>
    <col min="2" max="2" width="17.42578125" style="1" customWidth="1" outlineLevel="1"/>
    <col min="3" max="3" width="16.140625" style="1" customWidth="1" outlineLevel="1"/>
    <col min="4" max="4" width="18.28515625" customWidth="1" outlineLevel="1"/>
    <col min="5" max="5" width="17.28515625" customWidth="1" outlineLevel="1"/>
    <col min="6" max="6" width="10.5703125" customWidth="1" outlineLevel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9" t="s">
        <v>0</v>
      </c>
      <c r="B1" s="109"/>
      <c r="C1" s="12">
        <v>45433</v>
      </c>
      <c r="E1" s="14"/>
      <c r="F1" s="14"/>
      <c r="G1" s="43"/>
      <c r="H1" s="14"/>
      <c r="J1" s="64"/>
      <c r="K1" s="78"/>
    </row>
    <row r="2" spans="1:12" s="13" customFormat="1" x14ac:dyDescent="0.25">
      <c r="A2" s="109" t="s">
        <v>10</v>
      </c>
      <c r="B2" s="109"/>
      <c r="C2" s="15">
        <f>C25/C24</f>
        <v>3.7711127392942005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1" t="s">
        <v>94</v>
      </c>
      <c r="B3" s="112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51</v>
      </c>
      <c r="B4" s="57"/>
      <c r="C4" s="15">
        <f>SUM(H28:H28)/C24</f>
        <v>0.12333656229163784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84</v>
      </c>
      <c r="B5" s="57"/>
      <c r="C5" s="15">
        <f>SUM(H30:H30)/C24</f>
        <v>0.30661289666315011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85</v>
      </c>
      <c r="B6" s="57"/>
      <c r="C6" s="15">
        <f>SUM(H31:H31)/C24</f>
        <v>0.31085542473981126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45</v>
      </c>
      <c r="B7" s="57"/>
      <c r="C7" s="15">
        <f>SUM(H32:H33)/C24</f>
        <v>0.38030732679993451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1" t="s">
        <v>78</v>
      </c>
      <c r="B8" s="112"/>
      <c r="C8" s="15">
        <f>SUM(H34:H35)/C24</f>
        <v>0.48638611595854231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75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76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1" t="s">
        <v>38</v>
      </c>
      <c r="B11" s="112"/>
      <c r="C11" s="15">
        <f>SUM(H36:H52)/C24</f>
        <v>0.8424148231404831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1" t="s">
        <v>59</v>
      </c>
      <c r="B12" s="112"/>
      <c r="C12" s="15">
        <f>SUM(H53:H53)/C24</f>
        <v>7.7649450148538079E-2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1" t="s">
        <v>67</v>
      </c>
      <c r="B13" s="112"/>
      <c r="C13" s="15">
        <f>SUM(H54:H54)/C24</f>
        <v>0.59545016327506228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77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53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1" t="s">
        <v>25</v>
      </c>
      <c r="B16" s="112"/>
      <c r="C16" s="15">
        <f>SUM(H55:H56)/C24</f>
        <v>2.590286275010199E-2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1" t="s">
        <v>24</v>
      </c>
      <c r="B17" s="112"/>
      <c r="C17" s="15">
        <f>SUM(H57:H62)/C24</f>
        <v>0.25849525990119027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55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10" t="s">
        <v>36</v>
      </c>
      <c r="B19" s="110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1" t="s">
        <v>37</v>
      </c>
      <c r="B20" s="112"/>
      <c r="C20" s="15">
        <f>SUM(H63:H64)/C24</f>
        <v>0.19754553010928735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9" t="s">
        <v>8</v>
      </c>
      <c r="B21" s="109"/>
      <c r="C21" s="18">
        <v>55642300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9" t="s">
        <v>6</v>
      </c>
      <c r="B22" s="109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9" t="s">
        <v>7</v>
      </c>
      <c r="B23" s="109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9" t="s">
        <v>9</v>
      </c>
      <c r="B24" s="109"/>
      <c r="C24" s="18">
        <f>C21+C22-C23</f>
        <v>55642300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10" t="s">
        <v>5</v>
      </c>
      <c r="B25" s="110"/>
      <c r="C25" s="11">
        <f t="array" ref="C25">SUM(ABS(Table132[Target allocation ($)]))</f>
        <v>209833386.37362969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62</v>
      </c>
      <c r="K27" s="91" t="s">
        <v>63</v>
      </c>
    </row>
    <row r="28" spans="1:17" x14ac:dyDescent="0.25">
      <c r="A28" s="44" t="s">
        <v>65</v>
      </c>
      <c r="B28" s="34" t="s">
        <v>14</v>
      </c>
      <c r="C28" s="92">
        <v>146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($)]]/(IF(G89&gt;0, G68,E68)*C24)*100,3)</f>
        <v>3.2709999999999999</v>
      </c>
      <c r="H28" s="39">
        <f>Table132[[#This Row],[New position]]*Table132[[#This Row],[Last_Price]]</f>
        <v>6862730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87</v>
      </c>
      <c r="B29" s="34" t="s">
        <v>14</v>
      </c>
      <c r="C29" s="92">
        <v>94.34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($)]]/(IF(G89&gt;0, G68,E68)*C24)*100,3)</f>
        <v>4.4059999999999997</v>
      </c>
      <c r="H29" s="39">
        <f>Table132[[#This Row],[New position]]*Table132[[#This Row],[Last_Price]]</f>
        <v>9245320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80</v>
      </c>
      <c r="B30" s="44" t="s">
        <v>14</v>
      </c>
      <c r="C30" s="92">
        <v>41.94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($)]]/(IF(G89&gt;0, G68,E68)*C24)*100,3)</f>
        <v>8.1310000000000002</v>
      </c>
      <c r="H30" s="39">
        <f>Table132[[#This Row],[New position]]*Table132[[#This Row],[Last_Price]]</f>
        <v>17060646.779999997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81</v>
      </c>
      <c r="B31" s="34" t="s">
        <v>14</v>
      </c>
      <c r="C31" s="92">
        <v>214.1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($)]]/(IF(G89&gt;0, G68,E68)*C24)*100,3)</f>
        <v>8.2430000000000003</v>
      </c>
      <c r="H31" s="39">
        <f>Table132[[#This Row],[New position]]*Table132[[#This Row],[Last_Price]]</f>
        <v>17296710.800000001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64</v>
      </c>
      <c r="B32" s="44" t="s">
        <v>14</v>
      </c>
      <c r="C32" s="92">
        <v>235.37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($)]]/(IF(G89&gt;0, G68,E68)*C24)*100,3)</f>
        <v>5.8460000000000001</v>
      </c>
      <c r="H32" s="39">
        <f>Table132[[#This Row],[New position]]*Table132[[#This Row],[Last_Price]]</f>
        <v>12267719.77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79</v>
      </c>
      <c r="B33" s="44" t="s">
        <v>14</v>
      </c>
      <c r="C33" s="92">
        <v>952.19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($)]]/(IF(G89&gt;0, G68,E68)*C24)*100,3)</f>
        <v>4.2380000000000004</v>
      </c>
      <c r="H33" s="39">
        <f>Table132[[#This Row],[New position]]*Table132[[#This Row],[Last_Price]]</f>
        <v>8893454.5999999996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73</v>
      </c>
      <c r="B34" s="34" t="s">
        <v>14</v>
      </c>
      <c r="C34" s="92">
        <v>55.89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($)]]/(IF(G89&gt;0, G68,E68)*C24)*100,3)</f>
        <v>7.1150000000000002</v>
      </c>
      <c r="H34" s="39">
        <f>Table132[[#This Row],[New position]]*Table132[[#This Row],[Last_Price]]</f>
        <v>14930342.82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74</v>
      </c>
      <c r="B35" s="44" t="s">
        <v>14</v>
      </c>
      <c r="C35" s="92">
        <v>208.39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($)]]/(IF(G89&gt;0, G68,E68)*C24)*100,3)</f>
        <v>5.782</v>
      </c>
      <c r="H35" s="39">
        <f>Table132[[#This Row],[New position]]*Table132[[#This Row],[Last_Price]]</f>
        <v>12133299.359999999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236.56033287101201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($)]]/(IF(G89&gt;0, G68,E68)*C24)*100,3)</f>
        <v>0.10100000000000001</v>
      </c>
      <c r="H36" s="39">
        <f>Table132[[#This Row],[New position]]*Table132[[#This Row],[Last_Price]]</f>
        <v>212904.29958391082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4.2205270457697601</v>
      </c>
      <c r="D37" s="34">
        <v>22600</v>
      </c>
      <c r="E37" s="34">
        <v>22600</v>
      </c>
      <c r="F37" s="33">
        <f>Table132[[#This Row],[New position]]-Table132[[#This Row],[Old position]]</f>
        <v>0</v>
      </c>
      <c r="G37" s="34">
        <f>ROUND(Table132[[#This Row],[Target allocation ($)]]/(IF(G89&gt;0, G68,E68)*C24)*100,3)</f>
        <v>4.4999999999999998E-2</v>
      </c>
      <c r="H37" s="39">
        <f>Table132[[#This Row],[New position]]*Table132[[#This Row],[Last_Price]]</f>
        <v>95383.911234396583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93</v>
      </c>
      <c r="B38" s="44" t="s">
        <v>14</v>
      </c>
      <c r="C38" s="108">
        <f>40.05/7.27394</f>
        <v>5.5059568816899782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($)]]/(IF(G89&gt;0, G68,E68)*C24)*100,3)</f>
        <v>8.8999999999999996E-2</v>
      </c>
      <c r="H38" s="39">
        <f>Table132[[#This Row],[New position]]*Table132[[#This Row],[Last_Price]]</f>
        <v>187753.12966562825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49.002557544757003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($)]]/(IF(G89&gt;0, G68,E68)*C24)*100,3)</f>
        <v>0.35699999999999998</v>
      </c>
      <c r="H39" s="39">
        <f>Table132[[#This Row],[New position]]*Table132[[#This Row],[Last_Price]]</f>
        <v>749739.13043478213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10.792838874680299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($)]]/(IF(G89&gt;0, G68,E68)*C24)*100,3)</f>
        <v>0.113</v>
      </c>
      <c r="H40" s="39">
        <f>Table132[[#This Row],[New position]]*Table132[[#This Row],[Last_Price]]</f>
        <v>237442.45524296659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13.145780051150901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($)]]/(IF(G89&gt;0, G68,E68)*C24)*100,3)</f>
        <v>9.8000000000000004E-2</v>
      </c>
      <c r="H41" s="39">
        <f>Table132[[#This Row],[New position]]*Table132[[#This Row],[Last_Price]]</f>
        <v>205074.16879795404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0.98721227621483398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($)]]/(IF(G89&gt;0, G68,E68)*C24)*100,3)</f>
        <v>1.2629999999999999</v>
      </c>
      <c r="H42" s="39">
        <f>Table132[[#This Row],[New position]]*Table132[[#This Row],[Last_Price]]</f>
        <v>2649677.7493606145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2.4526854219948802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($)]]/(IF(G89&gt;0, G68,E68)*C24)*100,3)</f>
        <v>2.9950000000000001</v>
      </c>
      <c r="H43" s="39">
        <f>Table132[[#This Row],[New position]]*Table132[[#This Row],[Last_Price]]</f>
        <v>6283780.0511508826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8.8312020460358092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($)]]/(IF(G89&gt;0, G68,E68)*C24)*100,3)</f>
        <v>2.2010000000000001</v>
      </c>
      <c r="H44" s="39">
        <f>Table132[[#This Row],[New position]]*Table132[[#This Row],[Last_Price]]</f>
        <v>4618718.6700767279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1.6726342710997399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($)]]/(IF(G89&gt;0, G68,E68)*C24)*100,3)</f>
        <v>0.374</v>
      </c>
      <c r="H45" s="39">
        <f>Table132[[#This Row],[New position]]*Table132[[#This Row],[Last_Price]]</f>
        <v>784298.20971866802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11.234015345268499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($)]]/(IF(G89&gt;0, G68,E68)*C24)*100,3)</f>
        <v>0.56100000000000005</v>
      </c>
      <c r="H46" s="39">
        <f>Table132[[#This Row],[New position]]*Table132[[#This Row],[Last_Price]]</f>
        <v>1177324.8081841387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0.489769820971867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($)]]/(IF(G89&gt;0, G68,E68)*C24)*100,3)</f>
        <v>0.54300000000000004</v>
      </c>
      <c r="H47" s="39">
        <f>Table132[[#This Row],[New position]]*Table132[[#This Row],[Last_Price]]</f>
        <v>1138714.8337595908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4.5907928388746804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($)]]/(IF(G89&gt;0, G68,E68)*C24)*100,3)</f>
        <v>5.2999999999999999E-2</v>
      </c>
      <c r="H48" s="39">
        <f>Table132[[#This Row],[New position]]*Table132[[#This Row],[Last_Price]]</f>
        <v>110179.02813299233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2.3682864450127901</v>
      </c>
      <c r="D49" s="34">
        <v>1286000</v>
      </c>
      <c r="E49" s="34">
        <v>1286000</v>
      </c>
      <c r="F49" s="33">
        <f>Table132[[#This Row],[New position]]-Table132[[#This Row],[Old position]]</f>
        <v>0</v>
      </c>
      <c r="G49" s="34">
        <f>ROUND(Table132[[#This Row],[Target allocation ($)]]/(IF(G89&gt;0, G68,E68)*C24)*100,3)</f>
        <v>1.4510000000000001</v>
      </c>
      <c r="H49" s="39">
        <f>Table132[[#This Row],[New position]]*Table132[[#This Row],[Last_Price]]</f>
        <v>3045616.3682864481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61</v>
      </c>
      <c r="B50" s="34" t="s">
        <v>14</v>
      </c>
      <c r="C50" s="92">
        <v>45.83</v>
      </c>
      <c r="D50" s="34">
        <v>143754</v>
      </c>
      <c r="E50" s="34">
        <v>143754</v>
      </c>
      <c r="F50" s="33">
        <f>Table132[[#This Row],[New position]]-Table132[[#This Row],[Old position]]</f>
        <v>0</v>
      </c>
      <c r="G50" s="34">
        <f>ROUND(Table132[[#This Row],[Target allocation ($)]]/(IF(G89&gt;0, G68,E68)*C24)*100,3)</f>
        <v>3.14</v>
      </c>
      <c r="H50" s="39">
        <f>Table132[[#This Row],[New position]]*Table132[[#This Row],[Last_Price]]</f>
        <v>6588245.8199999994</v>
      </c>
      <c r="I50" s="27"/>
      <c r="J50" s="93"/>
      <c r="K50" s="95"/>
      <c r="L50"/>
      <c r="M50"/>
      <c r="N50"/>
      <c r="O50"/>
      <c r="P50"/>
      <c r="Q50"/>
    </row>
    <row r="51" spans="1:17" x14ac:dyDescent="0.25">
      <c r="A51" s="34" t="s">
        <v>89</v>
      </c>
      <c r="B51" s="34" t="s">
        <v>14</v>
      </c>
      <c r="C51" s="46">
        <v>38.75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($)]]/(IF(G89&gt;0, G68,E68)*C24)*100,3)</f>
        <v>1.4770000000000001</v>
      </c>
      <c r="H51" s="39">
        <f>Table132[[#This Row],[New position]]*Table132[[#This Row],[Last_Price]]</f>
        <v>3100000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56</v>
      </c>
      <c r="B52" s="34" t="s">
        <v>14</v>
      </c>
      <c r="C52" s="92">
        <v>65.239999999999995</v>
      </c>
      <c r="D52" s="34">
        <v>240482</v>
      </c>
      <c r="E52" s="34">
        <v>240482</v>
      </c>
      <c r="F52" s="33">
        <f>Table132[[#This Row],[New position]]-Table132[[#This Row],[Old position]]</f>
        <v>0</v>
      </c>
      <c r="G52" s="34">
        <f>ROUND(Table132[[#This Row],[Target allocation ($)]]/(IF(G89&gt;0, G68,E68)*C24)*100,3)</f>
        <v>7.4770000000000003</v>
      </c>
      <c r="H52" s="39">
        <f>Table132[[#This Row],[New position]]*Table132[[#This Row],[Last_Price]]</f>
        <v>15689045.679999998</v>
      </c>
      <c r="I52" s="27"/>
      <c r="J52" s="93"/>
      <c r="K52" s="93"/>
      <c r="L52" s="42"/>
      <c r="M52" s="42"/>
      <c r="N52"/>
      <c r="O52"/>
      <c r="P52"/>
      <c r="Q52"/>
    </row>
    <row r="53" spans="1:17" x14ac:dyDescent="0.25">
      <c r="A53" s="44" t="s">
        <v>57</v>
      </c>
      <c r="B53" s="34" t="s">
        <v>14</v>
      </c>
      <c r="C53" s="46">
        <v>110.36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($)]]/(IF(G89&gt;0, G68,E68)*C24)*100,3)</f>
        <v>2.0590000000000002</v>
      </c>
      <c r="H53" s="39">
        <f>Table132[[#This Row],[New position]]*Table132[[#This Row],[Last_Price]]</f>
        <v>4320594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454.42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($)]]/(IF(G89&gt;0, G68,E68)*C24)*100,3)</f>
        <v>15.79</v>
      </c>
      <c r="H54" s="39">
        <f>Table132[[#This Row],[New position]]*Table132[[#This Row],[Last_Price]]</f>
        <v>33132216.620000001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30</v>
      </c>
      <c r="B55" s="34" t="s">
        <v>14</v>
      </c>
      <c r="C55" s="46">
        <v>58.81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($)]]/(IF(G89&gt;0, G68,E68)*C24)*100,3)</f>
        <v>0.42799999999999999</v>
      </c>
      <c r="H55" s="39">
        <f>Table132[[#This Row],[New position]]*Table132[[#This Row],[Last_Price]]</f>
        <v>898028.70000000007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92</v>
      </c>
      <c r="B56" s="34" t="s">
        <v>14</v>
      </c>
      <c r="C56" s="46">
        <v>23.74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($)]]/(IF(G89&gt;0, G68,E68)*C24)*100,3)</f>
        <v>0.25900000000000001</v>
      </c>
      <c r="H56" s="39">
        <f>Table132[[#This Row],[New position]]*Table132[[#This Row],[Last_Price]]</f>
        <v>543266.15999999992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31</v>
      </c>
      <c r="B57" s="44" t="s">
        <v>14</v>
      </c>
      <c r="C57" s="46">
        <v>79.69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($)]]/(IF(G89&gt;0, G68,E68)*C24)*100,3)</f>
        <v>1.379</v>
      </c>
      <c r="H57" s="39">
        <f>Table132[[#This Row],[New position]]*Table132[[#This Row],[Last_Price]]</f>
        <v>2893703.28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32</v>
      </c>
      <c r="B58" s="44" t="s">
        <v>14</v>
      </c>
      <c r="C58" s="46">
        <v>72.8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($)]]/(IF(G89&gt;0, G68,E68)*C24)*100,3)</f>
        <v>1.331</v>
      </c>
      <c r="H58" s="39">
        <f>Table132[[#This Row],[New position]]*Table132[[#This Row],[Last_Price]]</f>
        <v>2791880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41</v>
      </c>
      <c r="B59" s="44" t="s">
        <v>14</v>
      </c>
      <c r="C59" s="46">
        <v>107.14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($)]]/(IF(G89&gt;0, G68,E68)*C24)*100,3)</f>
        <v>1.365</v>
      </c>
      <c r="H59" s="39">
        <f>Table132[[#This Row],[New position]]*Table132[[#This Row],[Last_Price]]</f>
        <v>2863316.5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46</v>
      </c>
      <c r="B60" s="44" t="s">
        <v>14</v>
      </c>
      <c r="C60" s="46">
        <v>36.340000000000003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($)]]/(IF(G89&gt;0, G68,E68)*C24)*100,3)</f>
        <v>1.3560000000000001</v>
      </c>
      <c r="H60" s="39">
        <f>Table132[[#This Row],[New position]]*Table132[[#This Row],[Last_Price]]</f>
        <v>2846294.16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90</v>
      </c>
      <c r="B61" s="44" t="s">
        <v>14</v>
      </c>
      <c r="C61" s="46">
        <v>17.309999999999999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($)]]/(IF(G89&gt;0, G68,E68)*C24)*100,3)</f>
        <v>0.95099999999999996</v>
      </c>
      <c r="H61" s="39">
        <f>Table132[[#This Row],[New position]]*Table132[[#This Row],[Last_Price]]</f>
        <v>1995842.9999999998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60</v>
      </c>
      <c r="B62" s="44" t="s">
        <v>14</v>
      </c>
      <c r="C62" s="46">
        <v>47.22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($)]]/(IF(G89&gt;0, G68,E68)*C24)*100,3)</f>
        <v>0.47299999999999998</v>
      </c>
      <c r="H62" s="39">
        <f>Table132[[#This Row],[New position]]*Table132[[#This Row],[Last_Price]]</f>
        <v>992233.86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42</v>
      </c>
      <c r="B63" s="44" t="s">
        <v>14</v>
      </c>
      <c r="C63" s="46">
        <v>223.65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($)]]/(IF(G89&gt;0, G68,E68)*C24)*100,3)</f>
        <v>4.7409999999999997</v>
      </c>
      <c r="H63" s="39">
        <f>Table132[[#This Row],[New position]]*Table132[[#This Row],[Last_Price]]</f>
        <v>9948175.6500000004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91</v>
      </c>
      <c r="B64" s="34" t="s">
        <v>14</v>
      </c>
      <c r="C64" s="46">
        <v>24.16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($)]]/(IF(G89&gt;0, G68,E68)*C24)*100,3)</f>
        <v>0.497</v>
      </c>
      <c r="H64" s="39">
        <f>Table132[[#This Row],[New position]]*Table132[[#This Row],[Last_Price]]</f>
        <v>1043712</v>
      </c>
      <c r="I64" s="106"/>
      <c r="J64" s="93"/>
      <c r="K64" s="93"/>
      <c r="L64"/>
      <c r="M64"/>
      <c r="N64"/>
      <c r="O64"/>
      <c r="P64"/>
      <c r="Q64"/>
    </row>
    <row r="65" spans="1:17" ht="45" x14ac:dyDescent="0.25">
      <c r="A65" s="44" t="s">
        <v>96</v>
      </c>
      <c r="B65" s="44" t="s">
        <v>97</v>
      </c>
      <c r="C65" s="46">
        <v>16</v>
      </c>
      <c r="D65" s="34">
        <v>-28</v>
      </c>
      <c r="E65" s="34">
        <v>-28</v>
      </c>
      <c r="F65" s="33">
        <f>Table132[[#This Row],[New position]]-Table132[[#This Row],[Old position]]</f>
        <v>0</v>
      </c>
      <c r="G65" s="34"/>
      <c r="H65" s="39"/>
      <c r="I65" s="27"/>
      <c r="J65" s="66"/>
      <c r="K65" s="93"/>
      <c r="L65"/>
      <c r="M65"/>
      <c r="N65"/>
      <c r="O65"/>
      <c r="P65"/>
      <c r="Q65"/>
    </row>
    <row r="66" spans="1:17" x14ac:dyDescent="0.25">
      <c r="A66" s="44"/>
      <c r="B66" s="44"/>
      <c r="C66" s="46"/>
      <c r="D66" s="34"/>
      <c r="E66" s="34"/>
      <c r="F66" s="31"/>
      <c r="G66" s="34"/>
      <c r="H66" s="46"/>
      <c r="I66" s="48"/>
      <c r="J66" s="67"/>
      <c r="K66" s="81"/>
      <c r="L66"/>
      <c r="M66"/>
      <c r="N66"/>
      <c r="O66"/>
      <c r="P66"/>
      <c r="Q66"/>
    </row>
    <row r="67" spans="1:17" x14ac:dyDescent="0.25">
      <c r="A67" s="44"/>
      <c r="B67" s="44"/>
      <c r="C67" s="45"/>
      <c r="D67" s="35"/>
      <c r="E67" s="54" t="s">
        <v>39</v>
      </c>
      <c r="F67" s="31"/>
      <c r="G67" s="55" t="s">
        <v>40</v>
      </c>
      <c r="H67" s="46"/>
      <c r="I67" s="48"/>
      <c r="J67" s="67"/>
      <c r="K67" s="81"/>
      <c r="L67"/>
      <c r="M67"/>
      <c r="N67"/>
      <c r="O67"/>
      <c r="P67"/>
      <c r="Q67"/>
    </row>
    <row r="68" spans="1:17" ht="30" x14ac:dyDescent="0.25">
      <c r="A68" s="44" t="s">
        <v>29</v>
      </c>
      <c r="B68" s="44"/>
      <c r="C68" s="45"/>
      <c r="D68" s="35"/>
      <c r="E68" s="34">
        <f xml:space="preserve"> IF(G89&gt;0, (C25+ABS(G89*G68))/C21, C25/C21)</f>
        <v>3.7711127392942005</v>
      </c>
      <c r="F68" s="31"/>
      <c r="G68" s="34">
        <v>3.620695</v>
      </c>
      <c r="H68" s="46"/>
      <c r="I68" s="48"/>
      <c r="J68" s="99" t="s">
        <v>68</v>
      </c>
      <c r="K68" s="80" t="s">
        <v>69</v>
      </c>
      <c r="L68"/>
      <c r="M68"/>
      <c r="N68"/>
      <c r="O68"/>
      <c r="P68"/>
      <c r="Q68"/>
    </row>
    <row r="69" spans="1:17" ht="15" customHeight="1" x14ac:dyDescent="0.25">
      <c r="A69" s="34" t="s">
        <v>33</v>
      </c>
      <c r="B69" s="34"/>
      <c r="C69" s="34"/>
      <c r="D69" s="47" t="str">
        <f>Table132[[#This Row],[Symbol]]</f>
        <v>SingleStocks</v>
      </c>
      <c r="E69" s="34">
        <f>ROUND(SUM(0)/100, 3)</f>
        <v>0</v>
      </c>
      <c r="F69" s="47" t="str">
        <f>Table132[[#This Row],[Symbol]]</f>
        <v>SingleStocks</v>
      </c>
      <c r="G69" s="34">
        <f>SUM(0)/(G68*C24)</f>
        <v>0</v>
      </c>
      <c r="H69" s="34"/>
      <c r="I69" s="92"/>
      <c r="J69" s="66" t="s">
        <v>70</v>
      </c>
      <c r="K69" s="102">
        <f>1-SUM(K70:K71)</f>
        <v>0.69677049051510731</v>
      </c>
      <c r="L69"/>
      <c r="M69"/>
      <c r="N69"/>
      <c r="O69"/>
      <c r="P69"/>
      <c r="Q69"/>
    </row>
    <row r="70" spans="1:17" ht="15" customHeight="1" x14ac:dyDescent="0.25">
      <c r="A70" s="44" t="s">
        <v>52</v>
      </c>
      <c r="B70" s="44"/>
      <c r="C70" s="45"/>
      <c r="D70" s="47" t="str">
        <f>Table132[[#This Row],[Symbol]]</f>
        <v>Healthcare</v>
      </c>
      <c r="E70" s="34">
        <f>ROUND(SUM(G28:G28)/100, 3)</f>
        <v>3.3000000000000002E-2</v>
      </c>
      <c r="F70" s="47" t="str">
        <f>Table132[[#This Row],[Symbol]]</f>
        <v>Healthcare</v>
      </c>
      <c r="G70" s="34">
        <f>SUM(H28:H28)/(G68*C24)</f>
        <v>3.4064333585578969E-2</v>
      </c>
      <c r="H70" s="46"/>
      <c r="I70" s="92"/>
      <c r="J70" s="66" t="s">
        <v>71</v>
      </c>
      <c r="K70" s="100">
        <f>SUM(H36:H53)/C25</f>
        <v>0.24397686754419862</v>
      </c>
      <c r="L70"/>
      <c r="M70"/>
      <c r="N70"/>
      <c r="O70"/>
      <c r="P70"/>
      <c r="Q70"/>
    </row>
    <row r="71" spans="1:17" ht="15" customHeight="1" x14ac:dyDescent="0.25">
      <c r="A71" s="44" t="s">
        <v>88</v>
      </c>
      <c r="B71" s="44"/>
      <c r="C71" s="45"/>
      <c r="D71" s="47" t="str">
        <f>Table132[[#This Row],[Symbol]]</f>
        <v>Energy</v>
      </c>
      <c r="E71" s="34">
        <f>ROUND(SUM(G29:G29)/100, 3)</f>
        <v>4.3999999999999997E-2</v>
      </c>
      <c r="F71" s="47" t="str">
        <f>Table132[[#This Row],[Symbol]]</f>
        <v>Energy</v>
      </c>
      <c r="G71" s="34">
        <f>SUM(H29:H29)/(G68*C24)</f>
        <v>4.5890726370617078E-2</v>
      </c>
      <c r="H71" s="46"/>
      <c r="I71" s="105"/>
      <c r="J71" s="66" t="s">
        <v>72</v>
      </c>
      <c r="K71" s="101">
        <f>(H63+H64+H55+H56)/C25</f>
        <v>5.9252641940694094E-2</v>
      </c>
      <c r="L71"/>
      <c r="M71"/>
      <c r="N71"/>
      <c r="O71"/>
      <c r="P71"/>
      <c r="Q71"/>
    </row>
    <row r="72" spans="1:17" ht="15" customHeight="1" x14ac:dyDescent="0.25">
      <c r="A72" s="44" t="s">
        <v>82</v>
      </c>
      <c r="B72" s="44"/>
      <c r="C72" s="45"/>
      <c r="D72" s="47" t="str">
        <f>Table132[[#This Row],[Symbol]]</f>
        <v>Financials</v>
      </c>
      <c r="E72" s="34">
        <f>ROUND(SUM(G30:G30)/100, 3)</f>
        <v>8.1000000000000003E-2</v>
      </c>
      <c r="F72" s="47" t="str">
        <f>Table132[[#This Row],[Symbol]]</f>
        <v>Financials</v>
      </c>
      <c r="G72" s="51">
        <f>SUM(H30:H30)/(G68*C24)</f>
        <v>8.4683436926653616E-2</v>
      </c>
      <c r="H72" s="46"/>
      <c r="I72" s="92"/>
      <c r="J72" s="66"/>
      <c r="K72" s="100"/>
      <c r="L72"/>
      <c r="M72"/>
      <c r="N72"/>
      <c r="O72"/>
      <c r="P72"/>
      <c r="Q72"/>
    </row>
    <row r="73" spans="1:17" ht="15" customHeight="1" x14ac:dyDescent="0.25">
      <c r="A73" s="44" t="s">
        <v>83</v>
      </c>
      <c r="B73" s="44"/>
      <c r="C73" s="45"/>
      <c r="D73" s="47" t="str">
        <f>Table132[[#This Row],[Symbol]]</f>
        <v>Techs</v>
      </c>
      <c r="E73" s="51">
        <f>ROUND(SUM(G31:G31)/100, 3)</f>
        <v>8.2000000000000003E-2</v>
      </c>
      <c r="F73" s="47" t="str">
        <f>Table132[[#This Row],[Symbol]]</f>
        <v>Techs</v>
      </c>
      <c r="G73" s="34">
        <f>SUM(H31:H31)/(G68*C24)</f>
        <v>8.585518104668062E-2</v>
      </c>
      <c r="H73" s="46"/>
      <c r="I73" s="104"/>
      <c r="K73" s="82"/>
      <c r="L73"/>
      <c r="M73"/>
      <c r="N73"/>
      <c r="O73"/>
      <c r="P73"/>
      <c r="Q73"/>
    </row>
    <row r="74" spans="1:17" ht="15" customHeight="1" x14ac:dyDescent="0.25">
      <c r="A74" s="44" t="s">
        <v>48</v>
      </c>
      <c r="B74" s="44"/>
      <c r="C74" s="45"/>
      <c r="D74" s="47" t="str">
        <f>Table132[[#This Row],[Symbol]]</f>
        <v>Semiconductor</v>
      </c>
      <c r="E74" s="34">
        <f>ROUND(SUM(G32:G33)/100, 3)</f>
        <v>0.10100000000000001</v>
      </c>
      <c r="F74" s="47" t="str">
        <f>Table132[[#This Row],[Symbol]]</f>
        <v>Semiconductor</v>
      </c>
      <c r="G74" s="51">
        <f>SUM(H32:H33)/(G68*C24)</f>
        <v>0.10503710663282451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86</v>
      </c>
      <c r="B75" s="44"/>
      <c r="C75" s="45"/>
      <c r="D75" s="47" t="str">
        <f>Table132[[#This Row],[Symbol]]</f>
        <v>Russell</v>
      </c>
      <c r="E75" s="51">
        <f>ROUND(SUM(G34:G35)/100, 3)</f>
        <v>0.129</v>
      </c>
      <c r="F75" s="47" t="str">
        <f>Table132[[#This Row],[Symbol]]</f>
        <v>Russell</v>
      </c>
      <c r="G75" s="51">
        <f>SUM(H34:H35)/(G68*C24)</f>
        <v>0.1343350146749567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43</v>
      </c>
      <c r="B76" s="44"/>
      <c r="C76" s="45"/>
      <c r="D76" s="47" t="str">
        <f>Table132[[#This Row],[Symbol]]</f>
        <v>S&amp;P</v>
      </c>
      <c r="E76" s="34">
        <f>ROUND(0/100, 3)</f>
        <v>0</v>
      </c>
      <c r="F76" s="47" t="str">
        <f>Table132[[#This Row],[Symbol]]</f>
        <v>S&amp;P</v>
      </c>
      <c r="G76" s="34">
        <f>SUM(0)/(G68*C24)</f>
        <v>0</v>
      </c>
      <c r="H76" s="46"/>
      <c r="I76" s="92"/>
      <c r="J76" s="68"/>
      <c r="K76" s="82"/>
      <c r="L76"/>
      <c r="M76"/>
      <c r="N76"/>
      <c r="O76"/>
      <c r="P76"/>
      <c r="Q76"/>
    </row>
    <row r="77" spans="1:17" ht="15.75" customHeight="1" x14ac:dyDescent="0.25">
      <c r="A77" s="44" t="s">
        <v>44</v>
      </c>
      <c r="B77" s="44"/>
      <c r="C77" s="45"/>
      <c r="D77" s="47" t="str">
        <f>Table132[[#This Row],[Symbol]]</f>
        <v>Dow Jones</v>
      </c>
      <c r="E77" s="34">
        <f>ROUND(0/100, 3)</f>
        <v>0</v>
      </c>
      <c r="F77" s="47" t="str">
        <f>Table132[[#This Row],[Symbol]]</f>
        <v>Dow Jones</v>
      </c>
      <c r="G77" s="51">
        <f>SUM(0)/(G68*C24)</f>
        <v>0</v>
      </c>
      <c r="H77" s="46"/>
      <c r="I77" s="52"/>
      <c r="J77" s="68"/>
      <c r="K77" s="82"/>
      <c r="L77"/>
      <c r="M77"/>
      <c r="N77"/>
      <c r="O77"/>
      <c r="P77"/>
      <c r="Q77"/>
    </row>
    <row r="78" spans="1:17" ht="14.25" customHeight="1" x14ac:dyDescent="0.25">
      <c r="A78" s="44" t="s">
        <v>47</v>
      </c>
      <c r="B78" s="44"/>
      <c r="C78" s="45"/>
      <c r="D78" s="47" t="str">
        <f>Table132[[#This Row],[Symbol]]</f>
        <v>Int Stocks</v>
      </c>
      <c r="E78" s="34">
        <f>ROUND(SUM(G36:G52)/100, 3)</f>
        <v>0.223</v>
      </c>
      <c r="F78" s="47" t="str">
        <f>Table132[[#This Row],[Symbol]]</f>
        <v>Int Stocks</v>
      </c>
      <c r="G78" s="34">
        <f>SUM(H36:H52)/(G68*C24)</f>
        <v>0.23266660769285541</v>
      </c>
      <c r="H78" s="46"/>
      <c r="I78" s="46"/>
      <c r="J78" s="70"/>
      <c r="K78" s="84"/>
      <c r="L78"/>
      <c r="M78"/>
      <c r="N78"/>
      <c r="O78"/>
      <c r="P78"/>
      <c r="Q78"/>
    </row>
    <row r="79" spans="1:17" ht="14.25" customHeight="1" x14ac:dyDescent="0.25">
      <c r="A79" s="44" t="s">
        <v>58</v>
      </c>
      <c r="B79" s="44"/>
      <c r="C79" s="45"/>
      <c r="D79" s="47" t="str">
        <f>Table132[[#This Row],[Symbol]]</f>
        <v>JP Stocks</v>
      </c>
      <c r="E79" s="34">
        <f>ROUND(SUM(G53:G53)/100, 3)</f>
        <v>2.1000000000000001E-2</v>
      </c>
      <c r="F79" s="47" t="str">
        <f>Table132[[#This Row],[Symbol]]</f>
        <v>JP Stocks</v>
      </c>
      <c r="G79" s="34">
        <f>SUM(H53:H53)/(G68*C24)</f>
        <v>2.1446006954062156E-2</v>
      </c>
      <c r="H79" s="46"/>
      <c r="I79" s="62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44" t="s">
        <v>66</v>
      </c>
      <c r="B80" s="44"/>
      <c r="C80" s="45"/>
      <c r="D80" s="47" t="str">
        <f>Table132[[#This Row],[Symbol]]</f>
        <v>Nasdaq</v>
      </c>
      <c r="E80" s="51">
        <f>ROUND(SUM(G54)/100, 3)</f>
        <v>0.158</v>
      </c>
      <c r="F80" s="47" t="str">
        <f>Table132[[#This Row],[Symbol]]</f>
        <v>Nasdaq</v>
      </c>
      <c r="G80" s="34">
        <f>SUM(H54)/(G68*C24)</f>
        <v>0.1644574213721571</v>
      </c>
      <c r="H80" s="46"/>
      <c r="I80" s="27"/>
      <c r="J80" s="66"/>
      <c r="K80" s="80"/>
      <c r="L80"/>
      <c r="M80"/>
      <c r="N80"/>
      <c r="O80"/>
      <c r="P80"/>
      <c r="Q80"/>
    </row>
    <row r="81" spans="1:17" ht="15.75" customHeight="1" x14ac:dyDescent="0.25">
      <c r="A81" s="58" t="s">
        <v>49</v>
      </c>
      <c r="B81" s="44"/>
      <c r="C81" s="45"/>
      <c r="D81" s="47" t="str">
        <f>Table132[[#This Row],[Symbol]]</f>
        <v>Regional Bank</v>
      </c>
      <c r="E81" s="51">
        <f>ROUND(SUM(0)/100, 3)</f>
        <v>0</v>
      </c>
      <c r="F81" s="47" t="str">
        <f>Table132[[#This Row],[Symbol]]</f>
        <v>Regional Bank</v>
      </c>
      <c r="G81" s="51">
        <f>SUM(0)/(G68*C24)</f>
        <v>0</v>
      </c>
      <c r="H81" s="46"/>
      <c r="I81" s="27"/>
      <c r="J81" s="69"/>
      <c r="K81" s="83"/>
      <c r="L81"/>
      <c r="M81"/>
      <c r="N81"/>
      <c r="O81"/>
      <c r="P81"/>
      <c r="Q81"/>
    </row>
    <row r="82" spans="1:17" ht="15.75" customHeight="1" x14ac:dyDescent="0.25">
      <c r="A82" s="44" t="s">
        <v>50</v>
      </c>
      <c r="B82" s="44"/>
      <c r="C82" s="45"/>
      <c r="D82" s="47" t="str">
        <f>Table132[[#This Row],[Symbol]]</f>
        <v>Short</v>
      </c>
      <c r="E82" s="34">
        <f>ROUND(SUM(0)/100, 3)</f>
        <v>0</v>
      </c>
      <c r="F82" s="47" t="str">
        <f>Table132[[#This Row],[Symbol]]</f>
        <v>Short</v>
      </c>
      <c r="G82" s="34">
        <f>SUM(0)/(G68*C24)</f>
        <v>0</v>
      </c>
      <c r="H82" s="46"/>
      <c r="I82" s="59"/>
      <c r="J82" s="66"/>
      <c r="K82" s="80"/>
      <c r="L82"/>
      <c r="M82"/>
      <c r="N82"/>
      <c r="O82"/>
      <c r="P82"/>
      <c r="Q82"/>
    </row>
    <row r="83" spans="1:17" ht="14.25" customHeight="1" x14ac:dyDescent="0.25">
      <c r="A83" s="34" t="s">
        <v>26</v>
      </c>
      <c r="B83" s="44"/>
      <c r="C83" s="45"/>
      <c r="D83" s="47" t="str">
        <f>Table132[[#This Row],[Symbol]]</f>
        <v>Bonds</v>
      </c>
      <c r="E83" s="34">
        <f>ROUND((SUM(G57:G62))/100, 3)</f>
        <v>6.9000000000000006E-2</v>
      </c>
      <c r="F83" s="47" t="str">
        <f>Table132[[#This Row],[Symbol]]</f>
        <v>Bonds</v>
      </c>
      <c r="G83" s="34">
        <f>(SUM(H57:H62))/(G68*C24)</f>
        <v>7.1393823534208284E-2</v>
      </c>
      <c r="H83" s="46"/>
      <c r="I83" s="27"/>
      <c r="J83" s="71"/>
      <c r="K83" s="85"/>
      <c r="L83"/>
      <c r="M83"/>
      <c r="N83"/>
      <c r="O83"/>
      <c r="P83"/>
      <c r="Q83"/>
    </row>
    <row r="84" spans="1:17" ht="14.25" customHeight="1" x14ac:dyDescent="0.25">
      <c r="A84" s="44" t="s">
        <v>54</v>
      </c>
      <c r="B84" s="44"/>
      <c r="C84" s="45"/>
      <c r="D84" s="47" t="str">
        <f>Table132[[#This Row],[Symbol]]</f>
        <v>Core</v>
      </c>
      <c r="E84" s="34">
        <f>ROUND((SUM(0))/100, 3)</f>
        <v>0</v>
      </c>
      <c r="F84" s="47" t="str">
        <f>Table132[[#This Row],[Symbol]]</f>
        <v>Core</v>
      </c>
      <c r="G84" s="34">
        <f>(SUM(0))/(G68*C24)</f>
        <v>0</v>
      </c>
      <c r="H84" s="46"/>
      <c r="I84" s="60"/>
      <c r="J84" s="72"/>
      <c r="K84" s="79"/>
      <c r="L84"/>
      <c r="M84"/>
      <c r="N84"/>
      <c r="O84"/>
      <c r="P84"/>
      <c r="Q84"/>
    </row>
    <row r="85" spans="1:17" ht="14.25" customHeight="1" x14ac:dyDescent="0.25">
      <c r="A85" s="44" t="s">
        <v>35</v>
      </c>
      <c r="B85" s="34"/>
      <c r="C85" s="34"/>
      <c r="D85" s="47" t="str">
        <f>Table132[[#This Row],[Symbol]]</f>
        <v>Gold</v>
      </c>
      <c r="E85" s="34">
        <f>ROUND(SUM(G63:G64)/100,3)</f>
        <v>5.1999999999999998E-2</v>
      </c>
      <c r="F85" s="47" t="str">
        <f>Table132[[#This Row],[Symbol]]</f>
        <v>Gold</v>
      </c>
      <c r="G85" s="34">
        <f>SUM(H63:H64)/(G68*C24)</f>
        <v>5.456011348906422E-2</v>
      </c>
      <c r="H85" s="34"/>
      <c r="I85" s="28"/>
      <c r="J85" s="73"/>
      <c r="K85" s="86"/>
      <c r="L85"/>
      <c r="M85"/>
      <c r="N85"/>
      <c r="O85"/>
      <c r="P85"/>
      <c r="Q85"/>
    </row>
    <row r="86" spans="1:17" ht="15" customHeight="1" x14ac:dyDescent="0.25">
      <c r="A86" s="34" t="s">
        <v>27</v>
      </c>
      <c r="B86" s="34"/>
      <c r="C86" s="34"/>
      <c r="D86" s="47" t="str">
        <f>Table132[[#This Row],[Symbol]]</f>
        <v>Commodities</v>
      </c>
      <c r="E86" s="34">
        <f>ROUND(SUM(G55:G56)/100,3)</f>
        <v>7.0000000000000001E-3</v>
      </c>
      <c r="F86" s="47" t="str">
        <f>Table132[[#This Row],[Symbol]]</f>
        <v>Commodities</v>
      </c>
      <c r="G86" s="51">
        <f>SUM(H55:H56)/(G68*C24)</f>
        <v>7.1541134368130954E-3</v>
      </c>
      <c r="H86" s="34"/>
      <c r="I86" s="29"/>
      <c r="J86" s="74"/>
      <c r="K86" s="87"/>
      <c r="L86"/>
      <c r="M86"/>
      <c r="N86"/>
      <c r="O86"/>
      <c r="P86"/>
      <c r="Q86"/>
    </row>
    <row r="87" spans="1:17" ht="14.25" customHeight="1" x14ac:dyDescent="0.25">
      <c r="A87" s="44" t="s">
        <v>34</v>
      </c>
      <c r="B87" s="44"/>
      <c r="C87" s="45"/>
      <c r="D87" s="47" t="str">
        <f>Table132[[#This Row],[Symbol]]</f>
        <v>Crypto</v>
      </c>
      <c r="E87" s="51">
        <f>ROUND(SUM(0)/100,3)</f>
        <v>0</v>
      </c>
      <c r="F87" s="47" t="str">
        <f>Table132[[#This Row],[Symbol]]</f>
        <v>Crypto</v>
      </c>
      <c r="G87" s="34">
        <f>SUM(0)/(G68*C24)</f>
        <v>0</v>
      </c>
      <c r="H87" s="46"/>
      <c r="I87" s="50"/>
      <c r="J87" s="66"/>
      <c r="K87" s="80"/>
      <c r="L87"/>
      <c r="M87"/>
      <c r="N87"/>
      <c r="O87"/>
      <c r="P87"/>
      <c r="Q87"/>
    </row>
    <row r="88" spans="1:17" ht="14.25" customHeight="1" x14ac:dyDescent="0.25">
      <c r="A88" s="34" t="s">
        <v>23</v>
      </c>
      <c r="B88" s="34"/>
      <c r="C88" s="34"/>
      <c r="D88" s="47" t="str">
        <f>Table132[[#This Row],[Symbol]]</f>
        <v>Cash</v>
      </c>
      <c r="E88" s="34">
        <f>1-SUM(E69:E87)</f>
        <v>0</v>
      </c>
      <c r="F88" s="47" t="str">
        <f>Table132[[#This Row],[Symbol]]</f>
        <v>Cash</v>
      </c>
      <c r="G88" s="51">
        <f>1-SUM(G69:G87)</f>
        <v>-4.1543885716471829E-2</v>
      </c>
      <c r="H88" s="34"/>
      <c r="I88" s="27"/>
      <c r="J88" s="75"/>
      <c r="K88" s="88"/>
      <c r="L88"/>
      <c r="M88"/>
      <c r="N88"/>
      <c r="O88"/>
      <c r="P88"/>
      <c r="Q88"/>
    </row>
    <row r="89" spans="1:17" x14ac:dyDescent="0.25">
      <c r="A89" s="25" t="s">
        <v>28</v>
      </c>
      <c r="B89" s="25"/>
      <c r="C89" s="32"/>
      <c r="D89" s="31"/>
      <c r="E89" s="39">
        <f>C24*E88</f>
        <v>0</v>
      </c>
      <c r="F89" s="31"/>
      <c r="G89" s="39">
        <f>C24*G88</f>
        <v>-2311597.3522016406</v>
      </c>
      <c r="H89" s="39"/>
      <c r="I89" s="30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25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66"/>
      <c r="K91" s="80"/>
      <c r="L91"/>
      <c r="M91"/>
      <c r="N91"/>
      <c r="O91"/>
      <c r="P91"/>
      <c r="Q91"/>
    </row>
    <row r="92" spans="1:17" x14ac:dyDescent="0.25">
      <c r="A92" s="25"/>
      <c r="B92" s="25"/>
      <c r="C92" s="32"/>
      <c r="D92" s="25"/>
      <c r="E92" s="25"/>
      <c r="F92" s="31"/>
      <c r="G92" s="34"/>
      <c r="H92" s="39"/>
      <c r="I92" s="27"/>
      <c r="J92" s="76"/>
      <c r="K92" s="89"/>
      <c r="L92"/>
      <c r="M92"/>
      <c r="N92"/>
      <c r="O92"/>
      <c r="P92"/>
      <c r="Q92"/>
    </row>
    <row r="93" spans="1:17" x14ac:dyDescent="0.25">
      <c r="A93" s="20"/>
      <c r="B93" s="5" t="s">
        <v>21</v>
      </c>
      <c r="D93" s="1"/>
      <c r="E93" s="5" t="s">
        <v>20</v>
      </c>
      <c r="F93" s="1"/>
      <c r="G93" s="5"/>
      <c r="H93" s="40" t="s">
        <v>2</v>
      </c>
      <c r="I93" s="4"/>
      <c r="L93"/>
      <c r="M93"/>
      <c r="N93"/>
      <c r="O93"/>
      <c r="P93"/>
      <c r="Q93"/>
    </row>
    <row r="94" spans="1:17" x14ac:dyDescent="0.25">
      <c r="B94" s="5" t="s">
        <v>95</v>
      </c>
      <c r="D94" s="1"/>
      <c r="E94" s="5" t="s">
        <v>95</v>
      </c>
      <c r="F94" s="1"/>
      <c r="G94" s="5"/>
      <c r="H94" s="40" t="s">
        <v>3</v>
      </c>
      <c r="L94"/>
      <c r="M94"/>
      <c r="N94"/>
      <c r="O94"/>
      <c r="P94"/>
      <c r="Q94"/>
    </row>
    <row r="95" spans="1:17" x14ac:dyDescent="0.25">
      <c r="B95" s="3"/>
      <c r="C95"/>
      <c r="D95" s="1"/>
      <c r="E95" s="3"/>
      <c r="F95" s="19"/>
      <c r="G95" s="3"/>
      <c r="H95" s="41"/>
      <c r="L95"/>
      <c r="M95"/>
      <c r="N95"/>
      <c r="O95"/>
      <c r="P95"/>
      <c r="Q95"/>
    </row>
    <row r="96" spans="1:17" x14ac:dyDescent="0.25">
      <c r="C96"/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  <row r="100" spans="12:17" x14ac:dyDescent="0.25">
      <c r="L100"/>
      <c r="M100"/>
      <c r="N100"/>
      <c r="O100"/>
      <c r="P100"/>
      <c r="Q100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8" fitToHeight="0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2025-08-04T09:51:50Z</cp:lastPrinted>
  <dcterms:created xsi:type="dcterms:W3CDTF">2020-06-30T03:42:56Z</dcterms:created>
  <dcterms:modified xsi:type="dcterms:W3CDTF">2025-08-04T09:53:47Z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