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5150" documentId="14_{A48F4B07-3EF3-43E5-91B2-4CA340E6013A}" xr6:coauthVersionLast="47" xr6:coauthVersionMax="47" xr10:uidLastSave="{799B9562-4A36-49CB-A80C-ADFED6AB8C01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3" l="1"/>
  <c r="E42" i="3"/>
  <c r="D42" i="3"/>
  <c r="E49" i="3"/>
  <c r="D49" i="3"/>
  <c r="F37" i="3"/>
  <c r="H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E67" i="3" l="1"/>
  <c r="G41" i="3" s="1"/>
  <c r="G64" i="3"/>
  <c r="G36" i="3" l="1"/>
  <c r="G37" i="3"/>
  <c r="G47" i="3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7" authorId="0" shapeId="0" xr:uid="{5198F54B-0E94-4B5A-BF17-D638150437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LMT order: numbers
indicate Market when MKT order
</t>
        </r>
      </text>
    </comment>
    <comment ref="K27" authorId="0" shapeId="0" xr:uid="{77CFF801-D0FE-4D73-B228-BFD6ADEF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D2</t>
        </r>
      </text>
    </comment>
  </commentList>
</comments>
</file>

<file path=xl/sharedStrings.xml><?xml version="1.0" encoding="utf-8"?>
<sst xmlns="http://schemas.openxmlformats.org/spreadsheetml/2006/main" count="133" uniqueCount="96">
  <si>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</si>
  <si>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</si>
  <si>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</si>
  <si>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</si>
  <si>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</si>
  <si>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</si>
  <si>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</si>
  <si>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</si>
  <si>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</si>
  <si>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</si>
  <si>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</si>
  <si>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</si>
  <si>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</si>
  <si>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</si>
  <si>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</si>
  <si>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</si>
  <si>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</si>
  <si>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</si>
  <si>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</si>
  <si>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</si>
  <si>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</si>
  <si>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</si>
  <si>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</si>
  <si>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</si>
  <si>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</si>
  <si>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</si>
  <si>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</si>
  <si>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</si>
  <si>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</si>
  <si>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</si>
  <si>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</si>
  <si>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</si>
  <si>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</si>
  <si>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</si>
  <si>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</si>
  <si>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</si>
  <si>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</si>
  <si>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</si>
  <si>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</si>
  <si>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</si>
  <si>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</si>
  <si>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</si>
  <si>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</si>
  <si>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</si>
  <si>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</si>
  <si>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</si>
  <si>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</si>
  <si>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</si>
  <si>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</si>
  <si>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</si>
  <si>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</si>
  <si>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</si>
  <si>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</si>
  <si>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</si>
  <si>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</si>
  <si>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</si>
  <si>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</si>
  <si>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</si>
  <si>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</si>
  <si>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</si>
  <si>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</si>
  <si>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</si>
  <si>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</si>
  <si>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</si>
  <si>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</si>
  <si>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</si>
  <si>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</si>
  <si>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</si>
  <si>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</si>
  <si>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</si>
  <si>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</si>
  <si>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</si>
  <si>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</si>
  <si>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</si>
  <si>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</si>
  <si>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</si>
  <si>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</si>
  <si>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</si>
  <si>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</si>
  <si>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</si>
  <si>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</si>
  <si>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</si>
  <si>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</si>
  <si>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</si>
  <si>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</si>
  <si>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</si>
  <si>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</si>
  <si>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</si>
  <si>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</si>
  <si>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</si>
  <si>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</si>
  <si>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</si>
  <si>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</si>
  <si>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</si>
  <si>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Leverage for Single Equities</t>
  </si>
  <si>
    <t>Khoo Jing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</si>
</sst>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164" fontId="0" fillId="5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3.3000000000000002E-2</c:v>
                </c:pt>
                <c:pt idx="2">
                  <c:v>4.2999999999999997E-2</c:v>
                </c:pt>
                <c:pt idx="3">
                  <c:v>8.1000000000000003E-2</c:v>
                </c:pt>
                <c:pt idx="4">
                  <c:v>8.3000000000000004E-2</c:v>
                </c:pt>
                <c:pt idx="5">
                  <c:v>0.105</c:v>
                </c:pt>
                <c:pt idx="6">
                  <c:v>0.127</c:v>
                </c:pt>
                <c:pt idx="7">
                  <c:v>0</c:v>
                </c:pt>
                <c:pt idx="8">
                  <c:v>0</c:v>
                </c:pt>
                <c:pt idx="9">
                  <c:v>0.222</c:v>
                </c:pt>
                <c:pt idx="10">
                  <c:v>0.02</c:v>
                </c:pt>
                <c:pt idx="11">
                  <c:v>0.159</c:v>
                </c:pt>
                <c:pt idx="12">
                  <c:v>0</c:v>
                </c:pt>
                <c:pt idx="13">
                  <c:v>0</c:v>
                </c:pt>
                <c:pt idx="14">
                  <c:v>6.8000000000000005E-2</c:v>
                </c:pt>
                <c:pt idx="15">
                  <c:v>0</c:v>
                </c:pt>
                <c:pt idx="16">
                  <c:v>5.0999999999999997E-2</c:v>
                </c:pt>
                <c:pt idx="17">
                  <c:v>7.0000000000000001E-3</c:v>
                </c:pt>
                <c:pt idx="18">
                  <c:v>0</c:v>
                </c:pt>
                <c:pt idx="19">
                  <c:v>9.9999999999988987E-4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0.69994802659122635</c:v>
                </c:pt>
                <c:pt idx="1">
                  <c:v>0.24242622554692594</c:v>
                </c:pt>
                <c:pt idx="2">
                  <c:v>5.7625747861847647E-2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zoomScale="115" zoomScaleNormal="115" workbookViewId="0">
      <selection activeCell="M11" sqref="M11"/>
    </sheetView>
  </sheetViews>
  <sheetFormatPr defaultColWidth="9.140625" defaultRowHeight="15" outlineLevelCol="1" x14ac:dyDescent="0.25"/>
  <cols>
    <col min="1" max="1" width="12.28515625" style="1" customWidth="1"/>
    <col min="2" max="2" width="17.42578125" style="1" customWidth="1" outlineLevel="1"/>
    <col min="3" max="3" width="16.140625" style="1" customWidth="1" outlineLevel="1"/>
    <col min="4" max="4" width="18.28515625" customWidth="1" outlineLevel="1"/>
    <col min="5" max="5" width="17.28515625" customWidth="1" outlineLevel="1"/>
    <col min="6" max="6" width="10.5703125" customWidth="1" outlineLevel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9" t="s">
        <v>0</v>
      </c>
      <c r="B1" s="109"/>
      <c r="C1" s="12">
        <v>45435</v>
      </c>
      <c r="E1" s="14"/>
      <c r="F1" s="14"/>
      <c r="G1" s="43"/>
      <c r="H1" s="14"/>
      <c r="J1" s="64"/>
      <c r="K1" s="78"/>
    </row>
    <row r="2" spans="1:12" s="13" customFormat="1" x14ac:dyDescent="0.25">
      <c r="A2" s="109" t="s">
        <v>10</v>
      </c>
      <c r="B2" s="109"/>
      <c r="C2" s="15">
        <f>C25/C24</f>
        <v>3.7439476682971407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1" t="s">
        <v>94</v>
      </c>
      <c r="B3" s="112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51</v>
      </c>
      <c r="B4" s="57"/>
      <c r="C4" s="15">
        <f>SUM(H28:H28)/C24</f>
        <v>0.1224831454347331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84</v>
      </c>
      <c r="B5" s="57"/>
      <c r="C5" s="15">
        <f>SUM(H30:H30)/C24</f>
        <v>0.30372077894036953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85</v>
      </c>
      <c r="B6" s="57"/>
      <c r="C6" s="15">
        <f>SUM(H31:H31)/C24</f>
        <v>0.31158123090864687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45</v>
      </c>
      <c r="B7" s="57"/>
      <c r="C7" s="15">
        <f>SUM(H32:H33)/C24</f>
        <v>0.39448409034044135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1" t="s">
        <v>78</v>
      </c>
      <c r="B8" s="112"/>
      <c r="C8" s="15">
        <f>SUM(H34:H35)/C24</f>
        <v>0.47633034855438744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75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76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1" t="s">
        <v>38</v>
      </c>
      <c r="B11" s="112"/>
      <c r="C11" s="15">
        <f>SUM(H36:H52)/C24</f>
        <v>0.83195715224928835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1" t="s">
        <v>59</v>
      </c>
      <c r="B12" s="112"/>
      <c r="C12" s="15">
        <f>SUM(H53:H53)/C24</f>
        <v>7.5673949621201803E-2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1" t="s">
        <v>67</v>
      </c>
      <c r="B13" s="112"/>
      <c r="C13" s="15">
        <f>SUM(H54:H54)/C24</f>
        <v>0.59605361272767066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77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53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1" t="s">
        <v>25</v>
      </c>
      <c r="B16" s="112"/>
      <c r="C16" s="15">
        <f>SUM(H55:H56)/C24</f>
        <v>2.5151886727418461E-2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1" t="s">
        <v>24</v>
      </c>
      <c r="B17" s="112"/>
      <c r="C17" s="15">
        <f>SUM(H57:H62)/C24</f>
        <v>0.25542246558496473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55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10" t="s">
        <v>36</v>
      </c>
      <c r="B19" s="110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1" t="s">
        <v>37</v>
      </c>
      <c r="B20" s="112"/>
      <c r="C20" s="15">
        <f>SUM(H63:H64)/C24</f>
        <v>0.19059589761382498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9" t="s">
        <v>8</v>
      </c>
      <c r="B21" s="109"/>
      <c r="C21" s="18">
        <v>56225716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9" t="s">
        <v>6</v>
      </c>
      <c r="B22" s="109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9" t="s">
        <v>7</v>
      </c>
      <c r="B23" s="109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9" t="s">
        <v>9</v>
      </c>
      <c r="B24" s="109"/>
      <c r="C24" s="18">
        <f>C21+C22-C23</f>
        <v>56225716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10" t="s">
        <v>5</v>
      </c>
      <c r="B25" s="110"/>
      <c r="C25" s="11">
        <f t="array" ref="C25">SUM(ABS(Table132[Target allocation ($)]))</f>
        <v>210506138.31653723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62</v>
      </c>
      <c r="K27" s="91" t="s">
        <v>63</v>
      </c>
    </row>
    <row r="28" spans="1:17" x14ac:dyDescent="0.25">
      <c r="A28" s="44" t="s">
        <v>65</v>
      </c>
      <c r="B28" s="34" t="s">
        <v>14</v>
      </c>
      <c r="C28" s="92">
        <v>146.51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3.2709999999999999</v>
      </c>
      <c r="H28" s="39">
        <f>Table132[[#This Row],[New position]]*Table132[[#This Row],[Last_Price]]</f>
        <v>6886702.5499999998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87</v>
      </c>
      <c r="B29" s="34" t="s">
        <v>14</v>
      </c>
      <c r="C29" s="92">
        <v>92.08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4.2869999999999999</v>
      </c>
      <c r="H29" s="39">
        <f>Table132[[#This Row],[New position]]*Table132[[#This Row],[Last_Price]]</f>
        <v>9023840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80</v>
      </c>
      <c r="B30" s="44" t="s">
        <v>14</v>
      </c>
      <c r="C30" s="92">
        <v>41.98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8.1120000000000001</v>
      </c>
      <c r="H30" s="39">
        <f>Table132[[#This Row],[New position]]*Table132[[#This Row],[Last_Price]]</f>
        <v>17076918.259999998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81</v>
      </c>
      <c r="B31" s="34" t="s">
        <v>14</v>
      </c>
      <c r="C31" s="92">
        <v>216.85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8.3219999999999992</v>
      </c>
      <c r="H31" s="39">
        <f>Table132[[#This Row],[New position]]*Table132[[#This Row],[Last_Price]]</f>
        <v>17518877.800000001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64</v>
      </c>
      <c r="B32" s="44" t="s">
        <v>14</v>
      </c>
      <c r="C32" s="92">
        <v>243.43</v>
      </c>
      <c r="D32" s="34">
        <v>52121</v>
      </c>
      <c r="E32" s="34">
        <v>52121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6.0270000000000001</v>
      </c>
      <c r="H32" s="39">
        <f>Table132[[#This Row],[New position]]*Table132[[#This Row],[Last_Price]]</f>
        <v>12687815.030000001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79</v>
      </c>
      <c r="B33" s="44" t="s">
        <v>14</v>
      </c>
      <c r="C33" s="92">
        <v>1016.31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4.5090000000000003</v>
      </c>
      <c r="H33" s="39">
        <f>Table132[[#This Row],[New position]]*Table132[[#This Row],[Last_Price]]</f>
        <v>9492335.4000000004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73</v>
      </c>
      <c r="B34" s="34" t="s">
        <v>14</v>
      </c>
      <c r="C34" s="92">
        <v>55.13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6.9960000000000004</v>
      </c>
      <c r="H34" s="39">
        <f>Table132[[#This Row],[New position]]*Table132[[#This Row],[Last_Price]]</f>
        <v>14727317.940000001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74</v>
      </c>
      <c r="B35" s="44" t="s">
        <v>14</v>
      </c>
      <c r="C35" s="92">
        <v>207.04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5.7270000000000003</v>
      </c>
      <c r="H35" s="39">
        <f>Table132[[#This Row],[New position]]*Table132[[#This Row],[Last_Price]]</f>
        <v>12054696.959999999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234.76560332871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0.1</v>
      </c>
      <c r="H36" s="39">
        <f>Table132[[#This Row],[New position]]*Table132[[#This Row],[Last_Price]]</f>
        <v>211289.042995839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4.1678224687933403</v>
      </c>
      <c r="D37" s="34">
        <v>22600</v>
      </c>
      <c r="E37" s="34">
        <v>22600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4.4999999999999998E-2</v>
      </c>
      <c r="H37" s="39">
        <f>Table132[[#This Row],[New position]]*Table132[[#This Row],[Last_Price]]</f>
        <v>94192.787794729491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93</v>
      </c>
      <c r="B38" s="44" t="s">
        <v>14</v>
      </c>
      <c r="C38" s="108">
        <f>39.21/7.27394</f>
        <v>5.3904761381039714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8.6999999999999994E-2</v>
      </c>
      <c r="H38" s="39">
        <f>Table132[[#This Row],[New position]]*Table132[[#This Row],[Last_Price]]</f>
        <v>183815.23630934543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48.746803069053698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0.35399999999999998</v>
      </c>
      <c r="H39" s="39">
        <f>Table132[[#This Row],[New position]]*Table132[[#This Row],[Last_Price]]</f>
        <v>745826.08695652161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10.0447570332481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0.105</v>
      </c>
      <c r="H40" s="39">
        <f>Table132[[#This Row],[New position]]*Table132[[#This Row],[Last_Price]]</f>
        <v>220984.6547314582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12.691815856777501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9.4E-2</v>
      </c>
      <c r="H41" s="39">
        <f>Table132[[#This Row],[New position]]*Table132[[#This Row],[Last_Price]]</f>
        <v>197992.327365729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0.98465473145780003</v>
      </c>
      <c r="D42" s="34">
        <f>2684000+176000</f>
        <v>2860000</v>
      </c>
      <c r="E42" s="34">
        <f>2684000+176000</f>
        <v>2860000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1.3380000000000001</v>
      </c>
      <c r="H42" s="39">
        <f>Table132[[#This Row],[New position]]*Table132[[#This Row],[Last_Price]]</f>
        <v>2816112.5319693079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2.4603580562659801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2.9940000000000002</v>
      </c>
      <c r="H43" s="39">
        <f>Table132[[#This Row],[New position]]*Table132[[#This Row],[Last_Price]]</f>
        <v>6303437.3401534408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8.6828644501278802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2.157</v>
      </c>
      <c r="H44" s="39">
        <f>Table132[[#This Row],[New position]]*Table132[[#This Row],[Last_Price]]</f>
        <v>4541138.1074168812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1.6585677749360599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0.36899999999999999</v>
      </c>
      <c r="H45" s="39">
        <f>Table132[[#This Row],[New position]]*Table132[[#This Row],[Last_Price]]</f>
        <v>777702.42966751847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11.176470588235301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0.55600000000000005</v>
      </c>
      <c r="H46" s="39">
        <f>Table132[[#This Row],[New position]]*Table132[[#This Row],[Last_Price]]</f>
        <v>1171294.1176470595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0.485933503836317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0.53700000000000003</v>
      </c>
      <c r="H47" s="39">
        <f>Table132[[#This Row],[New position]]*Table132[[#This Row],[Last_Price]]</f>
        <v>1129795.3964194371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4.4693094629156001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5.0999999999999997E-2</v>
      </c>
      <c r="H48" s="39">
        <f>Table132[[#This Row],[New position]]*Table132[[#This Row],[Last_Price]]</f>
        <v>107263.42710997441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2.2352941176470602</v>
      </c>
      <c r="D49" s="34">
        <f>1286000+74000</f>
        <v>1360000</v>
      </c>
      <c r="E49" s="34">
        <f>1286000+74000</f>
        <v>1360000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1.444</v>
      </c>
      <c r="H49" s="39">
        <f>Table132[[#This Row],[New position]]*Table132[[#This Row],[Last_Price]]</f>
        <v>3040000.0000000019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61</v>
      </c>
      <c r="B50" s="34" t="s">
        <v>14</v>
      </c>
      <c r="C50" s="92">
        <v>46.2</v>
      </c>
      <c r="D50" s="34">
        <v>143754</v>
      </c>
      <c r="E50" s="34">
        <v>143754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3.1549999999999998</v>
      </c>
      <c r="H50" s="39">
        <f>Table132[[#This Row],[New position]]*Table132[[#This Row],[Last_Price]]</f>
        <v>6641434.8000000007</v>
      </c>
      <c r="I50" s="27"/>
      <c r="J50" s="93"/>
      <c r="K50" s="95"/>
      <c r="L50"/>
      <c r="M50"/>
      <c r="N50"/>
      <c r="O50"/>
      <c r="P50"/>
      <c r="Q50"/>
    </row>
    <row r="51" spans="1:17" x14ac:dyDescent="0.25">
      <c r="A51" s="34" t="s">
        <v>89</v>
      </c>
      <c r="B51" s="34" t="s">
        <v>14</v>
      </c>
      <c r="C51" s="46">
        <v>38.43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1.46</v>
      </c>
      <c r="H51" s="39">
        <f>Table132[[#This Row],[New position]]*Table132[[#This Row],[Last_Price]]</f>
        <v>3074400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56</v>
      </c>
      <c r="B52" s="34" t="s">
        <v>14</v>
      </c>
      <c r="C52" s="92">
        <v>64.540000000000006</v>
      </c>
      <c r="D52" s="34">
        <v>240482</v>
      </c>
      <c r="E52" s="34">
        <v>240482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7.3730000000000002</v>
      </c>
      <c r="H52" s="39">
        <f>Table132[[#This Row],[New position]]*Table132[[#This Row],[Last_Price]]</f>
        <v>15520708.280000001</v>
      </c>
      <c r="I52" s="27"/>
      <c r="J52" s="93"/>
      <c r="K52" s="93"/>
      <c r="L52" s="42"/>
      <c r="M52" s="42"/>
      <c r="N52"/>
      <c r="O52"/>
      <c r="P52"/>
      <c r="Q52"/>
    </row>
    <row r="53" spans="1:17" x14ac:dyDescent="0.25">
      <c r="A53" s="44" t="s">
        <v>57</v>
      </c>
      <c r="B53" s="34" t="s">
        <v>14</v>
      </c>
      <c r="C53" s="46">
        <v>108.68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2.0209999999999999</v>
      </c>
      <c r="H53" s="39">
        <f>Table132[[#This Row],[New position]]*Table132[[#This Row],[Last_Price]]</f>
        <v>4254822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459.65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15.92</v>
      </c>
      <c r="H54" s="39">
        <f>Table132[[#This Row],[New position]]*Table132[[#This Row],[Last_Price]]</f>
        <v>33513541.149999999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30</v>
      </c>
      <c r="B55" s="34" t="s">
        <v>14</v>
      </c>
      <c r="C55" s="46">
        <v>56.48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0.41</v>
      </c>
      <c r="H55" s="39">
        <f>Table132[[#This Row],[New position]]*Table132[[#This Row],[Last_Price]]</f>
        <v>862449.6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92</v>
      </c>
      <c r="B56" s="34" t="s">
        <v>14</v>
      </c>
      <c r="C56" s="46">
        <v>24.11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0.26200000000000001</v>
      </c>
      <c r="H56" s="39">
        <f>Table132[[#This Row],[New position]]*Table132[[#This Row],[Last_Price]]</f>
        <v>551733.24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31</v>
      </c>
      <c r="B57" s="44" t="s">
        <v>14</v>
      </c>
      <c r="C57" s="46">
        <v>79.67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1.3740000000000001</v>
      </c>
      <c r="H57" s="39">
        <f>Table132[[#This Row],[New position]]*Table132[[#This Row],[Last_Price]]</f>
        <v>2892977.04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32</v>
      </c>
      <c r="B58" s="44" t="s">
        <v>14</v>
      </c>
      <c r="C58" s="46">
        <v>72.430000000000007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1.32</v>
      </c>
      <c r="H58" s="39">
        <f>Table132[[#This Row],[New position]]*Table132[[#This Row],[Last_Price]]</f>
        <v>2777690.5000000005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41</v>
      </c>
      <c r="B59" s="44" t="s">
        <v>14</v>
      </c>
      <c r="C59" s="46">
        <v>107.16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1.36</v>
      </c>
      <c r="H59" s="39">
        <f>Table132[[#This Row],[New position]]*Table132[[#This Row],[Last_Price]]</f>
        <v>2863851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46</v>
      </c>
      <c r="B60" s="44" t="s">
        <v>14</v>
      </c>
      <c r="C60" s="46">
        <v>36.270000000000003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1.35</v>
      </c>
      <c r="H60" s="39">
        <f>Table132[[#This Row],[New position]]*Table132[[#This Row],[Last_Price]]</f>
        <v>2840811.4800000004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90</v>
      </c>
      <c r="B61" s="44" t="s">
        <v>14</v>
      </c>
      <c r="C61" s="46">
        <v>17.29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0.94699999999999995</v>
      </c>
      <c r="H61" s="39">
        <f>Table132[[#This Row],[New position]]*Table132[[#This Row],[Last_Price]]</f>
        <v>1993537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60</v>
      </c>
      <c r="B62" s="44" t="s">
        <v>14</v>
      </c>
      <c r="C62" s="46">
        <v>47.23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0.47099999999999997</v>
      </c>
      <c r="H62" s="39">
        <f>Table132[[#This Row],[New position]]*Table132[[#This Row],[Last_Price]]</f>
        <v>992443.99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42</v>
      </c>
      <c r="B63" s="44" t="s">
        <v>14</v>
      </c>
      <c r="C63" s="46">
        <v>218.01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4.6070000000000002</v>
      </c>
      <c r="H63" s="39">
        <f>Table132[[#This Row],[New position]]*Table132[[#This Row],[Last_Price]]</f>
        <v>9697302.8100000005</v>
      </c>
      <c r="I63" s="61"/>
      <c r="J63" s="93"/>
      <c r="K63" s="95"/>
      <c r="L63"/>
      <c r="M63"/>
      <c r="N63"/>
      <c r="O63"/>
      <c r="P63"/>
      <c r="Q63"/>
    </row>
    <row r="64" spans="1:17" x14ac:dyDescent="0.25">
      <c r="A64" s="44" t="s">
        <v>91</v>
      </c>
      <c r="B64" s="34" t="s">
        <v>14</v>
      </c>
      <c r="C64" s="46">
        <v>23.59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0.48399999999999999</v>
      </c>
      <c r="H64" s="39">
        <f>Table132[[#This Row],[New position]]*Table132[[#This Row],[Last_Price]]</f>
        <v>1019088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39</v>
      </c>
      <c r="F66" s="31"/>
      <c r="G66" s="55" t="s">
        <v>40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29</v>
      </c>
      <c r="B67" s="44"/>
      <c r="C67" s="45"/>
      <c r="D67" s="35"/>
      <c r="E67" s="34">
        <f xml:space="preserve"> IF(G88&gt;0, (C25+ABS(G88*G67))/C21, C25/C21)</f>
        <v>3.7439476682971407</v>
      </c>
      <c r="F67" s="31"/>
      <c r="G67" s="34">
        <v>3.620695</v>
      </c>
      <c r="H67" s="46"/>
      <c r="I67" s="48"/>
      <c r="J67" s="99" t="s">
        <v>68</v>
      </c>
      <c r="K67" s="80" t="s">
        <v>69</v>
      </c>
      <c r="L67"/>
      <c r="M67"/>
      <c r="N67"/>
      <c r="O67"/>
      <c r="P67"/>
      <c r="Q67"/>
    </row>
    <row r="68" spans="1:17" ht="15" customHeight="1" x14ac:dyDescent="0.25">
      <c r="A68" s="34" t="s">
        <v>33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70</v>
      </c>
      <c r="K68" s="102">
        <f>1-SUM(K69:K70)</f>
        <v>0.69994802659122635</v>
      </c>
      <c r="L68"/>
      <c r="M68"/>
      <c r="N68"/>
      <c r="O68"/>
      <c r="P68"/>
      <c r="Q68"/>
    </row>
    <row r="69" spans="1:17" ht="15" customHeight="1" x14ac:dyDescent="0.25">
      <c r="A69" s="44" t="s">
        <v>52</v>
      </c>
      <c r="B69" s="44"/>
      <c r="C69" s="45"/>
      <c r="D69" s="47" t="str">
        <f>Table132[[#This Row],[Symbol]]</f>
        <v>Healthcare</v>
      </c>
      <c r="E69" s="34">
        <f>ROUND(SUM(G28:G28)/100, 3)</f>
        <v>3.3000000000000002E-2</v>
      </c>
      <c r="F69" s="47" t="str">
        <f>Table132[[#This Row],[Symbol]]</f>
        <v>Healthcare</v>
      </c>
      <c r="G69" s="34">
        <f>SUM(H28:H28)/(G67*C24)</f>
        <v>3.382862832542733E-2</v>
      </c>
      <c r="H69" s="46"/>
      <c r="I69" s="92"/>
      <c r="J69" s="66" t="s">
        <v>71</v>
      </c>
      <c r="K69" s="100">
        <f>SUM(H36:H53)/C25</f>
        <v>0.24242622554692594</v>
      </c>
      <c r="L69"/>
      <c r="M69"/>
      <c r="N69"/>
      <c r="O69"/>
      <c r="P69"/>
      <c r="Q69"/>
    </row>
    <row r="70" spans="1:17" ht="15" customHeight="1" x14ac:dyDescent="0.25">
      <c r="A70" s="44" t="s">
        <v>88</v>
      </c>
      <c r="B70" s="44"/>
      <c r="C70" s="45"/>
      <c r="D70" s="47" t="str">
        <f>Table132[[#This Row],[Symbol]]</f>
        <v>Energy</v>
      </c>
      <c r="E70" s="34">
        <f>ROUND(SUM(G29:G29)/100, 3)</f>
        <v>4.2999999999999997E-2</v>
      </c>
      <c r="F70" s="47" t="str">
        <f>Table132[[#This Row],[Symbol]]</f>
        <v>Energy</v>
      </c>
      <c r="G70" s="34">
        <f>SUM(H29:H29)/(G67*C24)</f>
        <v>4.4326602929601507E-2</v>
      </c>
      <c r="H70" s="46"/>
      <c r="I70" s="105"/>
      <c r="J70" s="66" t="s">
        <v>72</v>
      </c>
      <c r="K70" s="101">
        <f>(H63+H64+H55+H56)/C25</f>
        <v>5.7625747861847647E-2</v>
      </c>
      <c r="L70"/>
      <c r="M70"/>
      <c r="N70"/>
      <c r="O70"/>
      <c r="P70"/>
      <c r="Q70"/>
    </row>
    <row r="71" spans="1:17" ht="15" customHeight="1" x14ac:dyDescent="0.25">
      <c r="A71" s="44" t="s">
        <v>82</v>
      </c>
      <c r="B71" s="44"/>
      <c r="C71" s="45"/>
      <c r="D71" s="47" t="str">
        <f>Table132[[#This Row],[Symbol]]</f>
        <v>Financials</v>
      </c>
      <c r="E71" s="34">
        <f>ROUND(SUM(G30:G30)/100, 3)</f>
        <v>8.1000000000000003E-2</v>
      </c>
      <c r="F71" s="47" t="str">
        <f>Table132[[#This Row],[Symbol]]</f>
        <v>Financials</v>
      </c>
      <c r="G71" s="51">
        <f>SUM(H30:H30)/(G67*C24)</f>
        <v>8.3884662734742779E-2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83</v>
      </c>
      <c r="B72" s="44"/>
      <c r="C72" s="45"/>
      <c r="D72" s="47" t="str">
        <f>Table132[[#This Row],[Symbol]]</f>
        <v>Techs</v>
      </c>
      <c r="E72" s="51">
        <f>ROUND(SUM(G31:G31)/100, 3)</f>
        <v>8.3000000000000004E-2</v>
      </c>
      <c r="F72" s="47" t="str">
        <f>Table132[[#This Row],[Symbol]]</f>
        <v>Techs</v>
      </c>
      <c r="G72" s="34">
        <f>SUM(H31:H31)/(G67*C24)</f>
        <v>8.6055641502155486E-2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48</v>
      </c>
      <c r="B73" s="44"/>
      <c r="C73" s="45"/>
      <c r="D73" s="47" t="str">
        <f>Table132[[#This Row],[Symbol]]</f>
        <v>Semiconductor</v>
      </c>
      <c r="E73" s="34">
        <f>ROUND(SUM(G32:G33)/100, 3)</f>
        <v>0.105</v>
      </c>
      <c r="F73" s="47" t="str">
        <f>Table132[[#This Row],[Symbol]]</f>
        <v>Semiconductor</v>
      </c>
      <c r="G73" s="51">
        <f>SUM(H32:H33)/(G67*C24)</f>
        <v>0.10895258792592068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86</v>
      </c>
      <c r="B74" s="44"/>
      <c r="C74" s="45"/>
      <c r="D74" s="47" t="str">
        <f>Table132[[#This Row],[Symbol]]</f>
        <v>Russell</v>
      </c>
      <c r="E74" s="51">
        <f>ROUND(SUM(G34:G35)/100, 3)</f>
        <v>0.127</v>
      </c>
      <c r="F74" s="47" t="str">
        <f>Table132[[#This Row],[Symbol]]</f>
        <v>Russell</v>
      </c>
      <c r="G74" s="51">
        <f>SUM(H34:H35)/(G67*C24)</f>
        <v>0.13155771158697085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43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44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47</v>
      </c>
      <c r="B77" s="44"/>
      <c r="C77" s="45"/>
      <c r="D77" s="47" t="str">
        <f>Table132[[#This Row],[Symbol]]</f>
        <v>Int Stocks</v>
      </c>
      <c r="E77" s="34">
        <f>ROUND(SUM(G36:G52)/100, 3)</f>
        <v>0.222</v>
      </c>
      <c r="F77" s="47" t="str">
        <f>Table132[[#This Row],[Symbol]]</f>
        <v>Int Stocks</v>
      </c>
      <c r="G77" s="34">
        <f>SUM(H36:H52)/(G67*C24)</f>
        <v>0.22977830285326112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58</v>
      </c>
      <c r="B78" s="44"/>
      <c r="C78" s="45"/>
      <c r="D78" s="47" t="str">
        <f>Table132[[#This Row],[Symbol]]</f>
        <v>JP Stocks</v>
      </c>
      <c r="E78" s="34">
        <f>ROUND(SUM(G53:G53)/100, 3)</f>
        <v>0.02</v>
      </c>
      <c r="F78" s="47" t="str">
        <f>Table132[[#This Row],[Symbol]]</f>
        <v>JP Stocks</v>
      </c>
      <c r="G78" s="34">
        <f>SUM(H53:H53)/(G67*C24)</f>
        <v>2.090039332813225E-2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66</v>
      </c>
      <c r="B79" s="44"/>
      <c r="C79" s="45"/>
      <c r="D79" s="47" t="str">
        <f>Table132[[#This Row],[Symbol]]</f>
        <v>Nasdaq</v>
      </c>
      <c r="E79" s="51">
        <f>ROUND(SUM(G54)/100, 3)</f>
        <v>0.159</v>
      </c>
      <c r="F79" s="47" t="str">
        <f>Table132[[#This Row],[Symbol]]</f>
        <v>Nasdaq</v>
      </c>
      <c r="G79" s="34">
        <f>SUM(H54)/(G67*C24)</f>
        <v>0.16462408811779802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49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50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26</v>
      </c>
      <c r="B82" s="44"/>
      <c r="C82" s="45"/>
      <c r="D82" s="47" t="str">
        <f>Table132[[#This Row],[Symbol]]</f>
        <v>Bonds</v>
      </c>
      <c r="E82" s="34">
        <f>ROUND((SUM(G57:G62))/100, 3)</f>
        <v>6.8000000000000005E-2</v>
      </c>
      <c r="F82" s="47" t="str">
        <f>Table132[[#This Row],[Symbol]]</f>
        <v>Bonds</v>
      </c>
      <c r="G82" s="34">
        <f>(SUM(H57:H62))/(G67*C24)</f>
        <v>7.0545148261580926E-2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54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35</v>
      </c>
      <c r="B84" s="34"/>
      <c r="C84" s="34"/>
      <c r="D84" s="47" t="str">
        <f>Table132[[#This Row],[Symbol]]</f>
        <v>Gold</v>
      </c>
      <c r="E84" s="34">
        <f>ROUND(SUM(G63:G64)/100,3)</f>
        <v>5.0999999999999997E-2</v>
      </c>
      <c r="F84" s="47" t="str">
        <f>Table132[[#This Row],[Symbol]]</f>
        <v>Gold</v>
      </c>
      <c r="G84" s="34">
        <f>SUM(H63:H64)/(G67*C24)</f>
        <v>5.2640694014222396E-2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27</v>
      </c>
      <c r="B85" s="34"/>
      <c r="C85" s="34"/>
      <c r="D85" s="47" t="str">
        <f>Table132[[#This Row],[Symbol]]</f>
        <v>Commodities</v>
      </c>
      <c r="E85" s="34">
        <f>ROUND(SUM(G55:G56)/100,3)</f>
        <v>7.0000000000000001E-3</v>
      </c>
      <c r="F85" s="47" t="str">
        <f>Table132[[#This Row],[Symbol]]</f>
        <v>Commodities</v>
      </c>
      <c r="G85" s="51">
        <f>SUM(H55:H56)/(G67*C24)</f>
        <v>6.9467013176802966E-3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34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9.9999999999988987E-4</v>
      </c>
      <c r="F87" s="47" t="str">
        <f>Table132[[#This Row],[Symbol]]</f>
        <v>Cash</v>
      </c>
      <c r="G87" s="51">
        <f>1-SUM(G68:G86)</f>
        <v>-3.4041162897493482E-2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28</v>
      </c>
      <c r="B88" s="25"/>
      <c r="C88" s="32"/>
      <c r="D88" s="31"/>
      <c r="E88" s="39">
        <f>C24*E87</f>
        <v>56225.715999993809</v>
      </c>
      <c r="F88" s="31"/>
      <c r="G88" s="39">
        <f>C24*G87</f>
        <v>-1913988.7573842057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95</v>
      </c>
      <c r="D93" s="1"/>
      <c r="E93" s="5" t="s">
        <v>95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8" fitToHeight="0" orientation="landscape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2025-08-04T09:50:00Z</cp:lastPrinted>
  <dcterms:created xsi:type="dcterms:W3CDTF">2020-06-30T03:42:56Z</dcterms:created>
  <dcterms:modified xsi:type="dcterms:W3CDTF">2025-08-04T09:50:01Z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