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9" documentId="14_{E49A3275-0D08-41B9-AB40-587F241DB226}" xr6:coauthVersionLast="47" xr6:coauthVersionMax="47" xr10:uidLastSave="{8F406A7E-1505-497F-A404-47B31D1EB5B9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3" l="1"/>
  <c r="F68" i="3"/>
  <c r="F66" i="3"/>
  <c r="F65" i="3"/>
  <c r="F64" i="3" l="1"/>
  <c r="F63" i="3"/>
  <c r="F62" i="3"/>
  <c r="F61" i="3"/>
  <c r="F60" i="3"/>
  <c r="F59" i="3"/>
  <c r="F58" i="3"/>
  <c r="F57" i="3"/>
  <c r="F56" i="3"/>
  <c r="F55" i="3"/>
  <c r="F53" i="3"/>
  <c r="F52" i="3"/>
  <c r="F51" i="3"/>
  <c r="F50" i="3"/>
  <c r="F48" i="3"/>
  <c r="F47" i="3"/>
  <c r="F46" i="3"/>
  <c r="F45" i="3"/>
  <c r="F44" i="3"/>
  <c r="F43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C38" i="3" l="1"/>
  <c r="E42" i="3"/>
  <c r="D42" i="3"/>
  <c r="E49" i="3"/>
  <c r="D49" i="3"/>
  <c r="H37" i="3"/>
  <c r="F49" i="3" l="1"/>
  <c r="F42" i="3"/>
  <c r="H38" i="3"/>
  <c r="H48" i="3"/>
  <c r="H64" i="3"/>
  <c r="H56" i="3"/>
  <c r="H61" i="3" l="1"/>
  <c r="H51" i="3" l="1"/>
  <c r="H49" i="3" l="1"/>
  <c r="H47" i="3"/>
  <c r="H45" i="3" l="1"/>
  <c r="H46" i="3"/>
  <c r="H44" i="3" l="1"/>
  <c r="F74" i="3"/>
  <c r="D74" i="3"/>
  <c r="H29" i="3" l="1"/>
  <c r="F75" i="3" l="1"/>
  <c r="F76" i="3"/>
  <c r="D75" i="3"/>
  <c r="D76" i="3"/>
  <c r="H30" i="3"/>
  <c r="H31" i="3"/>
  <c r="H33" i="3"/>
  <c r="H34" i="3" l="1"/>
  <c r="H35" i="3"/>
  <c r="H55" i="3"/>
  <c r="E85" i="3" l="1"/>
  <c r="E90" i="3" l="1"/>
  <c r="E87" i="3" l="1"/>
  <c r="E84" i="3"/>
  <c r="H28" i="3"/>
  <c r="F28" i="3"/>
  <c r="E72" i="3"/>
  <c r="H32" i="3"/>
  <c r="H50" i="3" l="1"/>
  <c r="E80" i="3" l="1"/>
  <c r="E79" i="3"/>
  <c r="F82" i="3" l="1"/>
  <c r="D82" i="3"/>
  <c r="H63" i="3" l="1"/>
  <c r="D87" i="3" l="1"/>
  <c r="F87" i="3"/>
  <c r="D73" i="3" l="1"/>
  <c r="D77" i="3"/>
  <c r="D78" i="3"/>
  <c r="D79" i="3"/>
  <c r="D80" i="3"/>
  <c r="D81" i="3"/>
  <c r="D83" i="3"/>
  <c r="D84" i="3"/>
  <c r="D85" i="3"/>
  <c r="D86" i="3"/>
  <c r="D88" i="3"/>
  <c r="D89" i="3"/>
  <c r="D90" i="3"/>
  <c r="D91" i="3"/>
  <c r="F73" i="3"/>
  <c r="H43" i="3"/>
  <c r="H42" i="3" l="1"/>
  <c r="F85" i="3"/>
  <c r="D72" i="3" l="1"/>
  <c r="F81" i="3"/>
  <c r="F79" i="3"/>
  <c r="F78" i="3"/>
  <c r="F77" i="3"/>
  <c r="F72" i="3"/>
  <c r="F84" i="3"/>
  <c r="F80" i="3" l="1"/>
  <c r="F83" i="3"/>
  <c r="F86" i="3"/>
  <c r="F88" i="3"/>
  <c r="F89" i="3"/>
  <c r="F90" i="3"/>
  <c r="F91" i="3"/>
  <c r="H58" i="3" l="1"/>
  <c r="H59" i="3"/>
  <c r="H60" i="3"/>
  <c r="H62" i="3"/>
  <c r="H57" i="3" l="1"/>
  <c r="H36" i="3" l="1"/>
  <c r="H39" i="3"/>
  <c r="H53" i="3" l="1"/>
  <c r="H52" i="3"/>
  <c r="H41" i="3" l="1"/>
  <c r="H40" i="3"/>
  <c r="C24" i="3" l="1"/>
  <c r="C11" i="3" s="1"/>
  <c r="G89" i="3" l="1"/>
  <c r="G74" i="3" s="1"/>
  <c r="G76" i="3" s="1"/>
  <c r="G81" i="3" s="1"/>
  <c r="C16" i="3"/>
  <c r="C20" i="3"/>
  <c r="G88" i="3"/>
  <c r="C17" i="3"/>
  <c r="C7" i="3"/>
  <c r="C6" i="3"/>
  <c r="C5" i="3"/>
  <c r="C4" i="3"/>
  <c r="C8" i="3"/>
  <c r="G85" i="3"/>
  <c r="C15" i="3"/>
  <c r="C19" i="3"/>
  <c r="G90" i="3"/>
  <c r="C18" i="3"/>
  <c r="G87" i="3"/>
  <c r="G84" i="3"/>
  <c r="C14" i="3"/>
  <c r="G72" i="3"/>
  <c r="C3" i="3"/>
  <c r="C12" i="3"/>
  <c r="C9" i="3"/>
  <c r="G79" i="3"/>
  <c r="G86" i="3" s="1"/>
  <c r="G78" i="3" s="1"/>
  <c r="C10" i="3"/>
  <c r="G80" i="3"/>
  <c r="G82" i="3"/>
  <c r="G75" i="3" l="1"/>
  <c r="G77" i="3" s="1"/>
  <c r="G73" i="3"/>
  <c r="F54" i="3" l="1"/>
  <c r="H54" i="3"/>
  <c r="G83" i="3"/>
  <c r="G91" i="3" s="1"/>
  <c r="G92" i="3" s="1"/>
  <c r="C13" i="3" l="1"/>
  <c r="C25" i="3" a="1"/>
  <c r="C25" i="3" s="1"/>
  <c r="K73" i="3" s="1"/>
  <c r="G41" i="3"/>
  <c r="G52" i="3"/>
  <c r="G50" i="3"/>
  <c r="G51" i="3"/>
  <c r="G34" i="3"/>
  <c r="G61" i="3"/>
  <c r="G37" i="3"/>
  <c r="G53" i="3"/>
  <c r="E82" i="3" s="1"/>
  <c r="G60" i="3"/>
  <c r="G48" i="3"/>
  <c r="G38" i="3"/>
  <c r="G29" i="3"/>
  <c r="E74" i="3" s="1"/>
  <c r="G42" i="3"/>
  <c r="G64" i="3"/>
  <c r="G55" i="3"/>
  <c r="G59" i="3"/>
  <c r="G44" i="3"/>
  <c r="G33" i="3"/>
  <c r="G49" i="3"/>
  <c r="G43" i="3"/>
  <c r="G63" i="3"/>
  <c r="G36" i="3"/>
  <c r="G30" i="3"/>
  <c r="E75" i="3" s="1"/>
  <c r="G62" i="3"/>
  <c r="G39" i="3"/>
  <c r="G31" i="3"/>
  <c r="E76" i="3" s="1"/>
  <c r="G35" i="3"/>
  <c r="G40" i="3"/>
  <c r="G57" i="3"/>
  <c r="G32" i="3"/>
  <c r="E77" i="3" s="1"/>
  <c r="G58" i="3"/>
  <c r="G45" i="3"/>
  <c r="G47" i="3"/>
  <c r="G56" i="3"/>
  <c r="G46" i="3"/>
  <c r="G28" i="3"/>
  <c r="E73" i="3" s="1"/>
  <c r="G54" i="3"/>
  <c r="E83" i="3" s="1"/>
  <c r="C2" i="3" l="1"/>
  <c r="K74" i="3"/>
  <c r="K72" i="3"/>
  <c r="E71" i="3"/>
  <c r="E89" i="3"/>
  <c r="E78" i="3"/>
  <c r="E86" i="3"/>
  <c r="E88" i="3"/>
  <c r="E81" i="3"/>
  <c r="E91" i="3" l="1"/>
  <c r="E9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<sst xmlns="http://schemas.openxmlformats.org/spreadsheetml/2006/main" count="168" uniqueCount="106">
  <si>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</si>
  <si>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</si>
  <si>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</si>
  <si>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</si>
  <si>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</si>
  <si>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</si>
  <si>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</si>
  <si>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</si>
  <si>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</si>
  <si>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</si>
  <si>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</si>
  <si>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</si>
  <si>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</si>
  <si>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</si>
  <si>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</si>
  <si>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</si>
  <si>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</si>
  <si>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</si>
  <si>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</si>
  <si>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</si>
  <si>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</si>
  <si>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</si>
  <si>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</si>
  <si>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</si>
  <si>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</si>
  <si>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</si>
  <si>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</si>
  <si>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</si>
  <si>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</si>
  <si>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</si>
  <si>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</si>
  <si>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</si>
  <si>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</si>
  <si>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</si>
  <si>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</si>
  <si>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</si>
  <si>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</si>
  <si>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</si>
  <si>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</si>
  <si>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</si>
  <si>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</si>
  <si>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</si>
  <si>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</si>
  <si>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</si>
  <si>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</si>
  <si>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</si>
  <si>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</si>
  <si>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</si>
  <si>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</si>
  <si>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</si>
  <si>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</si>
  <si>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</si>
  <si>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</si>
  <si>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</si>
  <si>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</si>
  <si>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</si>
  <si>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</si>
  <si>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</si>
  <si>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</si>
  <si>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</si>
  <si>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</si>
  <si>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</si>
  <si>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</si>
  <si>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</si>
  <si>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</si>
  <si>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</si>
  <si>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</si>
  <si>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</si>
  <si>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</si>
  <si>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</si>
  <si>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</si>
  <si>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</si>
  <si>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</si>
  <si>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</si>
  <si>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</si>
  <si>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</si>
  <si>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</si>
  <si>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</si>
  <si>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</si>
  <si>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</si>
  <si>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</si>
  <si>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</si>
  <si>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</si>
  <si>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</si>
  <si>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</si>
  <si>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</si>
  <si>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</si>
  <si>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</si>
  <si>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</si>
  <si>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</si>
  <si>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</si>
  <si>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</si>
  <si>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</si>
  <si>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</si>
  <si>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</si>
  <si>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</si>
  <si>
    <t>Target to allocate 0.5-1mio USD</t>
  </si>
  <si>
    <t>Reduce exposure. - 25% from total allocation</t>
  </si>
  <si>
    <t>Multi strategies</t>
  </si>
  <si>
    <t>NVDA 24MAY24 1010 C</t>
  </si>
  <si>
    <t>OPT</t>
  </si>
  <si>
    <t>NVDA 24MAY24 1035 P</t>
  </si>
  <si>
    <t>NVDA 24MAY24 1045 P</t>
  </si>
  <si>
    <t>NVDA 24MAY24 1050 P</t>
  </si>
  <si>
    <t>Expired worthless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</si>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</sst>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2" fillId="2" borderId="1" xfId="0" applyFont="1" applyFill="1" applyBorder="1"/>
    <xf numFmtId="0" fontId="23" fillId="2" borderId="1" xfId="0" applyFont="1" applyFill="1" applyBorder="1"/>
    <xf numFmtId="164" fontId="23" fillId="2" borderId="1" xfId="1" applyNumberFormat="1" applyFont="1" applyFill="1" applyBorder="1"/>
    <xf numFmtId="0" fontId="23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164" fontId="0" fillId="2" borderId="5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Sheet1!$D$72:$D$91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Sheet1!$E$72:$E$91</c:f>
              <c:numCache>
                <c:formatCode>General</c:formatCode>
                <c:ptCount val="20"/>
                <c:pt idx="0">
                  <c:v>0</c:v>
                </c:pt>
                <c:pt idx="1">
                  <c:v>2.5999999999999999E-2</c:v>
                </c:pt>
                <c:pt idx="2">
                  <c:v>3.4000000000000002E-2</c:v>
                </c:pt>
                <c:pt idx="3">
                  <c:v>4.3999999999999997E-2</c:v>
                </c:pt>
                <c:pt idx="4">
                  <c:v>6.5000000000000002E-2</c:v>
                </c:pt>
                <c:pt idx="5">
                  <c:v>9.1999999999999998E-2</c:v>
                </c:pt>
                <c:pt idx="6">
                  <c:v>0.13300000000000001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2.4E-2</c:v>
                </c:pt>
                <c:pt idx="11">
                  <c:v>0.124</c:v>
                </c:pt>
                <c:pt idx="12">
                  <c:v>0</c:v>
                </c:pt>
                <c:pt idx="13">
                  <c:v>0</c:v>
                </c:pt>
                <c:pt idx="14">
                  <c:v>6.8000000000000005E-2</c:v>
                </c:pt>
                <c:pt idx="15">
                  <c:v>0</c:v>
                </c:pt>
                <c:pt idx="16">
                  <c:v>5.2999999999999999E-2</c:v>
                </c:pt>
                <c:pt idx="17">
                  <c:v>0.01</c:v>
                </c:pt>
                <c:pt idx="18">
                  <c:v>0</c:v>
                </c:pt>
                <c:pt idx="19">
                  <c:v>0.12699999999999989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Sheet1!$J$72:$J$74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Sheet1!$K$72:$K$74</c:f>
              <c:numCache>
                <c:formatCode>0%</c:formatCode>
                <c:ptCount val="3"/>
                <c:pt idx="0">
                  <c:v>0.67133682621684976</c:v>
                </c:pt>
                <c:pt idx="1">
                  <c:v>0.25665794922365237</c:v>
                </c:pt>
                <c:pt idx="2">
                  <c:v>7.2005224559497941E-2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5" totalsRowShown="0" headerRowDxfId="13" dataDxfId="11" headerRowBorderDxfId="12" tableBorderDxfId="10" totalsRowBorderDxfId="9">
  <autoFilter ref="A27:I95" xr:uid="{00000000-0009-0000-0100-000001000000}"/>
  <sortState xmlns:xlrd2="http://schemas.microsoft.com/office/spreadsheetml/2017/richdata2" ref="A28:I94">
    <sortCondition ref="A27:A9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3"/>
  <sheetViews>
    <sheetView tabSelected="1" zoomScale="115" zoomScaleNormal="115" workbookViewId="0">
      <selection activeCell="I66" sqref="I66"/>
    </sheetView>
  </sheetViews>
  <sheetFormatPr defaultColWidth="9.140625" defaultRowHeight="15" outlineLevelCol="1" x14ac:dyDescent="0.25"/>
  <cols>
    <col min="1" max="1" width="12.28515625" style="1" customWidth="1"/>
    <col min="2" max="2" width="17.42578125" style="1" customWidth="1" outlineLevel="1"/>
    <col min="3" max="3" width="16.140625" style="1" customWidth="1" outlineLevel="1"/>
    <col min="4" max="4" width="18.28515625" customWidth="1" outlineLevel="1"/>
    <col min="5" max="5" width="17.28515625" customWidth="1" outlineLevel="1"/>
    <col min="6" max="6" width="10.5703125" customWidth="1" outlineLevel="1"/>
    <col min="7" max="7" width="14.85546875" bestFit="1" customWidth="1"/>
    <col min="8" max="8" width="20.28515625" style="42" bestFit="1" customWidth="1"/>
    <col min="9" max="9" width="42.28515625" customWidth="1"/>
    <col min="10" max="10" width="15" style="76" bestFit="1" customWidth="1"/>
    <col min="11" max="11" width="13.42578125" style="89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7" t="s">
        <v>0</v>
      </c>
      <c r="B1" s="107"/>
      <c r="C1" s="12">
        <v>45436</v>
      </c>
      <c r="E1" s="14"/>
      <c r="F1" s="14"/>
      <c r="G1" s="43"/>
      <c r="H1" s="14"/>
      <c r="J1" s="63"/>
      <c r="K1" s="77"/>
    </row>
    <row r="2" spans="1:12" s="13" customFormat="1" x14ac:dyDescent="0.25">
      <c r="A2" s="107" t="s">
        <v>10</v>
      </c>
      <c r="B2" s="107"/>
      <c r="C2" s="15">
        <f>C25/C24</f>
        <v>3.1560812562215959</v>
      </c>
      <c r="D2"/>
      <c r="E2" s="23"/>
      <c r="F2" s="17"/>
      <c r="G2" s="17"/>
      <c r="H2" s="16"/>
      <c r="J2" s="63"/>
      <c r="K2" s="77"/>
    </row>
    <row r="3" spans="1:12" s="13" customFormat="1" x14ac:dyDescent="0.25">
      <c r="A3" s="109" t="s">
        <v>94</v>
      </c>
      <c r="B3" s="110"/>
      <c r="C3" s="15">
        <f>SUM(0)/C24</f>
        <v>0</v>
      </c>
      <c r="D3"/>
      <c r="E3" s="23"/>
      <c r="F3" s="17"/>
      <c r="G3" s="17"/>
      <c r="H3" s="16"/>
      <c r="J3" s="63"/>
      <c r="K3" s="77"/>
    </row>
    <row r="4" spans="1:12" s="13" customFormat="1" x14ac:dyDescent="0.25">
      <c r="A4" s="55" t="s">
        <v>51</v>
      </c>
      <c r="B4" s="56"/>
      <c r="C4" s="15">
        <f>SUM(H28:H28)/C24</f>
        <v>9.2535675294829228E-2</v>
      </c>
      <c r="D4"/>
      <c r="E4" s="23"/>
      <c r="F4" s="17"/>
      <c r="G4" s="17"/>
      <c r="H4" s="16"/>
      <c r="J4" s="63"/>
      <c r="K4" s="77"/>
    </row>
    <row r="5" spans="1:12" s="13" customFormat="1" x14ac:dyDescent="0.25">
      <c r="A5" s="55" t="s">
        <v>84</v>
      </c>
      <c r="B5" s="56"/>
      <c r="C5" s="15">
        <f>SUM(H30:H30)/C24</f>
        <v>0.15999727027577387</v>
      </c>
      <c r="D5"/>
      <c r="E5" s="23"/>
      <c r="F5" s="17"/>
      <c r="G5" s="17"/>
      <c r="H5" s="16"/>
      <c r="J5" s="63"/>
      <c r="K5" s="77"/>
    </row>
    <row r="6" spans="1:12" s="13" customFormat="1" x14ac:dyDescent="0.25">
      <c r="A6" s="55" t="s">
        <v>85</v>
      </c>
      <c r="B6" s="56"/>
      <c r="C6" s="15">
        <f>SUM(H31:H31)/C24</f>
        <v>0.23421141455106398</v>
      </c>
      <c r="D6"/>
      <c r="E6" s="23"/>
      <c r="F6" s="17"/>
      <c r="G6" s="17"/>
      <c r="H6" s="16"/>
      <c r="J6" s="63"/>
      <c r="K6" s="77"/>
    </row>
    <row r="7" spans="1:12" s="13" customFormat="1" x14ac:dyDescent="0.25">
      <c r="A7" s="55" t="s">
        <v>45</v>
      </c>
      <c r="B7" s="56"/>
      <c r="C7" s="15">
        <f>SUM(H32:H33)/C24</f>
        <v>0.33448338528986932</v>
      </c>
      <c r="D7"/>
      <c r="E7" s="23"/>
      <c r="F7" s="17"/>
      <c r="G7" s="17"/>
      <c r="H7" s="16"/>
      <c r="J7" s="63"/>
      <c r="K7" s="77"/>
    </row>
    <row r="8" spans="1:12" s="13" customFormat="1" x14ac:dyDescent="0.25">
      <c r="A8" s="109" t="s">
        <v>78</v>
      </c>
      <c r="B8" s="110"/>
      <c r="C8" s="15">
        <f>SUM(H34:H35)/C24</f>
        <v>0.47987055238351661</v>
      </c>
      <c r="D8"/>
      <c r="E8" s="23"/>
      <c r="F8" s="17"/>
      <c r="G8" s="17"/>
      <c r="H8" s="16"/>
      <c r="J8" s="63"/>
      <c r="K8" s="77"/>
    </row>
    <row r="9" spans="1:12" s="13" customFormat="1" x14ac:dyDescent="0.25">
      <c r="A9" s="55" t="s">
        <v>75</v>
      </c>
      <c r="B9" s="56"/>
      <c r="C9" s="15">
        <f>SUM(0)/C24</f>
        <v>0</v>
      </c>
      <c r="D9"/>
      <c r="E9" s="23"/>
      <c r="F9" s="17"/>
      <c r="G9" s="17"/>
      <c r="H9" s="16"/>
      <c r="J9" s="63"/>
      <c r="K9" s="77"/>
    </row>
    <row r="10" spans="1:12" s="13" customFormat="1" x14ac:dyDescent="0.25">
      <c r="A10" s="55" t="s">
        <v>76</v>
      </c>
      <c r="B10" s="56"/>
      <c r="C10" s="15">
        <f>SUM(0)/C24</f>
        <v>0</v>
      </c>
      <c r="D10"/>
      <c r="E10" s="23"/>
      <c r="F10" s="17"/>
      <c r="G10" s="17"/>
      <c r="H10" s="16"/>
      <c r="J10" s="63"/>
      <c r="K10" s="77"/>
      <c r="L10" s="62"/>
    </row>
    <row r="11" spans="1:12" s="13" customFormat="1" x14ac:dyDescent="0.25">
      <c r="A11" s="109" t="s">
        <v>38</v>
      </c>
      <c r="B11" s="110"/>
      <c r="C11" s="15">
        <f>SUM(H36:H52)/C24</f>
        <v>0.72250786009579038</v>
      </c>
      <c r="D11"/>
      <c r="E11" s="23"/>
      <c r="F11" s="17"/>
      <c r="G11" s="17"/>
      <c r="H11" s="16"/>
      <c r="J11" s="63"/>
      <c r="K11" s="77"/>
      <c r="L11" s="36"/>
    </row>
    <row r="12" spans="1:12" s="13" customFormat="1" x14ac:dyDescent="0.25">
      <c r="A12" s="109" t="s">
        <v>59</v>
      </c>
      <c r="B12" s="110"/>
      <c r="C12" s="15">
        <f>SUM(H53:H53)/C24</f>
        <v>8.7525482709252922E-2</v>
      </c>
      <c r="D12"/>
      <c r="E12" s="23"/>
      <c r="F12" s="17"/>
      <c r="G12" s="17"/>
      <c r="H12" s="16"/>
      <c r="J12" s="63"/>
      <c r="K12" s="77"/>
    </row>
    <row r="13" spans="1:12" s="13" customFormat="1" x14ac:dyDescent="0.25">
      <c r="A13" s="109" t="s">
        <v>67</v>
      </c>
      <c r="B13" s="110"/>
      <c r="C13" s="15">
        <f>SUM(H54:H54)/C24</f>
        <v>0.45015809083739716</v>
      </c>
      <c r="D13"/>
      <c r="E13" s="23"/>
      <c r="F13" s="17"/>
      <c r="G13" s="17"/>
      <c r="H13" s="16"/>
      <c r="J13" s="63"/>
      <c r="K13" s="77"/>
    </row>
    <row r="14" spans="1:12" s="13" customFormat="1" x14ac:dyDescent="0.25">
      <c r="A14" s="55" t="s">
        <v>77</v>
      </c>
      <c r="B14" s="56"/>
      <c r="C14" s="15">
        <f>SUM(0)/C24</f>
        <v>0</v>
      </c>
      <c r="D14"/>
      <c r="E14" s="23"/>
      <c r="F14" s="17"/>
      <c r="G14" s="17"/>
      <c r="H14" s="16"/>
      <c r="J14" s="63"/>
      <c r="K14" s="77"/>
    </row>
    <row r="15" spans="1:12" s="13" customFormat="1" x14ac:dyDescent="0.25">
      <c r="A15" s="55" t="s">
        <v>53</v>
      </c>
      <c r="B15" s="56"/>
      <c r="C15" s="15">
        <f>SUM(0)/C24</f>
        <v>0</v>
      </c>
      <c r="D15"/>
      <c r="E15" s="23"/>
      <c r="F15" s="17"/>
      <c r="G15" s="17"/>
      <c r="H15" s="16"/>
      <c r="J15" s="63"/>
      <c r="K15" s="77"/>
    </row>
    <row r="16" spans="1:12" s="13" customFormat="1" x14ac:dyDescent="0.25">
      <c r="A16" s="109" t="s">
        <v>25</v>
      </c>
      <c r="B16" s="110"/>
      <c r="C16" s="15">
        <f>SUM(H55:H56)/C24</f>
        <v>3.4586301870692511E-2</v>
      </c>
      <c r="D16"/>
      <c r="E16" s="23"/>
      <c r="F16" s="17"/>
      <c r="G16" s="17"/>
      <c r="H16" s="16"/>
      <c r="J16" s="63"/>
      <c r="K16" s="77"/>
    </row>
    <row r="17" spans="1:17" s="13" customFormat="1" x14ac:dyDescent="0.25">
      <c r="A17" s="109" t="s">
        <v>24</v>
      </c>
      <c r="B17" s="110"/>
      <c r="C17" s="15">
        <f>SUM(H57:H62)/C24</f>
        <v>0.24606463827567504</v>
      </c>
      <c r="D17"/>
      <c r="E17" s="23"/>
      <c r="F17" s="17"/>
      <c r="G17" s="17"/>
      <c r="H17" s="16"/>
      <c r="J17" s="63"/>
      <c r="K17" s="77"/>
    </row>
    <row r="18" spans="1:17" s="13" customFormat="1" x14ac:dyDescent="0.25">
      <c r="A18" s="55" t="s">
        <v>55</v>
      </c>
      <c r="B18" s="56"/>
      <c r="C18" s="15">
        <f>SUM(0)/C24</f>
        <v>0</v>
      </c>
      <c r="D18"/>
      <c r="E18" s="23"/>
      <c r="F18" s="17"/>
      <c r="G18" s="17"/>
      <c r="H18" s="16"/>
      <c r="J18" s="63"/>
      <c r="K18" s="77"/>
    </row>
    <row r="19" spans="1:17" s="13" customFormat="1" ht="27.75" customHeight="1" x14ac:dyDescent="0.25">
      <c r="A19" s="108" t="s">
        <v>36</v>
      </c>
      <c r="B19" s="108"/>
      <c r="C19" s="15">
        <f>SUM(0)/C24</f>
        <v>0</v>
      </c>
      <c r="D19" s="22"/>
      <c r="E19" s="16"/>
      <c r="F19" s="17"/>
      <c r="G19" s="17"/>
      <c r="H19" s="16"/>
      <c r="J19" s="63"/>
      <c r="K19" s="77"/>
    </row>
    <row r="20" spans="1:17" s="13" customFormat="1" x14ac:dyDescent="0.25">
      <c r="A20" s="109" t="s">
        <v>37</v>
      </c>
      <c r="B20" s="110"/>
      <c r="C20" s="15">
        <f>SUM(H63:H64)/C24</f>
        <v>0.19266803771156585</v>
      </c>
      <c r="D20"/>
      <c r="E20" s="23"/>
      <c r="F20" s="17"/>
      <c r="G20" s="17"/>
      <c r="H20" s="16"/>
      <c r="J20" s="63"/>
      <c r="K20" s="77"/>
    </row>
    <row r="21" spans="1:17" s="13" customFormat="1" ht="12.75" x14ac:dyDescent="0.25">
      <c r="A21" s="107" t="s">
        <v>8</v>
      </c>
      <c r="B21" s="107"/>
      <c r="C21" s="18">
        <v>55207042</v>
      </c>
      <c r="D21" s="24"/>
      <c r="E21" s="17"/>
      <c r="F21" s="17"/>
      <c r="G21" s="17"/>
      <c r="H21" s="16"/>
      <c r="J21" s="63"/>
      <c r="K21" s="77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3"/>
      <c r="K22" s="77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3"/>
      <c r="K23" s="77"/>
    </row>
    <row r="24" spans="1:17" s="13" customFormat="1" ht="12.75" x14ac:dyDescent="0.25">
      <c r="A24" s="107" t="s">
        <v>9</v>
      </c>
      <c r="B24" s="107"/>
      <c r="C24" s="18">
        <f>C21+C22-C23</f>
        <v>55207042</v>
      </c>
      <c r="D24" s="21"/>
      <c r="E24" s="17"/>
      <c r="F24" s="17"/>
      <c r="G24" s="17"/>
      <c r="H24" s="16"/>
      <c r="J24" s="63"/>
      <c r="K24" s="77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174237910.4676384</v>
      </c>
      <c r="D25" s="21" t="s">
        <v>22</v>
      </c>
      <c r="E25" s="17"/>
      <c r="F25" s="17"/>
      <c r="G25" s="17"/>
      <c r="H25" s="16"/>
      <c r="J25" s="63"/>
      <c r="K25" s="77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4"/>
      <c r="K26" s="77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0" t="s">
        <v>62</v>
      </c>
      <c r="K27" s="90" t="s">
        <v>63</v>
      </c>
    </row>
    <row r="28" spans="1:17" x14ac:dyDescent="0.25">
      <c r="A28" s="44" t="s">
        <v>65</v>
      </c>
      <c r="B28" s="34" t="s">
        <v>14</v>
      </c>
      <c r="C28" s="91">
        <v>144.91</v>
      </c>
      <c r="D28" s="34">
        <v>47005</v>
      </c>
      <c r="E28" s="34">
        <v>35253.75</v>
      </c>
      <c r="F28" s="33">
        <f>Table132[[#This Row],[New position]]-Table132[[#This Row],[Old position]]</f>
        <v>-11751.25</v>
      </c>
      <c r="G28" s="34">
        <f>ROUND(Table132[[#This Row],[Target allocation ($)]]/(IF(G92&gt;0, G71,E71)*C24)*100,3)</f>
        <v>2.556</v>
      </c>
      <c r="H28" s="39">
        <f>Table132[[#This Row],[New position]]*Table132[[#This Row],[Last_Price]]</f>
        <v>5108620.9124999996</v>
      </c>
      <c r="I28" s="27" t="s">
        <v>97</v>
      </c>
      <c r="J28" s="92" t="s">
        <v>98</v>
      </c>
      <c r="K28" s="92">
        <v>144.81</v>
      </c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1">
        <v>91.24</v>
      </c>
      <c r="D29" s="34">
        <v>98000</v>
      </c>
      <c r="E29" s="34">
        <v>73500</v>
      </c>
      <c r="F29" s="33">
        <f>Table132[[#This Row],[New position]]-Table132[[#This Row],[Old position]]</f>
        <v>-24500</v>
      </c>
      <c r="G29" s="34">
        <f>ROUND(Table132[[#This Row],[Target allocation ($)]]/(IF(G92&gt;0, G71,E71)*C24)*100,3)</f>
        <v>3.355</v>
      </c>
      <c r="H29" s="39">
        <f>Table132[[#This Row],[New position]]*Table132[[#This Row],[Last_Price]]</f>
        <v>6706140</v>
      </c>
      <c r="I29" s="27" t="s">
        <v>97</v>
      </c>
      <c r="J29" s="92" t="s">
        <v>98</v>
      </c>
      <c r="K29" s="92">
        <v>91.6096</v>
      </c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1">
        <v>41.36</v>
      </c>
      <c r="D30" s="34">
        <v>284751</v>
      </c>
      <c r="E30" s="34">
        <v>213563.25</v>
      </c>
      <c r="F30" s="33">
        <f>Table132[[#This Row],[New position]]-Table132[[#This Row],[Old position]]</f>
        <v>-71187.75</v>
      </c>
      <c r="G30" s="34">
        <f>ROUND(Table132[[#This Row],[Target allocation ($)]]/(IF(G92&gt;0, G71,E71)*C24)*100,3)</f>
        <v>4.4189999999999996</v>
      </c>
      <c r="H30" s="39">
        <f>Table132[[#This Row],[New position]]*Table132[[#This Row],[Last_Price]]</f>
        <v>8832976.0199999996</v>
      </c>
      <c r="I30" s="27" t="s">
        <v>97</v>
      </c>
      <c r="J30" s="92" t="s">
        <v>98</v>
      </c>
      <c r="K30" s="92">
        <v>41.54</v>
      </c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1">
        <v>213.4</v>
      </c>
      <c r="D31" s="34">
        <v>80788</v>
      </c>
      <c r="E31" s="34">
        <v>60591</v>
      </c>
      <c r="F31" s="33">
        <f>Table132[[#This Row],[New position]]-Table132[[#This Row],[Old position]]</f>
        <v>-20197</v>
      </c>
      <c r="G31" s="34">
        <f>ROUND(Table132[[#This Row],[Target allocation ($)]]/(IF(G92&gt;0, G71,E71)*C24)*100,3)</f>
        <v>6.4690000000000003</v>
      </c>
      <c r="H31" s="39">
        <f>Table132[[#This Row],[New position]]*Table132[[#This Row],[Last_Price]]</f>
        <v>12930119.4</v>
      </c>
      <c r="I31" s="27" t="s">
        <v>97</v>
      </c>
      <c r="J31" s="92" t="s">
        <v>98</v>
      </c>
      <c r="K31" s="92">
        <v>215.06</v>
      </c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1">
        <v>240.7</v>
      </c>
      <c r="D32" s="34">
        <v>36485</v>
      </c>
      <c r="E32" s="34">
        <v>36485</v>
      </c>
      <c r="F32" s="33">
        <f>Table132[[#This Row],[New position]]-Table132[[#This Row],[Old position]]</f>
        <v>0</v>
      </c>
      <c r="G32" s="34">
        <f>ROUND(Table132[[#This Row],[Target allocation ($)]]/(IF(G92&gt;0, G71,E71)*C24)*100,3)</f>
        <v>4.3929999999999998</v>
      </c>
      <c r="H32" s="39">
        <f>Table132[[#This Row],[New position]]*Table132[[#This Row],[Last_Price]]</f>
        <v>8781939.5</v>
      </c>
      <c r="I32" s="27"/>
      <c r="J32" s="92"/>
      <c r="K32" s="92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1">
        <v>1036.82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($)]]/(IF(G92&gt;0, G71,E71)*C24)*100,3)</f>
        <v>4.8449999999999998</v>
      </c>
      <c r="H33" s="39">
        <f>Table132[[#This Row],[New position]]*Table132[[#This Row],[Last_Price]]</f>
        <v>9683898.7999999989</v>
      </c>
      <c r="I33" s="100"/>
      <c r="J33" s="92"/>
      <c r="K33" s="92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1">
        <v>54.71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($)]]/(IF(G92&gt;0, G71,E71)*C24)*100,3)</f>
        <v>7.3120000000000003</v>
      </c>
      <c r="H34" s="39">
        <f>Table132[[#This Row],[New position]]*Table132[[#This Row],[Last_Price]]</f>
        <v>14615119.98</v>
      </c>
      <c r="I34" s="27"/>
      <c r="J34" s="92"/>
      <c r="K34" s="92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1">
        <v>203.99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($)]]/(IF(G92&gt;0, G71,E71)*C24)*100,3)</f>
        <v>5.9420000000000002</v>
      </c>
      <c r="H35" s="39">
        <f>Table132[[#This Row],[New position]]*Table132[[#This Row],[Last_Price]]</f>
        <v>11877113.76</v>
      </c>
      <c r="I35" s="100"/>
      <c r="J35" s="92"/>
      <c r="K35" s="92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232.73092926491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($)]]/(IF(G92&gt;0, G71,E71)*C24)*100,3)</f>
        <v>0.105</v>
      </c>
      <c r="H36" s="39">
        <f>Table132[[#This Row],[New position]]*Table132[[#This Row],[Last_Price]]</f>
        <v>209457.836338419</v>
      </c>
      <c r="I36" s="51"/>
      <c r="J36" s="92"/>
      <c r="K36" s="93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4.1705963938973696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($)]]/(IF(G92&gt;0, G71,E71)*C24)*100,3)</f>
        <v>4.7E-2</v>
      </c>
      <c r="H37" s="39">
        <f>Table132[[#This Row],[New position]]*Table132[[#This Row],[Last_Price]]</f>
        <v>94255.478502080558</v>
      </c>
      <c r="I37" s="51"/>
      <c r="J37" s="92"/>
      <c r="K37" s="93"/>
      <c r="L37"/>
      <c r="M37"/>
      <c r="N37"/>
      <c r="O37"/>
      <c r="P37"/>
      <c r="Q37"/>
    </row>
    <row r="38" spans="1:17" x14ac:dyDescent="0.25">
      <c r="A38" s="104" t="s">
        <v>93</v>
      </c>
      <c r="B38" s="44" t="s">
        <v>14</v>
      </c>
      <c r="C38" s="105">
        <f>39.69/7.27394</f>
        <v>5.4564651344388322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($)]]/(IF(G92&gt;0, G71,E71)*C24)*100,3)</f>
        <v>9.2999999999999999E-2</v>
      </c>
      <c r="H38" s="39">
        <f>Table132[[#This Row],[New position]]*Table132[[#This Row],[Last_Price]]</f>
        <v>186065.46108436419</v>
      </c>
      <c r="I38" s="27"/>
      <c r="J38" s="92"/>
      <c r="K38" s="93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48.107416879795402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($)]]/(IF(G92&gt;0, G71,E71)*C24)*100,3)</f>
        <v>0.36799999999999999</v>
      </c>
      <c r="H39" s="39">
        <f>Table132[[#This Row],[New position]]*Table132[[#This Row],[Last_Price]]</f>
        <v>736043.47826086963</v>
      </c>
      <c r="I39" s="51"/>
      <c r="J39" s="92"/>
      <c r="K39" s="92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10.006393861892599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($)]]/(IF(G92&gt;0, G71,E71)*C24)*100,3)</f>
        <v>0.11</v>
      </c>
      <c r="H40" s="39">
        <f>Table132[[#This Row],[New position]]*Table132[[#This Row],[Last_Price]]</f>
        <v>220140.66496163717</v>
      </c>
      <c r="I40" s="27"/>
      <c r="J40" s="92"/>
      <c r="K40" s="92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1">
        <v>12.5191815856777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($)]]/(IF(G92&gt;0, G71,E71)*C24)*100,3)</f>
        <v>9.8000000000000004E-2</v>
      </c>
      <c r="H41" s="39">
        <f>Table132[[#This Row],[New position]]*Table132[[#This Row],[Last_Price]]</f>
        <v>195299.23273657213</v>
      </c>
      <c r="I41" s="27"/>
      <c r="J41" s="92"/>
      <c r="K41" s="92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1">
        <v>0.98081841432225103</v>
      </c>
      <c r="D42" s="34">
        <f>2684000+176000</f>
        <v>2860000</v>
      </c>
      <c r="E42" s="34">
        <f>2684000+176000</f>
        <v>2860000</v>
      </c>
      <c r="F42" s="33">
        <f>Table132[[#This Row],[New position]]-Table132[[#This Row],[Old position]]</f>
        <v>0</v>
      </c>
      <c r="G42" s="34">
        <f>ROUND(Table132[[#This Row],[Target allocation ($)]]/(IF(G92&gt;0, G71,E71)*C24)*100,3)</f>
        <v>1.403</v>
      </c>
      <c r="H42" s="39">
        <f>Table132[[#This Row],[New position]]*Table132[[#This Row],[Last_Price]]</f>
        <v>2805140.6649616379</v>
      </c>
      <c r="I42" s="58"/>
      <c r="J42" s="92"/>
      <c r="K42" s="93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1">
        <v>2.51150895140665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($)]]/(IF(G92&gt;0, G71,E71)*C24)*100,3)</f>
        <v>3.2189999999999999</v>
      </c>
      <c r="H43" s="39">
        <f>Table132[[#This Row],[New position]]*Table132[[#This Row],[Last_Price]]</f>
        <v>6434485.9335038373</v>
      </c>
      <c r="I43" s="58"/>
      <c r="J43" s="92"/>
      <c r="K43" s="92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1">
        <v>8.5549872122762096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($)]]/(IF(G92&gt;0, G71,E71)*C24)*100,3)</f>
        <v>2.238</v>
      </c>
      <c r="H44" s="39">
        <f>Table132[[#This Row],[New position]]*Table132[[#This Row],[Last_Price]]</f>
        <v>4474258.3120204573</v>
      </c>
      <c r="I44" s="58"/>
      <c r="J44" s="92"/>
      <c r="K44" s="92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1">
        <v>1.6368286445012801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($)]]/(IF(G92&gt;0, G71,E71)*C24)*100,3)</f>
        <v>0.38400000000000001</v>
      </c>
      <c r="H45" s="39">
        <f>Table132[[#This Row],[New position]]*Table132[[#This Row],[Last_Price]]</f>
        <v>767508.95140665025</v>
      </c>
      <c r="I45" s="58"/>
      <c r="J45" s="92"/>
      <c r="K45" s="92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1">
        <v>11.112531969309501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($)]]/(IF(G92&gt;0, G71,E71)*C24)*100,3)</f>
        <v>0.58299999999999996</v>
      </c>
      <c r="H46" s="39">
        <f>Table132[[#This Row],[New position]]*Table132[[#This Row],[Last_Price]]</f>
        <v>1164593.3503836356</v>
      </c>
      <c r="I46" s="58"/>
      <c r="J46" s="92"/>
      <c r="K46" s="92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1">
        <v>0.48721227621483398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($)]]/(IF(G92&gt;0, G71,E71)*C24)*100,3)</f>
        <v>0.56699999999999995</v>
      </c>
      <c r="H47" s="39">
        <f>Table132[[#This Row],[New position]]*Table132[[#This Row],[Last_Price]]</f>
        <v>1132768.542199489</v>
      </c>
      <c r="I47" s="58"/>
      <c r="J47" s="92"/>
      <c r="K47" s="92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1">
        <v>4.5268542199488504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($)]]/(IF(G92&gt;0, G71,E71)*C24)*100,3)</f>
        <v>5.3999999999999999E-2</v>
      </c>
      <c r="H48" s="39">
        <f>Table132[[#This Row],[New position]]*Table132[[#This Row],[Last_Price]]</f>
        <v>108644.50127877241</v>
      </c>
      <c r="I48" s="58"/>
      <c r="J48" s="92"/>
      <c r="K48" s="92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1">
        <v>2.2352941176470602</v>
      </c>
      <c r="D49" s="34">
        <f>1286000+74000</f>
        <v>1360000</v>
      </c>
      <c r="E49" s="34">
        <f>1286000+74000</f>
        <v>1360000</v>
      </c>
      <c r="F49" s="33">
        <f>Table132[[#This Row],[New position]]-Table132[[#This Row],[Old position]]</f>
        <v>0</v>
      </c>
      <c r="G49" s="34">
        <f>ROUND(Table132[[#This Row],[Target allocation ($)]]/(IF(G92&gt;0, G71,E71)*C24)*100,3)</f>
        <v>1.5209999999999999</v>
      </c>
      <c r="H49" s="39">
        <f>Table132[[#This Row],[New position]]*Table132[[#This Row],[Last_Price]]</f>
        <v>3040000.0000000019</v>
      </c>
      <c r="I49" s="27"/>
      <c r="J49" s="92"/>
      <c r="K49" s="92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1">
        <v>46.55</v>
      </c>
      <c r="D50" s="34">
        <v>143754</v>
      </c>
      <c r="E50" s="20">
        <v>154454</v>
      </c>
      <c r="F50" s="33">
        <f>Table132[[#This Row],[New position]]-Table132[[#This Row],[Old position]]</f>
        <v>10700</v>
      </c>
      <c r="G50" s="34">
        <f>ROUND(Table132[[#This Row],[Target allocation ($)]]/(IF(G92&gt;0, G71,E71)*C24)*100,3)</f>
        <v>3.597</v>
      </c>
      <c r="H50" s="39">
        <f>Table132[[#This Row],[New position]]*Table132[[#This Row],[Last_Price]]</f>
        <v>7189833.6999999993</v>
      </c>
      <c r="I50" s="27" t="s">
        <v>96</v>
      </c>
      <c r="J50" s="92" t="s">
        <v>98</v>
      </c>
      <c r="K50" s="94">
        <v>46.794350000000001</v>
      </c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38.299999999999997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($)]]/(IF(G92&gt;0, G71,E71)*C24)*100,3)</f>
        <v>1.5329999999999999</v>
      </c>
      <c r="H51" s="39">
        <f>Table132[[#This Row],[New position]]*Table132[[#This Row],[Last_Price]]</f>
        <v>3064000</v>
      </c>
      <c r="I51" s="27"/>
      <c r="J51" s="92"/>
      <c r="K51" s="93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1">
        <v>63.88</v>
      </c>
      <c r="D52" s="34">
        <v>168337</v>
      </c>
      <c r="E52" s="33">
        <v>126252.75</v>
      </c>
      <c r="F52" s="33">
        <f>Table132[[#This Row],[New position]]-Table132[[#This Row],[Old position]]</f>
        <v>-42084.25</v>
      </c>
      <c r="G52" s="34">
        <f>ROUND(Table132[[#This Row],[Target allocation ($)]]/(IF(G92&gt;0, G71,E71)*C24)*100,3)</f>
        <v>4.0350000000000001</v>
      </c>
      <c r="H52" s="39">
        <f>Table132[[#This Row],[New position]]*Table132[[#This Row],[Last_Price]]</f>
        <v>8065025.6699999999</v>
      </c>
      <c r="I52" s="27" t="s">
        <v>97</v>
      </c>
      <c r="J52" s="92" t="s">
        <v>98</v>
      </c>
      <c r="K52" s="92">
        <v>64.14</v>
      </c>
      <c r="L5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108.22</v>
      </c>
      <c r="D53" s="34">
        <v>39150</v>
      </c>
      <c r="E53" s="20">
        <v>44650</v>
      </c>
      <c r="F53" s="33">
        <f>Table132[[#This Row],[New position]]-Table132[[#This Row],[Old position]]</f>
        <v>5500</v>
      </c>
      <c r="G53" s="34">
        <f>ROUND(Table132[[#This Row],[Target allocation ($)]]/(IF(G92&gt;0, G71,E71)*C24)*100,3)</f>
        <v>2.4169999999999998</v>
      </c>
      <c r="H53" s="39">
        <f>Table132[[#This Row],[New position]]*Table132[[#This Row],[Last_Price]]</f>
        <v>4832023</v>
      </c>
      <c r="I53" s="27" t="s">
        <v>96</v>
      </c>
      <c r="J53" s="92" t="s">
        <v>98</v>
      </c>
      <c r="K53" s="92">
        <v>109.62472</v>
      </c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454.47</v>
      </c>
      <c r="D54" s="34">
        <v>72911</v>
      </c>
      <c r="E54">
        <v>54683.25</v>
      </c>
      <c r="F54" s="33">
        <f>Table132[[#This Row],[New position]]-Table132[[#This Row],[Old position]]</f>
        <v>-18227.75</v>
      </c>
      <c r="G54" s="34">
        <f>ROUND(Table132[[#This Row],[Target allocation ($)]]/(IF(G92&gt;0, G71,E71)*C24)*100,3)</f>
        <v>12.433</v>
      </c>
      <c r="H54" s="39">
        <f>Table132[[#This Row],[New position]]*Table132[[#This Row],[Last_Price]]</f>
        <v>24851896.627500001</v>
      </c>
      <c r="I54" s="27" t="s">
        <v>97</v>
      </c>
      <c r="J54" s="92" t="s">
        <v>98</v>
      </c>
      <c r="K54" s="92">
        <v>458.2</v>
      </c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55.55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($)]]/(IF(G92&gt;0, G71,E71)*C24)*100,3)</f>
        <v>0.42399999999999999</v>
      </c>
      <c r="H55" s="39">
        <f>Table132[[#This Row],[New position]]*Table132[[#This Row],[Last_Price]]</f>
        <v>848248.5</v>
      </c>
      <c r="I55" s="95"/>
      <c r="J55" s="92"/>
      <c r="K55" s="92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24.63</v>
      </c>
      <c r="D56" s="34">
        <v>22884</v>
      </c>
      <c r="E56" s="20">
        <v>43084</v>
      </c>
      <c r="F56" s="33">
        <f>Table132[[#This Row],[New position]]-Table132[[#This Row],[Old position]]</f>
        <v>20200</v>
      </c>
      <c r="G56" s="34">
        <f>ROUND(Table132[[#This Row],[Target allocation ($)]]/(IF(G92&gt;0, G71,E71)*C24)*100,3)</f>
        <v>0.53100000000000003</v>
      </c>
      <c r="H56" s="39">
        <f>Table132[[#This Row],[New position]]*Table132[[#This Row],[Last_Price]]</f>
        <v>1061158.92</v>
      </c>
      <c r="I56" s="27" t="s">
        <v>96</v>
      </c>
      <c r="J56" s="92" t="s">
        <v>98</v>
      </c>
      <c r="K56" s="92">
        <v>24.737480000000001</v>
      </c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79.400000000000006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($)]]/(IF(G92&gt;0, G71,E71)*C24)*100,3)</f>
        <v>1.4419999999999999</v>
      </c>
      <c r="H57" s="39">
        <f>Table132[[#This Row],[New position]]*Table132[[#This Row],[Last_Price]]</f>
        <v>2883172.8000000003</v>
      </c>
      <c r="I57" s="26"/>
      <c r="J57" s="94"/>
      <c r="K57" s="92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71.75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($)]]/(IF(G92&gt;0, G71,E71)*C24)*100,3)</f>
        <v>1.377</v>
      </c>
      <c r="H58" s="39">
        <f>Table132[[#This Row],[New position]]*Table132[[#This Row],[Last_Price]]</f>
        <v>2751612.5</v>
      </c>
      <c r="I58" s="26"/>
      <c r="J58" s="94"/>
      <c r="K58" s="94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106.69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($)]]/(IF(G92&gt;0, G71,E71)*C24)*100,3)</f>
        <v>1.4259999999999999</v>
      </c>
      <c r="H59" s="39">
        <f>Table132[[#This Row],[New position]]*Table132[[#This Row],[Last_Price]]</f>
        <v>2851290.25</v>
      </c>
      <c r="I59" s="52"/>
      <c r="J59" s="94"/>
      <c r="K59" s="93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36.15</v>
      </c>
      <c r="D60" s="34">
        <v>78324</v>
      </c>
      <c r="E60" s="34">
        <v>58743</v>
      </c>
      <c r="F60" s="33">
        <f>Table132[[#This Row],[New position]]-Table132[[#This Row],[Old position]]</f>
        <v>-19581</v>
      </c>
      <c r="G60" s="34">
        <f>ROUND(Table132[[#This Row],[Target allocation ($)]]/(IF(G92&gt;0, G71,E71)*C24)*100,3)</f>
        <v>1.0620000000000001</v>
      </c>
      <c r="H60" s="39">
        <f>Table132[[#This Row],[New position]]*Table132[[#This Row],[Last_Price]]</f>
        <v>2123559.4499999997</v>
      </c>
      <c r="I60" s="27" t="s">
        <v>97</v>
      </c>
      <c r="J60" s="92" t="s">
        <v>98</v>
      </c>
      <c r="K60" s="92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17.21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($)]]/(IF(G92&gt;0, G71,E71)*C24)*100,3)</f>
        <v>0.99299999999999999</v>
      </c>
      <c r="H61" s="39">
        <f>Table132[[#This Row],[New position]]*Table132[[#This Row],[Last_Price]]</f>
        <v>1984313</v>
      </c>
      <c r="I61" s="52"/>
      <c r="J61" s="92"/>
      <c r="K61" s="92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47.14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($)]]/(IF(G92&gt;0, G71,E71)*C24)*100,3)</f>
        <v>0.496</v>
      </c>
      <c r="H62" s="39">
        <f>Table132[[#This Row],[New position]]*Table132[[#This Row],[Last_Price]]</f>
        <v>990552.82000000007</v>
      </c>
      <c r="I62" s="52"/>
      <c r="J62" s="94"/>
      <c r="K62" s="92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216.45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($)]]/(IF(G92&gt;0, G71,E71)*C24)*100,3)</f>
        <v>4.8170000000000002</v>
      </c>
      <c r="H63" s="39">
        <f>Table132[[#This Row],[New position]]*Table132[[#This Row],[Last_Price]]</f>
        <v>9627912.4499999993</v>
      </c>
      <c r="I63" s="60"/>
      <c r="J63" s="92"/>
      <c r="K63" s="94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23.35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($)]]/(IF(G92&gt;0, G71,E71)*C24)*100,3)</f>
        <v>0.505</v>
      </c>
      <c r="H64" s="39">
        <f>Table132[[#This Row],[New position]]*Table132[[#This Row],[Last_Price]]</f>
        <v>1008720.0000000001</v>
      </c>
      <c r="I64" s="103"/>
      <c r="J64" s="92"/>
      <c r="K64" s="92"/>
      <c r="L64"/>
      <c r="M64"/>
      <c r="N64"/>
      <c r="O64"/>
      <c r="P64"/>
      <c r="Q64"/>
    </row>
    <row r="65" spans="1:17" ht="45" x14ac:dyDescent="0.25">
      <c r="A65" s="44" t="s">
        <v>99</v>
      </c>
      <c r="B65" s="44" t="s">
        <v>100</v>
      </c>
      <c r="C65" s="46">
        <v>0</v>
      </c>
      <c r="D65" s="34">
        <v>-28</v>
      </c>
      <c r="E65" s="34">
        <v>-28</v>
      </c>
      <c r="F65" s="33">
        <f>Table132[[#This Row],[New position]]-Table132[[#This Row],[Old position]]</f>
        <v>0</v>
      </c>
      <c r="G65" s="34"/>
      <c r="H65" s="39"/>
      <c r="I65" s="26" t="s">
        <v>105</v>
      </c>
      <c r="J65" s="106"/>
      <c r="K65" s="106"/>
      <c r="L65"/>
      <c r="M65"/>
      <c r="N65"/>
      <c r="O65"/>
      <c r="P65"/>
      <c r="Q65"/>
    </row>
    <row r="66" spans="1:17" ht="45" x14ac:dyDescent="0.25">
      <c r="A66" s="44" t="s">
        <v>101</v>
      </c>
      <c r="B66" s="44" t="s">
        <v>100</v>
      </c>
      <c r="C66" s="46">
        <v>0</v>
      </c>
      <c r="D66" s="34">
        <v>0</v>
      </c>
      <c r="E66" s="34">
        <v>-18</v>
      </c>
      <c r="F66" s="33">
        <f>Table132[[#This Row],[New position]]-Table132[[#This Row],[Old position]]</f>
        <v>-18</v>
      </c>
      <c r="G66" s="34"/>
      <c r="H66" s="39"/>
      <c r="I66" s="26" t="s">
        <v>104</v>
      </c>
      <c r="J66" s="92" t="s">
        <v>98</v>
      </c>
      <c r="K66" s="106">
        <v>12.3</v>
      </c>
      <c r="L66"/>
      <c r="M66"/>
      <c r="N66"/>
      <c r="O66"/>
      <c r="P66"/>
      <c r="Q66"/>
    </row>
    <row r="67" spans="1:17" ht="45" x14ac:dyDescent="0.25">
      <c r="A67" s="44" t="s">
        <v>102</v>
      </c>
      <c r="B67" s="44" t="s">
        <v>100</v>
      </c>
      <c r="C67" s="46">
        <v>0</v>
      </c>
      <c r="D67" s="34">
        <v>0</v>
      </c>
      <c r="E67" s="34">
        <v>-5</v>
      </c>
      <c r="F67" s="33">
        <f>Table132[[#This Row],[New position]]-Table132[[#This Row],[Old position]]</f>
        <v>-5</v>
      </c>
      <c r="G67" s="34"/>
      <c r="H67" s="39"/>
      <c r="I67" s="26" t="s">
        <v>104</v>
      </c>
      <c r="J67" s="92" t="s">
        <v>98</v>
      </c>
      <c r="K67" s="106">
        <v>14</v>
      </c>
      <c r="L67"/>
      <c r="M67"/>
      <c r="N67"/>
      <c r="O67"/>
      <c r="P67"/>
      <c r="Q67"/>
    </row>
    <row r="68" spans="1:17" ht="45" x14ac:dyDescent="0.25">
      <c r="A68" s="44" t="s">
        <v>103</v>
      </c>
      <c r="B68" s="44" t="s">
        <v>100</v>
      </c>
      <c r="C68" s="46">
        <v>0</v>
      </c>
      <c r="D68" s="34">
        <v>0</v>
      </c>
      <c r="E68" s="34">
        <v>-5</v>
      </c>
      <c r="F68" s="33">
        <f>Table132[[#This Row],[New position]]-Table132[[#This Row],[Old position]]</f>
        <v>-5</v>
      </c>
      <c r="G68" s="34"/>
      <c r="H68" s="39"/>
      <c r="I68" s="26" t="s">
        <v>104</v>
      </c>
      <c r="J68" s="92" t="s">
        <v>98</v>
      </c>
      <c r="K68" s="106">
        <v>12.56</v>
      </c>
      <c r="L68"/>
      <c r="M68"/>
      <c r="N68"/>
      <c r="O68"/>
      <c r="P68"/>
      <c r="Q68"/>
    </row>
    <row r="69" spans="1:17" x14ac:dyDescent="0.25">
      <c r="A69" s="44"/>
      <c r="B69" s="44"/>
      <c r="C69" s="46"/>
      <c r="D69" s="34"/>
      <c r="E69" s="34"/>
      <c r="F69" s="31"/>
      <c r="G69" s="34"/>
      <c r="H69" s="46"/>
      <c r="I69" s="48"/>
      <c r="J69" s="66"/>
      <c r="K69" s="80"/>
      <c r="L69"/>
      <c r="M69"/>
      <c r="N69"/>
      <c r="O69"/>
      <c r="P69"/>
      <c r="Q69"/>
    </row>
    <row r="70" spans="1:17" x14ac:dyDescent="0.25">
      <c r="A70" s="44"/>
      <c r="B70" s="44"/>
      <c r="C70" s="45"/>
      <c r="D70" s="35"/>
      <c r="E70" s="53" t="s">
        <v>39</v>
      </c>
      <c r="F70" s="31"/>
      <c r="G70" s="54" t="s">
        <v>40</v>
      </c>
      <c r="H70" s="46"/>
      <c r="I70" s="48"/>
      <c r="J70" s="66"/>
      <c r="K70" s="80"/>
      <c r="L70"/>
      <c r="M70"/>
      <c r="N70"/>
      <c r="O70"/>
      <c r="P70"/>
      <c r="Q70"/>
    </row>
    <row r="71" spans="1:17" ht="30" x14ac:dyDescent="0.25">
      <c r="A71" s="44" t="s">
        <v>29</v>
      </c>
      <c r="B71" s="44"/>
      <c r="C71" s="45"/>
      <c r="D71" s="35"/>
      <c r="E71" s="34">
        <f xml:space="preserve"> IF(G92&gt;0, (C25+ABS(G92*G71))/C21, C25/C21)</f>
        <v>3.6206949999999996</v>
      </c>
      <c r="F71" s="31"/>
      <c r="G71" s="34">
        <v>3.620695</v>
      </c>
      <c r="H71" s="46"/>
      <c r="I71" s="48"/>
      <c r="J71" s="96" t="s">
        <v>68</v>
      </c>
      <c r="K71" s="79" t="s">
        <v>69</v>
      </c>
      <c r="L71"/>
      <c r="M71"/>
      <c r="N71"/>
      <c r="O71"/>
      <c r="P71"/>
      <c r="Q71"/>
    </row>
    <row r="72" spans="1:17" ht="15" customHeight="1" x14ac:dyDescent="0.25">
      <c r="A72" s="34" t="s">
        <v>33</v>
      </c>
      <c r="B72" s="34"/>
      <c r="C72" s="34"/>
      <c r="D72" s="47" t="str">
        <f>Table132[[#This Row],[Symbol]]</f>
        <v>SingleStocks</v>
      </c>
      <c r="E72" s="34">
        <f>ROUND(SUM(0)/100, 3)</f>
        <v>0</v>
      </c>
      <c r="F72" s="47" t="str">
        <f>Table132[[#This Row],[Symbol]]</f>
        <v>SingleStocks</v>
      </c>
      <c r="G72" s="34">
        <f>SUM(0)/(G71*C24)</f>
        <v>0</v>
      </c>
      <c r="H72" s="34"/>
      <c r="I72" s="91"/>
      <c r="J72" s="65" t="s">
        <v>70</v>
      </c>
      <c r="K72" s="99">
        <f>1-SUM(K73:K74)</f>
        <v>0.67133682621684976</v>
      </c>
      <c r="L72"/>
      <c r="M72"/>
      <c r="N72"/>
      <c r="O72"/>
      <c r="P72"/>
      <c r="Q72"/>
    </row>
    <row r="73" spans="1:17" ht="15" customHeight="1" x14ac:dyDescent="0.25">
      <c r="A73" s="44" t="s">
        <v>52</v>
      </c>
      <c r="B73" s="44"/>
      <c r="C73" s="45"/>
      <c r="D73" s="47" t="str">
        <f>Table132[[#This Row],[Symbol]]</f>
        <v>Healthcare</v>
      </c>
      <c r="E73" s="34">
        <f>ROUND(SUM(G28:G28)/100, 3)</f>
        <v>2.5999999999999999E-2</v>
      </c>
      <c r="F73" s="47" t="str">
        <f>Table132[[#This Row],[Symbol]]</f>
        <v>Healthcare</v>
      </c>
      <c r="G73" s="34">
        <f>SUM(H28:H28)/(G71*C24)</f>
        <v>2.5557434496644767E-2</v>
      </c>
      <c r="H73" s="46"/>
      <c r="I73" s="91"/>
      <c r="J73" s="65" t="s">
        <v>71</v>
      </c>
      <c r="K73" s="97">
        <f>SUM(H36:H53)/C25</f>
        <v>0.25665794922365237</v>
      </c>
      <c r="L73"/>
      <c r="M73"/>
      <c r="N73"/>
      <c r="O73"/>
      <c r="P73"/>
      <c r="Q73"/>
    </row>
    <row r="74" spans="1:17" ht="15" customHeight="1" x14ac:dyDescent="0.25">
      <c r="A74" s="44" t="s">
        <v>88</v>
      </c>
      <c r="B74" s="44"/>
      <c r="C74" s="45"/>
      <c r="D74" s="47" t="str">
        <f>Table132[[#This Row],[Symbol]]</f>
        <v>Energy</v>
      </c>
      <c r="E74" s="34">
        <f>ROUND(SUM(G29:G29)/100, 3)</f>
        <v>3.4000000000000002E-2</v>
      </c>
      <c r="F74" s="47" t="str">
        <f>Table132[[#This Row],[Symbol]]</f>
        <v>Energy</v>
      </c>
      <c r="G74" s="34">
        <f>SUM(H29:H29)/(G71*C24)</f>
        <v>3.3549511054139967E-2</v>
      </c>
      <c r="H74" s="46"/>
      <c r="I74" s="102"/>
      <c r="J74" s="65" t="s">
        <v>72</v>
      </c>
      <c r="K74" s="98">
        <f>(H63+H64+H55+H56)/C25</f>
        <v>7.2005224559497941E-2</v>
      </c>
      <c r="L74"/>
      <c r="M74"/>
      <c r="N74"/>
      <c r="O74"/>
      <c r="P74"/>
      <c r="Q74"/>
    </row>
    <row r="75" spans="1:17" ht="15" customHeight="1" x14ac:dyDescent="0.25">
      <c r="A75" s="44" t="s">
        <v>82</v>
      </c>
      <c r="B75" s="44"/>
      <c r="C75" s="45"/>
      <c r="D75" s="47" t="str">
        <f>Table132[[#This Row],[Symbol]]</f>
        <v>Financials</v>
      </c>
      <c r="E75" s="34">
        <f>ROUND(SUM(G30:G30)/100, 3)</f>
        <v>4.3999999999999997E-2</v>
      </c>
      <c r="F75" s="47" t="str">
        <f>Table132[[#This Row],[Symbol]]</f>
        <v>Financials</v>
      </c>
      <c r="G75" s="50">
        <f>SUM(H30:H30)/(G71*C24)</f>
        <v>4.4189657034291445E-2</v>
      </c>
      <c r="H75" s="46"/>
      <c r="I75" s="91"/>
      <c r="J75" s="65"/>
      <c r="K75" s="97"/>
      <c r="L75"/>
      <c r="M75"/>
      <c r="N75"/>
      <c r="O75"/>
      <c r="P75"/>
      <c r="Q75"/>
    </row>
    <row r="76" spans="1:17" ht="15" customHeight="1" x14ac:dyDescent="0.25">
      <c r="A76" s="44" t="s">
        <v>83</v>
      </c>
      <c r="B76" s="44"/>
      <c r="C76" s="45"/>
      <c r="D76" s="47" t="str">
        <f>Table132[[#This Row],[Symbol]]</f>
        <v>Techs</v>
      </c>
      <c r="E76" s="50">
        <f>ROUND(SUM(G31:G31)/100, 3)</f>
        <v>6.5000000000000002E-2</v>
      </c>
      <c r="F76" s="47" t="str">
        <f>Table132[[#This Row],[Symbol]]</f>
        <v>Techs</v>
      </c>
      <c r="G76" s="34">
        <f>SUM(H31:H31)/(G71*C24)</f>
        <v>6.4686866623966943E-2</v>
      </c>
      <c r="H76" s="46"/>
      <c r="I76" s="101"/>
      <c r="K76" s="81"/>
      <c r="L76"/>
      <c r="M76"/>
      <c r="N76"/>
      <c r="O76"/>
      <c r="P76"/>
      <c r="Q76"/>
    </row>
    <row r="77" spans="1:17" ht="15" customHeight="1" x14ac:dyDescent="0.25">
      <c r="A77" s="44" t="s">
        <v>48</v>
      </c>
      <c r="B77" s="44"/>
      <c r="C77" s="45"/>
      <c r="D77" s="47" t="str">
        <f>Table132[[#This Row],[Symbol]]</f>
        <v>Semiconductor</v>
      </c>
      <c r="E77" s="34">
        <f>ROUND(SUM(G32:G33)/100, 3)</f>
        <v>9.1999999999999998E-2</v>
      </c>
      <c r="F77" s="47" t="str">
        <f>Table132[[#This Row],[Symbol]]</f>
        <v>Semiconductor</v>
      </c>
      <c r="G77" s="50">
        <f>SUM(H32:H33)/(G71*C24)</f>
        <v>9.2380989089075244E-2</v>
      </c>
      <c r="H77" s="46"/>
      <c r="I77" s="91"/>
      <c r="J77" s="67"/>
      <c r="K77" s="81"/>
      <c r="L77"/>
      <c r="M77"/>
      <c r="N77"/>
      <c r="O77"/>
      <c r="P77"/>
      <c r="Q77"/>
    </row>
    <row r="78" spans="1:17" ht="15.75" customHeight="1" x14ac:dyDescent="0.25">
      <c r="A78" s="44" t="s">
        <v>86</v>
      </c>
      <c r="B78" s="44"/>
      <c r="C78" s="45"/>
      <c r="D78" s="47" t="str">
        <f>Table132[[#This Row],[Symbol]]</f>
        <v>Russell</v>
      </c>
      <c r="E78" s="50">
        <f>ROUND(SUM(G34:G35)/100, 3)</f>
        <v>0.13300000000000001</v>
      </c>
      <c r="F78" s="47" t="str">
        <f>Table132[[#This Row],[Symbol]]</f>
        <v>Russell</v>
      </c>
      <c r="G78" s="50">
        <f>SUM(H34:H35)/(G71*C24)</f>
        <v>0.1325354807249759</v>
      </c>
      <c r="H78" s="46"/>
      <c r="I78" s="91"/>
      <c r="J78" s="67"/>
      <c r="K78" s="81"/>
      <c r="L78"/>
      <c r="M78"/>
      <c r="N78"/>
      <c r="O78"/>
      <c r="P78"/>
      <c r="Q78"/>
    </row>
    <row r="79" spans="1:17" ht="15.75" customHeight="1" x14ac:dyDescent="0.25">
      <c r="A79" s="44" t="s">
        <v>43</v>
      </c>
      <c r="B79" s="44"/>
      <c r="C79" s="45"/>
      <c r="D79" s="47" t="str">
        <f>Table132[[#This Row],[Symbol]]</f>
        <v>S&amp;P</v>
      </c>
      <c r="E79" s="34">
        <f>ROUND(0/100, 3)</f>
        <v>0</v>
      </c>
      <c r="F79" s="47" t="str">
        <f>Table132[[#This Row],[Symbol]]</f>
        <v>S&amp;P</v>
      </c>
      <c r="G79" s="34">
        <f>SUM(0)/(G71*C24)</f>
        <v>0</v>
      </c>
      <c r="H79" s="46"/>
      <c r="I79" s="91"/>
      <c r="J79" s="67"/>
      <c r="K79" s="81"/>
      <c r="L79"/>
      <c r="M79"/>
      <c r="N79"/>
      <c r="O79"/>
      <c r="P79"/>
      <c r="Q79"/>
    </row>
    <row r="80" spans="1:17" ht="15.75" customHeight="1" x14ac:dyDescent="0.25">
      <c r="A80" s="44" t="s">
        <v>44</v>
      </c>
      <c r="B80" s="44"/>
      <c r="C80" s="45"/>
      <c r="D80" s="47" t="str">
        <f>Table132[[#This Row],[Symbol]]</f>
        <v>Dow Jones</v>
      </c>
      <c r="E80" s="34">
        <f>ROUND(0/100, 3)</f>
        <v>0</v>
      </c>
      <c r="F80" s="47" t="str">
        <f>Table132[[#This Row],[Symbol]]</f>
        <v>Dow Jones</v>
      </c>
      <c r="G80" s="50">
        <f>SUM(0)/(G71*C24)</f>
        <v>0</v>
      </c>
      <c r="H80" s="46"/>
      <c r="I80" s="51"/>
      <c r="J80" s="67"/>
      <c r="K80" s="81"/>
      <c r="L80"/>
      <c r="M80"/>
      <c r="N80"/>
      <c r="O80"/>
      <c r="P80"/>
      <c r="Q80"/>
    </row>
    <row r="81" spans="1:17" ht="14.25" customHeight="1" x14ac:dyDescent="0.25">
      <c r="A81" s="44" t="s">
        <v>47</v>
      </c>
      <c r="B81" s="44"/>
      <c r="C81" s="45"/>
      <c r="D81" s="47" t="str">
        <f>Table132[[#This Row],[Symbol]]</f>
        <v>Int Stocks</v>
      </c>
      <c r="E81" s="34">
        <f>ROUND(SUM(G36:G52)/100, 3)</f>
        <v>0.2</v>
      </c>
      <c r="F81" s="47" t="str">
        <f>Table132[[#This Row],[Symbol]]</f>
        <v>Int Stocks</v>
      </c>
      <c r="G81" s="34">
        <f>SUM(H36:H52)/(G71*C24)</f>
        <v>0.19954949535815369</v>
      </c>
      <c r="H81" s="46"/>
      <c r="I81" s="46"/>
      <c r="J81" s="69"/>
      <c r="K81" s="83"/>
      <c r="L81"/>
      <c r="M81"/>
      <c r="N81"/>
      <c r="O81"/>
      <c r="P81"/>
      <c r="Q81"/>
    </row>
    <row r="82" spans="1:17" ht="14.25" customHeight="1" x14ac:dyDescent="0.25">
      <c r="A82" s="44" t="s">
        <v>58</v>
      </c>
      <c r="B82" s="44"/>
      <c r="C82" s="45"/>
      <c r="D82" s="47" t="str">
        <f>Table132[[#This Row],[Symbol]]</f>
        <v>JP Stocks</v>
      </c>
      <c r="E82" s="34">
        <f>ROUND(SUM(G53:G53)/100, 3)</f>
        <v>2.4E-2</v>
      </c>
      <c r="F82" s="47" t="str">
        <f>Table132[[#This Row],[Symbol]]</f>
        <v>JP Stocks</v>
      </c>
      <c r="G82" s="34">
        <f>SUM(H53:H53)/(G71*C24)</f>
        <v>2.4173669063329808E-2</v>
      </c>
      <c r="H82" s="46"/>
      <c r="I82" s="61"/>
      <c r="J82" s="65"/>
      <c r="K82" s="79"/>
      <c r="L82"/>
      <c r="M82"/>
      <c r="N82"/>
      <c r="O82"/>
      <c r="P82"/>
      <c r="Q82"/>
    </row>
    <row r="83" spans="1:17" ht="15.75" customHeight="1" x14ac:dyDescent="0.25">
      <c r="A83" s="44" t="s">
        <v>66</v>
      </c>
      <c r="B83" s="44"/>
      <c r="C83" s="45"/>
      <c r="D83" s="47" t="str">
        <f>Table132[[#This Row],[Symbol]]</f>
        <v>Nasdaq</v>
      </c>
      <c r="E83" s="50">
        <f>ROUND(SUM(G54)/100, 3)</f>
        <v>0.124</v>
      </c>
      <c r="F83" s="47" t="str">
        <f>Table132[[#This Row],[Symbol]]</f>
        <v>Nasdaq</v>
      </c>
      <c r="G83" s="34">
        <f>SUM(H54)/(G71*C24)</f>
        <v>0.12432919393580436</v>
      </c>
      <c r="H83" s="46"/>
      <c r="I83" s="27"/>
      <c r="J83" s="65"/>
      <c r="K83" s="79"/>
      <c r="L83"/>
      <c r="M83"/>
      <c r="N83"/>
      <c r="O83"/>
      <c r="P83"/>
      <c r="Q83"/>
    </row>
    <row r="84" spans="1:17" ht="15.75" customHeight="1" x14ac:dyDescent="0.25">
      <c r="A84" s="57" t="s">
        <v>49</v>
      </c>
      <c r="B84" s="44"/>
      <c r="C84" s="45"/>
      <c r="D84" s="47" t="str">
        <f>Table132[[#This Row],[Symbol]]</f>
        <v>Regional Bank</v>
      </c>
      <c r="E84" s="50">
        <f>ROUND(SUM(0)/100, 3)</f>
        <v>0</v>
      </c>
      <c r="F84" s="47" t="str">
        <f>Table132[[#This Row],[Symbol]]</f>
        <v>Regional Bank</v>
      </c>
      <c r="G84" s="50">
        <f>SUM(0)/(G71*C24)</f>
        <v>0</v>
      </c>
      <c r="H84" s="46"/>
      <c r="I84" s="27"/>
      <c r="J84" s="68"/>
      <c r="K84" s="82"/>
      <c r="L84"/>
      <c r="M84"/>
      <c r="N84"/>
      <c r="O84"/>
      <c r="P84"/>
      <c r="Q84"/>
    </row>
    <row r="85" spans="1:17" ht="15.75" customHeight="1" x14ac:dyDescent="0.25">
      <c r="A85" s="44" t="s">
        <v>50</v>
      </c>
      <c r="B85" s="44"/>
      <c r="C85" s="45"/>
      <c r="D85" s="47" t="str">
        <f>Table132[[#This Row],[Symbol]]</f>
        <v>Short</v>
      </c>
      <c r="E85" s="34">
        <f>ROUND(SUM(0)/100, 3)</f>
        <v>0</v>
      </c>
      <c r="F85" s="47" t="str">
        <f>Table132[[#This Row],[Symbol]]</f>
        <v>Short</v>
      </c>
      <c r="G85" s="34">
        <f>SUM(0)/(G71*C24)</f>
        <v>0</v>
      </c>
      <c r="H85" s="46"/>
      <c r="I85" s="58"/>
      <c r="J85" s="65"/>
      <c r="K85" s="79"/>
      <c r="L85"/>
      <c r="M85"/>
      <c r="N85"/>
      <c r="O85"/>
      <c r="P85"/>
      <c r="Q85"/>
    </row>
    <row r="86" spans="1:17" ht="14.25" customHeight="1" x14ac:dyDescent="0.25">
      <c r="A86" s="34" t="s">
        <v>26</v>
      </c>
      <c r="B86" s="44"/>
      <c r="C86" s="45"/>
      <c r="D86" s="47" t="str">
        <f>Table132[[#This Row],[Symbol]]</f>
        <v>Bonds</v>
      </c>
      <c r="E86" s="34">
        <f>ROUND((SUM(G57:G62))/100, 3)</f>
        <v>6.8000000000000005E-2</v>
      </c>
      <c r="F86" s="47" t="str">
        <f>Table132[[#This Row],[Symbol]]</f>
        <v>Bonds</v>
      </c>
      <c r="G86" s="34">
        <f>(SUM(H57:H62))/(G71*C24)</f>
        <v>6.7960609296191771E-2</v>
      </c>
      <c r="H86" s="46"/>
      <c r="I86" s="27"/>
      <c r="J86" s="70"/>
      <c r="K86" s="84"/>
      <c r="L86"/>
      <c r="M86"/>
      <c r="N86"/>
      <c r="O86"/>
      <c r="P86"/>
      <c r="Q86"/>
    </row>
    <row r="87" spans="1:17" ht="14.25" customHeight="1" x14ac:dyDescent="0.25">
      <c r="A87" s="44" t="s">
        <v>54</v>
      </c>
      <c r="B87" s="44"/>
      <c r="C87" s="45"/>
      <c r="D87" s="47" t="str">
        <f>Table132[[#This Row],[Symbol]]</f>
        <v>Core</v>
      </c>
      <c r="E87" s="34">
        <f>ROUND((SUM(0))/100, 3)</f>
        <v>0</v>
      </c>
      <c r="F87" s="47" t="str">
        <f>Table132[[#This Row],[Symbol]]</f>
        <v>Core</v>
      </c>
      <c r="G87" s="34">
        <f>(SUM(0))/(G71*C24)</f>
        <v>0</v>
      </c>
      <c r="H87" s="46"/>
      <c r="I87" s="59"/>
      <c r="J87" s="71"/>
      <c r="K87" s="78"/>
      <c r="L87"/>
      <c r="M87"/>
      <c r="N87"/>
      <c r="O87"/>
      <c r="P87"/>
      <c r="Q87"/>
    </row>
    <row r="88" spans="1:17" ht="14.25" customHeight="1" x14ac:dyDescent="0.25">
      <c r="A88" s="44" t="s">
        <v>35</v>
      </c>
      <c r="B88" s="34"/>
      <c r="C88" s="34"/>
      <c r="D88" s="47" t="str">
        <f>Table132[[#This Row],[Symbol]]</f>
        <v>Gold</v>
      </c>
      <c r="E88" s="34">
        <f>ROUND(SUM(G63:G64)/100,3)</f>
        <v>5.2999999999999999E-2</v>
      </c>
      <c r="F88" s="47" t="str">
        <f>Table132[[#This Row],[Symbol]]</f>
        <v>Gold</v>
      </c>
      <c r="G88" s="34">
        <f>SUM(H63:H64)/(G71*C24)</f>
        <v>5.3212998529720355E-2</v>
      </c>
      <c r="H88" s="34"/>
      <c r="I88" s="28"/>
      <c r="J88" s="72"/>
      <c r="K88" s="85"/>
      <c r="L88"/>
      <c r="M88"/>
      <c r="N88"/>
      <c r="O88"/>
      <c r="P88"/>
      <c r="Q88"/>
    </row>
    <row r="89" spans="1:17" ht="15" customHeight="1" x14ac:dyDescent="0.25">
      <c r="A89" s="34" t="s">
        <v>27</v>
      </c>
      <c r="B89" s="34"/>
      <c r="C89" s="34"/>
      <c r="D89" s="47" t="str">
        <f>Table132[[#This Row],[Symbol]]</f>
        <v>Commodities</v>
      </c>
      <c r="E89" s="34">
        <f>ROUND(SUM(G55:G56)/100,3)</f>
        <v>0.01</v>
      </c>
      <c r="F89" s="47" t="str">
        <f>Table132[[#This Row],[Symbol]]</f>
        <v>Commodities</v>
      </c>
      <c r="G89" s="50">
        <f>SUM(H55:H56)/(G71*C24)</f>
        <v>9.5523930821824286E-3</v>
      </c>
      <c r="H89" s="34"/>
      <c r="I89" s="29"/>
      <c r="J89" s="73"/>
      <c r="K89" s="86"/>
      <c r="L89"/>
      <c r="M89"/>
      <c r="N89"/>
      <c r="O89"/>
      <c r="P89"/>
      <c r="Q89"/>
    </row>
    <row r="90" spans="1:17" ht="14.25" customHeight="1" x14ac:dyDescent="0.25">
      <c r="A90" s="44" t="s">
        <v>34</v>
      </c>
      <c r="B90" s="44"/>
      <c r="C90" s="45"/>
      <c r="D90" s="47" t="str">
        <f>Table132[[#This Row],[Symbol]]</f>
        <v>Crypto</v>
      </c>
      <c r="E90" s="50">
        <f>ROUND(SUM(0)/100,3)</f>
        <v>0</v>
      </c>
      <c r="F90" s="47" t="str">
        <f>Table132[[#This Row],[Symbol]]</f>
        <v>Crypto</v>
      </c>
      <c r="G90" s="34">
        <f>SUM(0)/(G71*C24)</f>
        <v>0</v>
      </c>
      <c r="H90" s="46"/>
      <c r="I90" s="49"/>
      <c r="J90" s="65"/>
      <c r="K90" s="79"/>
      <c r="L90"/>
      <c r="M90"/>
      <c r="N90"/>
      <c r="O90"/>
      <c r="P90"/>
      <c r="Q90"/>
    </row>
    <row r="91" spans="1:17" ht="14.25" customHeight="1" x14ac:dyDescent="0.25">
      <c r="A91" s="34" t="s">
        <v>23</v>
      </c>
      <c r="B91" s="34"/>
      <c r="C91" s="34"/>
      <c r="D91" s="47" t="str">
        <f>Table132[[#This Row],[Symbol]]</f>
        <v>Cash</v>
      </c>
      <c r="E91" s="34">
        <f>1-SUM(E72:E90)</f>
        <v>0.12699999999999989</v>
      </c>
      <c r="F91" s="47" t="str">
        <f>Table132[[#This Row],[Symbol]]</f>
        <v>Cash</v>
      </c>
      <c r="G91" s="50">
        <f>1-SUM(G72:G90)</f>
        <v>0.12832170171152324</v>
      </c>
      <c r="H91" s="34"/>
      <c r="I91" s="27"/>
      <c r="J91" s="74"/>
      <c r="K91" s="87"/>
      <c r="L91"/>
      <c r="M91"/>
      <c r="N91"/>
      <c r="O91"/>
      <c r="P91"/>
      <c r="Q91"/>
    </row>
    <row r="92" spans="1:17" x14ac:dyDescent="0.25">
      <c r="A92" s="25" t="s">
        <v>28</v>
      </c>
      <c r="B92" s="25"/>
      <c r="C92" s="32"/>
      <c r="D92" s="31"/>
      <c r="E92" s="39">
        <f>C24*E91</f>
        <v>7011294.3339999942</v>
      </c>
      <c r="F92" s="31"/>
      <c r="G92" s="39">
        <f>C24*G91</f>
        <v>7084261.5758995358</v>
      </c>
      <c r="H92" s="39"/>
      <c r="I92" s="30"/>
      <c r="J92" s="65"/>
      <c r="K92" s="79"/>
      <c r="L92"/>
      <c r="M92"/>
      <c r="N92"/>
      <c r="O92"/>
      <c r="P92"/>
      <c r="Q92"/>
    </row>
    <row r="93" spans="1:17" x14ac:dyDescent="0.25">
      <c r="A93" s="25"/>
      <c r="B93" s="25"/>
      <c r="C93" s="32"/>
      <c r="D93" s="25"/>
      <c r="E93" s="25"/>
      <c r="F93" s="25"/>
      <c r="G93" s="34"/>
      <c r="H93" s="39"/>
      <c r="I93" s="27"/>
      <c r="J93" s="65"/>
      <c r="K93" s="79"/>
      <c r="L93"/>
      <c r="M93"/>
      <c r="N93"/>
      <c r="O93"/>
      <c r="P93"/>
      <c r="Q93"/>
    </row>
    <row r="94" spans="1:17" x14ac:dyDescent="0.25">
      <c r="A94" s="25"/>
      <c r="B94" s="25"/>
      <c r="C94" s="32"/>
      <c r="D94" s="25"/>
      <c r="E94" s="25"/>
      <c r="F94" s="31"/>
      <c r="G94" s="34"/>
      <c r="H94" s="39"/>
      <c r="I94" s="27"/>
      <c r="J94" s="65"/>
      <c r="K94" s="79"/>
      <c r="L94"/>
      <c r="M94"/>
      <c r="N94"/>
      <c r="O94"/>
      <c r="P94"/>
      <c r="Q94"/>
    </row>
    <row r="95" spans="1:17" x14ac:dyDescent="0.25">
      <c r="A95" s="25"/>
      <c r="B95" s="25"/>
      <c r="C95" s="32"/>
      <c r="D95" s="25"/>
      <c r="E95" s="25"/>
      <c r="F95" s="31"/>
      <c r="G95" s="34"/>
      <c r="H95" s="39"/>
      <c r="I95" s="27"/>
      <c r="J95" s="75"/>
      <c r="K95" s="88"/>
      <c r="L95"/>
      <c r="M95"/>
      <c r="N95"/>
      <c r="O95"/>
      <c r="P95"/>
      <c r="Q95"/>
    </row>
    <row r="96" spans="1:17" x14ac:dyDescent="0.25">
      <c r="A96" s="20"/>
      <c r="B96" s="5" t="s">
        <v>21</v>
      </c>
      <c r="D96" s="1"/>
      <c r="E96" s="5" t="s">
        <v>20</v>
      </c>
      <c r="F96" s="1"/>
      <c r="G96" s="5"/>
      <c r="H96" s="40" t="s">
        <v>2</v>
      </c>
      <c r="I96" s="4"/>
      <c r="L96"/>
      <c r="M96"/>
      <c r="N96"/>
      <c r="O96"/>
      <c r="P96"/>
      <c r="Q96"/>
    </row>
    <row r="97" spans="2:17" x14ac:dyDescent="0.25">
      <c r="B97" s="5" t="s">
        <v>95</v>
      </c>
      <c r="D97" s="1"/>
      <c r="E97" s="5" t="s">
        <v>95</v>
      </c>
      <c r="F97" s="1"/>
      <c r="G97" s="5"/>
      <c r="H97" s="40" t="s">
        <v>3</v>
      </c>
      <c r="L97"/>
      <c r="M97"/>
      <c r="N97"/>
      <c r="O97"/>
      <c r="P97"/>
      <c r="Q97"/>
    </row>
    <row r="98" spans="2:17" x14ac:dyDescent="0.25">
      <c r="B98" s="3"/>
      <c r="C98"/>
      <c r="D98" s="1"/>
      <c r="E98" s="3"/>
      <c r="F98" s="19"/>
      <c r="G98" s="3"/>
      <c r="H98" s="41"/>
      <c r="L98"/>
      <c r="M98"/>
      <c r="N98"/>
      <c r="O98"/>
      <c r="P98"/>
      <c r="Q98"/>
    </row>
    <row r="99" spans="2:17" x14ac:dyDescent="0.25">
      <c r="C99"/>
      <c r="L99"/>
      <c r="M99"/>
      <c r="N99"/>
      <c r="O99"/>
      <c r="P99"/>
      <c r="Q99"/>
    </row>
    <row r="100" spans="2:17" x14ac:dyDescent="0.25">
      <c r="L100"/>
      <c r="M100"/>
      <c r="N100"/>
      <c r="O100"/>
      <c r="P100"/>
      <c r="Q100"/>
    </row>
    <row r="101" spans="2:17" x14ac:dyDescent="0.25">
      <c r="L101"/>
      <c r="M101"/>
      <c r="N101"/>
      <c r="O101"/>
      <c r="P101"/>
      <c r="Q101"/>
    </row>
    <row r="102" spans="2:17" x14ac:dyDescent="0.25">
      <c r="L102"/>
      <c r="M102"/>
      <c r="N102"/>
      <c r="O102"/>
      <c r="P102"/>
      <c r="Q102"/>
    </row>
    <row r="103" spans="2:17" x14ac:dyDescent="0.25">
      <c r="L103"/>
      <c r="M103"/>
      <c r="N103"/>
      <c r="O103"/>
      <c r="P103"/>
      <c r="Q103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6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2025-08-04T09:50:16Z</cp:lastPrinted>
  <dcterms:created xsi:type="dcterms:W3CDTF">2020-06-30T03:42:56Z</dcterms:created>
  <dcterms:modified xsi:type="dcterms:W3CDTF">2025-08-04T09:50:17Z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