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66" documentId="14_{A48F4B07-3EF3-43E5-91B2-4CA340E6013A}" xr6:coauthVersionLast="47" xr6:coauthVersionMax="47" xr10:uidLastSave="{50B57606-DE5D-4771-9773-1E453C08CF16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3" l="1"/>
  <c r="D68" i="3"/>
  <c r="F64" i="3" l="1"/>
  <c r="F63" i="3"/>
  <c r="F62" i="3"/>
  <c r="F61" i="3"/>
  <c r="F60" i="3"/>
  <c r="F59" i="3"/>
  <c r="F58" i="3"/>
  <c r="F57" i="3"/>
  <c r="F56" i="3"/>
  <c r="F55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H37" i="3" l="1"/>
  <c r="H38" i="3" l="1"/>
  <c r="H48" i="3"/>
  <c r="H64" i="3"/>
  <c r="H56" i="3"/>
  <c r="H61" i="3" l="1"/>
  <c r="H51" i="3" l="1"/>
  <c r="H49" i="3" l="1"/>
  <c r="H47" i="3"/>
  <c r="H45" i="3" l="1"/>
  <c r="H46" i="3"/>
  <c r="H44" i="3" l="1"/>
  <c r="F70" i="3"/>
  <c r="D70" i="3"/>
  <c r="H29" i="3" l="1"/>
  <c r="F71" i="3" l="1"/>
  <c r="F72" i="3"/>
  <c r="D71" i="3"/>
  <c r="D72" i="3"/>
  <c r="H30" i="3"/>
  <c r="H31" i="3"/>
  <c r="H33" i="3"/>
  <c r="H34" i="3" l="1"/>
  <c r="H35" i="3"/>
  <c r="H55" i="3"/>
  <c r="E81" i="3" l="1"/>
  <c r="E86" i="3" l="1"/>
  <c r="E83" i="3" l="1"/>
  <c r="E80" i="3"/>
  <c r="H28" i="3"/>
  <c r="F28" i="3"/>
  <c r="E68" i="3"/>
  <c r="H32" i="3"/>
  <c r="H50" i="3" l="1"/>
  <c r="E76" i="3" l="1"/>
  <c r="E75" i="3"/>
  <c r="F78" i="3" l="1"/>
  <c r="D78" i="3"/>
  <c r="H63" i="3" l="1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H42" i="3" l="1"/>
  <c r="F81" i="3"/>
  <c r="F77" i="3" l="1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H57" i="3" l="1"/>
  <c r="H36" i="3" l="1"/>
  <c r="H39" i="3"/>
  <c r="H53" i="3" l="1"/>
  <c r="H52" i="3"/>
  <c r="H41" i="3" l="1"/>
  <c r="H40" i="3"/>
  <c r="C24" i="3" l="1"/>
  <c r="C11" i="3" s="1"/>
  <c r="G85" i="3" l="1"/>
  <c r="G70" i="3" s="1"/>
  <c r="G72" i="3" s="1"/>
  <c r="G77" i="3" s="1"/>
  <c r="C16" i="3"/>
  <c r="C20" i="3"/>
  <c r="G84" i="3"/>
  <c r="C17" i="3"/>
  <c r="C7" i="3"/>
  <c r="C6" i="3"/>
  <c r="C5" i="3"/>
  <c r="C4" i="3"/>
  <c r="C8" i="3"/>
  <c r="G81" i="3"/>
  <c r="C15" i="3"/>
  <c r="C19" i="3"/>
  <c r="G86" i="3"/>
  <c r="C18" i="3"/>
  <c r="G83" i="3"/>
  <c r="G80" i="3"/>
  <c r="C14" i="3"/>
  <c r="G68" i="3"/>
  <c r="C3" i="3"/>
  <c r="C12" i="3"/>
  <c r="C9" i="3"/>
  <c r="G75" i="3"/>
  <c r="G82" i="3" s="1"/>
  <c r="G74" i="3" s="1"/>
  <c r="C10" i="3"/>
  <c r="G76" i="3"/>
  <c r="G78" i="3"/>
  <c r="G71" i="3" l="1"/>
  <c r="G73" i="3" s="1"/>
  <c r="G69" i="3"/>
  <c r="F54" i="3" l="1"/>
  <c r="H54" i="3"/>
  <c r="G79" i="3"/>
  <c r="G87" i="3" s="1"/>
  <c r="G88" i="3" s="1"/>
  <c r="C13" i="3" l="1"/>
  <c r="C25" i="3" a="1"/>
  <c r="C25" i="3" s="1"/>
  <c r="G41" i="3"/>
  <c r="G52" i="3"/>
  <c r="G50" i="3"/>
  <c r="G51" i="3"/>
  <c r="G34" i="3"/>
  <c r="G61" i="3"/>
  <c r="G37" i="3"/>
  <c r="G53" i="3"/>
  <c r="E78" i="3" s="1"/>
  <c r="G60" i="3"/>
  <c r="G48" i="3"/>
  <c r="G38" i="3"/>
  <c r="G29" i="3"/>
  <c r="E70" i="3" s="1"/>
  <c r="G42" i="3"/>
  <c r="G64" i="3"/>
  <c r="G55" i="3"/>
  <c r="G59" i="3"/>
  <c r="G44" i="3"/>
  <c r="G33" i="3"/>
  <c r="G49" i="3"/>
  <c r="G43" i="3"/>
  <c r="G63" i="3"/>
  <c r="G36" i="3"/>
  <c r="G30" i="3"/>
  <c r="E71" i="3" s="1"/>
  <c r="G62" i="3"/>
  <c r="G39" i="3"/>
  <c r="G31" i="3"/>
  <c r="E72" i="3" s="1"/>
  <c r="G35" i="3"/>
  <c r="G40" i="3"/>
  <c r="G57" i="3"/>
  <c r="G32" i="3"/>
  <c r="G58" i="3"/>
  <c r="G45" i="3"/>
  <c r="G47" i="3"/>
  <c r="G56" i="3"/>
  <c r="G46" i="3"/>
  <c r="G28" i="3"/>
  <c r="E69" i="3" s="1"/>
  <c r="G54" i="3"/>
  <c r="E79" i="3" s="1"/>
  <c r="K69" i="3" l="1"/>
  <c r="K70" i="3"/>
  <c r="K68" i="3" s="1"/>
  <c r="C2" i="3"/>
  <c r="E85" i="3"/>
  <c r="E73" i="3"/>
  <c r="E67" i="3"/>
  <c r="E74" i="3"/>
  <c r="E82" i="3"/>
  <c r="E84" i="3"/>
  <c r="E77" i="3"/>
  <c r="E87" i="3" l="1"/>
  <c r="E8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<sst xmlns="http://schemas.openxmlformats.org/spreadsheetml/2006/main" count="133" uniqueCount="96">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</sst>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2" fillId="2" borderId="1" xfId="0" applyFont="1" applyFill="1" applyBorder="1"/>
    <xf numFmtId="0" fontId="23" fillId="2" borderId="1" xfId="0" applyFont="1" applyFill="1" applyBorder="1"/>
    <xf numFmtId="164" fontId="23" fillId="2" borderId="1" xfId="1" applyNumberFormat="1" applyFont="1" applyFill="1" applyBorder="1"/>
    <xf numFmtId="0" fontId="23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3.3000000000000002E-2</c:v>
                </c:pt>
                <c:pt idx="3">
                  <c:v>4.2999999999999997E-2</c:v>
                </c:pt>
                <c:pt idx="4">
                  <c:v>6.3E-2</c:v>
                </c:pt>
                <c:pt idx="5">
                  <c:v>7.8E-2</c:v>
                </c:pt>
                <c:pt idx="6">
                  <c:v>0.13</c:v>
                </c:pt>
                <c:pt idx="7">
                  <c:v>0</c:v>
                </c:pt>
                <c:pt idx="8">
                  <c:v>0</c:v>
                </c:pt>
                <c:pt idx="9">
                  <c:v>0.19800000000000001</c:v>
                </c:pt>
                <c:pt idx="10">
                  <c:v>2.4E-2</c:v>
                </c:pt>
                <c:pt idx="11">
                  <c:v>0.122</c:v>
                </c:pt>
                <c:pt idx="12">
                  <c:v>0</c:v>
                </c:pt>
                <c:pt idx="13">
                  <c:v>0</c:v>
                </c:pt>
                <c:pt idx="14">
                  <c:v>6.6000000000000003E-2</c:v>
                </c:pt>
                <c:pt idx="15">
                  <c:v>0</c:v>
                </c:pt>
                <c:pt idx="16">
                  <c:v>5.1999999999999998E-2</c:v>
                </c:pt>
                <c:pt idx="17">
                  <c:v>8.9999999999999993E-3</c:v>
                </c:pt>
                <c:pt idx="18">
                  <c:v>0</c:v>
                </c:pt>
                <c:pt idx="19">
                  <c:v>0.15699999999999992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0.664557573442768</c:v>
                </c:pt>
                <c:pt idx="1">
                  <c:v>0.26303530294437827</c:v>
                </c:pt>
                <c:pt idx="2">
                  <c:v>7.2407123612853785E-2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15" zoomScaleNormal="115" workbookViewId="0">
      <selection activeCell="C22" sqref="C22"/>
    </sheetView>
  </sheetViews>
  <sheetFormatPr defaultColWidth="9.140625" defaultRowHeight="15" outlineLevelCol="1" x14ac:dyDescent="0.25"/>
  <cols>
    <col min="1" max="1" width="12.28515625" style="1" customWidth="1"/>
    <col min="2" max="2" width="17.42578125" style="1" customWidth="1" outlineLevel="1"/>
    <col min="3" max="3" width="16.140625" style="1" customWidth="1" outlineLevel="1"/>
    <col min="4" max="4" width="18.28515625" customWidth="1" outlineLevel="1"/>
    <col min="5" max="5" width="17.28515625" customWidth="1" outlineLevel="1"/>
    <col min="6" max="6" width="10.5703125" customWidth="1" outlineLevel="1"/>
    <col min="7" max="7" width="14.85546875" bestFit="1" customWidth="1"/>
    <col min="8" max="8" width="20.28515625" style="42" bestFit="1" customWidth="1"/>
    <col min="9" max="9" width="42.28515625" customWidth="1"/>
    <col min="10" max="10" width="15" style="76" bestFit="1" customWidth="1"/>
    <col min="11" max="11" width="13.42578125" style="89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6" t="s">
        <v>0</v>
      </c>
      <c r="B1" s="106"/>
      <c r="C1" s="12">
        <v>45439</v>
      </c>
      <c r="E1" s="14"/>
      <c r="F1" s="14"/>
      <c r="G1" s="43"/>
      <c r="H1" s="14"/>
      <c r="J1" s="63"/>
      <c r="K1" s="77"/>
    </row>
    <row r="2" spans="1:12" s="13" customFormat="1" x14ac:dyDescent="0.25">
      <c r="A2" s="106" t="s">
        <v>10</v>
      </c>
      <c r="B2" s="106"/>
      <c r="C2" s="15">
        <f>C25/C24</f>
        <v>3.0529195668010929</v>
      </c>
      <c r="D2"/>
      <c r="E2" s="23"/>
      <c r="F2" s="17"/>
      <c r="G2" s="17"/>
      <c r="H2" s="16"/>
      <c r="J2" s="63"/>
      <c r="K2" s="77"/>
    </row>
    <row r="3" spans="1:12" s="13" customFormat="1" x14ac:dyDescent="0.25">
      <c r="A3" s="108" t="s">
        <v>94</v>
      </c>
      <c r="B3" s="109"/>
      <c r="C3" s="15">
        <f>SUM(0)/C24</f>
        <v>0</v>
      </c>
      <c r="D3"/>
      <c r="E3" s="23"/>
      <c r="F3" s="17"/>
      <c r="G3" s="17"/>
      <c r="H3" s="16"/>
      <c r="J3" s="63"/>
      <c r="K3" s="77"/>
    </row>
    <row r="4" spans="1:12" s="13" customFormat="1" x14ac:dyDescent="0.25">
      <c r="A4" s="55" t="s">
        <v>51</v>
      </c>
      <c r="B4" s="56"/>
      <c r="C4" s="15">
        <f>SUM(H28:H28)/C24</f>
        <v>8.9892883327798628E-2</v>
      </c>
      <c r="D4"/>
      <c r="E4" s="23"/>
      <c r="F4" s="17"/>
      <c r="G4" s="17"/>
      <c r="H4" s="16"/>
      <c r="J4" s="63"/>
      <c r="K4" s="77"/>
    </row>
    <row r="5" spans="1:12" s="13" customFormat="1" x14ac:dyDescent="0.25">
      <c r="A5" s="55" t="s">
        <v>84</v>
      </c>
      <c r="B5" s="56"/>
      <c r="C5" s="15">
        <f>SUM(H30:H30)/C24</f>
        <v>0.15692270912377995</v>
      </c>
      <c r="D5"/>
      <c r="E5" s="23"/>
      <c r="F5" s="17"/>
      <c r="G5" s="17"/>
      <c r="H5" s="16"/>
      <c r="J5" s="63"/>
      <c r="K5" s="77"/>
    </row>
    <row r="6" spans="1:12" s="13" customFormat="1" x14ac:dyDescent="0.25">
      <c r="A6" s="55" t="s">
        <v>85</v>
      </c>
      <c r="B6" s="56"/>
      <c r="C6" s="15">
        <f>SUM(H31:H31)/C24</f>
        <v>0.22966322586867979</v>
      </c>
      <c r="D6"/>
      <c r="E6" s="23"/>
      <c r="F6" s="17"/>
      <c r="G6" s="17"/>
      <c r="H6" s="16"/>
      <c r="J6" s="63"/>
      <c r="K6" s="77"/>
    </row>
    <row r="7" spans="1:12" s="13" customFormat="1" x14ac:dyDescent="0.25">
      <c r="A7" s="55" t="s">
        <v>45</v>
      </c>
      <c r="B7" s="56"/>
      <c r="C7" s="15">
        <f>SUM(H32:H33)/C24</f>
        <v>0.28096888296732381</v>
      </c>
      <c r="D7"/>
      <c r="E7" s="23"/>
      <c r="F7" s="17"/>
      <c r="G7" s="17"/>
      <c r="H7" s="16"/>
      <c r="J7" s="63"/>
      <c r="K7" s="77"/>
    </row>
    <row r="8" spans="1:12" s="13" customFormat="1" x14ac:dyDescent="0.25">
      <c r="A8" s="108" t="s">
        <v>78</v>
      </c>
      <c r="B8" s="109"/>
      <c r="C8" s="15">
        <f>SUM(H34:H35)/C24</f>
        <v>0.47054664712112571</v>
      </c>
      <c r="D8"/>
      <c r="E8" s="23"/>
      <c r="F8" s="17"/>
      <c r="G8" s="17"/>
      <c r="H8" s="16"/>
      <c r="J8" s="63"/>
      <c r="K8" s="77"/>
    </row>
    <row r="9" spans="1:12" s="13" customFormat="1" x14ac:dyDescent="0.25">
      <c r="A9" s="55" t="s">
        <v>75</v>
      </c>
      <c r="B9" s="56"/>
      <c r="C9" s="15">
        <f>SUM(0)/C24</f>
        <v>0</v>
      </c>
      <c r="D9"/>
      <c r="E9" s="23"/>
      <c r="F9" s="17"/>
      <c r="G9" s="17"/>
      <c r="H9" s="16"/>
      <c r="J9" s="63"/>
      <c r="K9" s="77"/>
    </row>
    <row r="10" spans="1:12" s="13" customFormat="1" x14ac:dyDescent="0.25">
      <c r="A10" s="55" t="s">
        <v>76</v>
      </c>
      <c r="B10" s="56"/>
      <c r="C10" s="15">
        <f>SUM(0)/C24</f>
        <v>0</v>
      </c>
      <c r="D10"/>
      <c r="E10" s="23"/>
      <c r="F10" s="17"/>
      <c r="G10" s="17"/>
      <c r="H10" s="16"/>
      <c r="J10" s="63"/>
      <c r="K10" s="77"/>
      <c r="L10" s="62"/>
    </row>
    <row r="11" spans="1:12" s="13" customFormat="1" x14ac:dyDescent="0.25">
      <c r="A11" s="108" t="s">
        <v>38</v>
      </c>
      <c r="B11" s="109"/>
      <c r="C11" s="15">
        <f>SUM(H36:H52)/C24</f>
        <v>0.71669553418175802</v>
      </c>
      <c r="D11"/>
      <c r="E11" s="23"/>
      <c r="F11" s="17"/>
      <c r="G11" s="17"/>
      <c r="H11" s="16"/>
      <c r="J11" s="63"/>
      <c r="K11" s="77"/>
      <c r="L11" s="36"/>
    </row>
    <row r="12" spans="1:12" s="13" customFormat="1" x14ac:dyDescent="0.25">
      <c r="A12" s="108" t="s">
        <v>59</v>
      </c>
      <c r="B12" s="109"/>
      <c r="C12" s="15">
        <f>SUM(H53:H53)/C24</f>
        <v>8.6330088936587515E-2</v>
      </c>
      <c r="D12"/>
      <c r="E12" s="23"/>
      <c r="F12" s="17"/>
      <c r="G12" s="17"/>
      <c r="H12" s="16"/>
      <c r="J12" s="63"/>
      <c r="K12" s="77"/>
    </row>
    <row r="13" spans="1:12" s="13" customFormat="1" x14ac:dyDescent="0.25">
      <c r="A13" s="108" t="s">
        <v>67</v>
      </c>
      <c r="B13" s="109"/>
      <c r="C13" s="15">
        <f>SUM(H54:H54)/C24</f>
        <v>0.441895378382343</v>
      </c>
      <c r="D13"/>
      <c r="E13" s="23"/>
      <c r="F13" s="17"/>
      <c r="G13" s="17"/>
      <c r="H13" s="16"/>
      <c r="J13" s="63"/>
      <c r="K13" s="77"/>
    </row>
    <row r="14" spans="1:12" s="13" customFormat="1" x14ac:dyDescent="0.25">
      <c r="A14" s="55" t="s">
        <v>77</v>
      </c>
      <c r="B14" s="56"/>
      <c r="C14" s="15">
        <f>SUM(0)/C24</f>
        <v>0</v>
      </c>
      <c r="D14"/>
      <c r="E14" s="23"/>
      <c r="F14" s="17"/>
      <c r="G14" s="17"/>
      <c r="H14" s="16"/>
      <c r="J14" s="63"/>
      <c r="K14" s="77"/>
    </row>
    <row r="15" spans="1:12" s="13" customFormat="1" x14ac:dyDescent="0.25">
      <c r="A15" s="55" t="s">
        <v>53</v>
      </c>
      <c r="B15" s="56"/>
      <c r="C15" s="15">
        <f>SUM(0)/C24</f>
        <v>0</v>
      </c>
      <c r="D15"/>
      <c r="E15" s="23"/>
      <c r="F15" s="17"/>
      <c r="G15" s="17"/>
      <c r="H15" s="16"/>
      <c r="J15" s="63"/>
      <c r="K15" s="77"/>
    </row>
    <row r="16" spans="1:12" s="13" customFormat="1" x14ac:dyDescent="0.25">
      <c r="A16" s="108" t="s">
        <v>25</v>
      </c>
      <c r="B16" s="109"/>
      <c r="C16" s="15">
        <f>SUM(H55:H56)/C24</f>
        <v>3.3913611652420336E-2</v>
      </c>
      <c r="D16"/>
      <c r="E16" s="23"/>
      <c r="F16" s="17"/>
      <c r="G16" s="17"/>
      <c r="H16" s="16"/>
      <c r="J16" s="63"/>
      <c r="K16" s="77"/>
    </row>
    <row r="17" spans="1:17" s="13" customFormat="1" x14ac:dyDescent="0.25">
      <c r="A17" s="108" t="s">
        <v>24</v>
      </c>
      <c r="B17" s="109"/>
      <c r="C17" s="15">
        <f>SUM(H57:H62)/C24</f>
        <v>0.24044517755810371</v>
      </c>
      <c r="D17"/>
      <c r="E17" s="23"/>
      <c r="F17" s="17"/>
      <c r="G17" s="17"/>
      <c r="H17" s="16"/>
      <c r="J17" s="63"/>
      <c r="K17" s="77"/>
    </row>
    <row r="18" spans="1:17" s="13" customFormat="1" x14ac:dyDescent="0.25">
      <c r="A18" s="55" t="s">
        <v>55</v>
      </c>
      <c r="B18" s="56"/>
      <c r="C18" s="15">
        <f>SUM(0)/C24</f>
        <v>0</v>
      </c>
      <c r="D18"/>
      <c r="E18" s="23"/>
      <c r="F18" s="17"/>
      <c r="G18" s="17"/>
      <c r="H18" s="16"/>
      <c r="J18" s="63"/>
      <c r="K18" s="77"/>
    </row>
    <row r="19" spans="1:17" s="13" customFormat="1" ht="27.75" customHeight="1" x14ac:dyDescent="0.25">
      <c r="A19" s="107" t="s">
        <v>36</v>
      </c>
      <c r="B19" s="107"/>
      <c r="C19" s="15">
        <f>SUM(0)/C24</f>
        <v>0</v>
      </c>
      <c r="D19" s="22"/>
      <c r="E19" s="16"/>
      <c r="F19" s="17"/>
      <c r="G19" s="17"/>
      <c r="H19" s="16"/>
      <c r="J19" s="63"/>
      <c r="K19" s="77"/>
    </row>
    <row r="20" spans="1:17" s="13" customFormat="1" x14ac:dyDescent="0.25">
      <c r="A20" s="108" t="s">
        <v>37</v>
      </c>
      <c r="B20" s="109"/>
      <c r="C20" s="15">
        <f>SUM(H63:H64)/C24</f>
        <v>0.18713951280104643</v>
      </c>
      <c r="D20"/>
      <c r="E20" s="23"/>
      <c r="F20" s="17"/>
      <c r="G20" s="17"/>
      <c r="H20" s="16"/>
      <c r="J20" s="63"/>
      <c r="K20" s="77"/>
    </row>
    <row r="21" spans="1:17" s="13" customFormat="1" ht="12.75" x14ac:dyDescent="0.25">
      <c r="A21" s="106" t="s">
        <v>8</v>
      </c>
      <c r="B21" s="106"/>
      <c r="C21" s="18">
        <v>56669703</v>
      </c>
      <c r="D21" s="24"/>
      <c r="E21" s="17"/>
      <c r="F21" s="17"/>
      <c r="G21" s="17"/>
      <c r="H21" s="16"/>
      <c r="J21" s="63"/>
      <c r="K21" s="77"/>
    </row>
    <row r="22" spans="1:17" s="13" customFormat="1" ht="12.75" x14ac:dyDescent="0.25">
      <c r="A22" s="106" t="s">
        <v>6</v>
      </c>
      <c r="B22" s="106"/>
      <c r="C22" s="18">
        <v>0</v>
      </c>
      <c r="F22" s="17"/>
      <c r="H22" s="36"/>
      <c r="J22" s="63"/>
      <c r="K22" s="77"/>
    </row>
    <row r="23" spans="1:17" s="13" customFormat="1" ht="12.75" x14ac:dyDescent="0.25">
      <c r="A23" s="106" t="s">
        <v>7</v>
      </c>
      <c r="B23" s="106"/>
      <c r="C23" s="18">
        <v>0</v>
      </c>
      <c r="D23" s="21"/>
      <c r="E23" s="17"/>
      <c r="F23" s="17"/>
      <c r="G23" s="17"/>
      <c r="H23" s="16"/>
      <c r="J23" s="63"/>
      <c r="K23" s="77"/>
    </row>
    <row r="24" spans="1:17" s="13" customFormat="1" ht="12.75" x14ac:dyDescent="0.25">
      <c r="A24" s="106" t="s">
        <v>9</v>
      </c>
      <c r="B24" s="106"/>
      <c r="C24" s="18">
        <f>C21+C22-C23</f>
        <v>56669703</v>
      </c>
      <c r="D24" s="21"/>
      <c r="E24" s="17"/>
      <c r="F24" s="17"/>
      <c r="G24" s="17"/>
      <c r="H24" s="16"/>
      <c r="J24" s="63"/>
      <c r="K24" s="77"/>
    </row>
    <row r="25" spans="1:17" s="13" customFormat="1" ht="27.75" customHeight="1" x14ac:dyDescent="0.25">
      <c r="A25" s="107" t="s">
        <v>5</v>
      </c>
      <c r="B25" s="107"/>
      <c r="C25" s="11">
        <f t="array" ref="C25">SUM(ABS(Table132[Target allocation ($)]))</f>
        <v>173008045.1335066</v>
      </c>
      <c r="D25" s="21" t="s">
        <v>22</v>
      </c>
      <c r="E25" s="17"/>
      <c r="F25" s="17"/>
      <c r="G25" s="17"/>
      <c r="H25" s="16"/>
      <c r="J25" s="63"/>
      <c r="K25" s="77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4"/>
      <c r="K26" s="77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0" t="s">
        <v>62</v>
      </c>
      <c r="K27" s="90" t="s">
        <v>63</v>
      </c>
    </row>
    <row r="28" spans="1:17" x14ac:dyDescent="0.25">
      <c r="A28" s="44" t="s">
        <v>65</v>
      </c>
      <c r="B28" s="34" t="s">
        <v>14</v>
      </c>
      <c r="C28" s="91">
        <v>144.5</v>
      </c>
      <c r="D28" s="34">
        <v>35254</v>
      </c>
      <c r="E28" s="34">
        <v>35254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2.4830000000000001</v>
      </c>
      <c r="H28" s="39">
        <f>Table132[[#This Row],[New position]]*Table132[[#This Row],[Last_Price]]</f>
        <v>5094203</v>
      </c>
      <c r="I28" s="27"/>
      <c r="J28" s="92"/>
      <c r="K28" s="92"/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1">
        <v>91.37</v>
      </c>
      <c r="D29" s="34">
        <v>73500</v>
      </c>
      <c r="E29" s="34">
        <v>73500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3.2730000000000001</v>
      </c>
      <c r="H29" s="39">
        <f>Table132[[#This Row],[New position]]*Table132[[#This Row],[Last_Price]]</f>
        <v>6715695</v>
      </c>
      <c r="I29" s="27"/>
      <c r="J29" s="92"/>
      <c r="K29" s="92"/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1">
        <v>41.64</v>
      </c>
      <c r="D30" s="34">
        <v>213563</v>
      </c>
      <c r="E30" s="34">
        <v>213563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4.3339999999999996</v>
      </c>
      <c r="H30" s="39">
        <f>Table132[[#This Row],[New position]]*Table132[[#This Row],[Last_Price]]</f>
        <v>8892763.3200000003</v>
      </c>
      <c r="I30" s="27"/>
      <c r="J30" s="92"/>
      <c r="K30" s="92"/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1">
        <v>214.8</v>
      </c>
      <c r="D31" s="34">
        <v>60591</v>
      </c>
      <c r="E31" s="34">
        <v>60591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6.343</v>
      </c>
      <c r="H31" s="39">
        <f>Table132[[#This Row],[New position]]*Table132[[#This Row],[Last_Price]]</f>
        <v>13014946.800000001</v>
      </c>
      <c r="I31" s="27"/>
      <c r="J31" s="92"/>
      <c r="K31" s="92"/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1">
        <v>244.79</v>
      </c>
      <c r="D32" s="34">
        <v>36485</v>
      </c>
      <c r="E32" s="34">
        <v>36485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4.3529999999999998</v>
      </c>
      <c r="H32" s="39">
        <f>Table132[[#This Row],[New position]]*Table132[[#This Row],[Last_Price]]</f>
        <v>8931163.1500000004</v>
      </c>
      <c r="I32" s="27"/>
      <c r="J32" s="92"/>
      <c r="K32" s="92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1">
        <v>1069</v>
      </c>
      <c r="D33" s="34">
        <v>6540</v>
      </c>
      <c r="E33" s="34">
        <v>6540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3.407</v>
      </c>
      <c r="H33" s="39">
        <f>Table132[[#This Row],[New position]]*Table132[[#This Row],[Last_Price]]</f>
        <v>6991260</v>
      </c>
      <c r="I33" s="100"/>
      <c r="J33" s="92"/>
      <c r="K33" s="92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1">
        <v>55.05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7.1669999999999998</v>
      </c>
      <c r="H34" s="39">
        <f>Table132[[#This Row],[New position]]*Table132[[#This Row],[Last_Price]]</f>
        <v>14705946.899999999</v>
      </c>
      <c r="I34" s="27"/>
      <c r="J34" s="92"/>
      <c r="K34" s="92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1">
        <v>205.41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5.8289999999999997</v>
      </c>
      <c r="H35" s="39">
        <f>Table132[[#This Row],[New position]]*Table132[[#This Row],[Last_Price]]</f>
        <v>11959791.84</v>
      </c>
      <c r="I35" s="100"/>
      <c r="J35" s="92"/>
      <c r="K35" s="92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231.837725381415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0.10199999999999999</v>
      </c>
      <c r="H36" s="39">
        <f>Table132[[#This Row],[New position]]*Table132[[#This Row],[Last_Price]]</f>
        <v>208653.9528432735</v>
      </c>
      <c r="I36" s="51"/>
      <c r="J36" s="92"/>
      <c r="K36" s="93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4.2746185852982004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4.7E-2</v>
      </c>
      <c r="H37" s="39">
        <f>Table132[[#This Row],[New position]]*Table132[[#This Row],[Last_Price]]</f>
        <v>96606.380027739331</v>
      </c>
      <c r="I37" s="51"/>
      <c r="J37" s="92"/>
      <c r="K37" s="93"/>
      <c r="L37"/>
      <c r="M37"/>
      <c r="N37"/>
      <c r="O37"/>
      <c r="P37"/>
      <c r="Q37"/>
    </row>
    <row r="38" spans="1:17" x14ac:dyDescent="0.25">
      <c r="A38" s="104" t="s">
        <v>93</v>
      </c>
      <c r="B38" s="44" t="s">
        <v>14</v>
      </c>
      <c r="C38" s="105">
        <f>41.42/7.27394</f>
        <v>5.6943004753957283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9.5000000000000001E-2</v>
      </c>
      <c r="H38" s="39">
        <f>Table132[[#This Row],[New position]]*Table132[[#This Row],[Last_Price]]</f>
        <v>194175.64621099434</v>
      </c>
      <c r="I38" s="27"/>
      <c r="J38" s="92"/>
      <c r="K38" s="93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48.235294117647101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0.36</v>
      </c>
      <c r="H39" s="39">
        <f>Table132[[#This Row],[New position]]*Table132[[#This Row],[Last_Price]]</f>
        <v>738000.00000000058</v>
      </c>
      <c r="I39" s="51"/>
      <c r="J39" s="92"/>
      <c r="K39" s="92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10.1342710997442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0.109</v>
      </c>
      <c r="H40" s="39">
        <f>Table132[[#This Row],[New position]]*Table132[[#This Row],[Last_Price]]</f>
        <v>222953.96419437241</v>
      </c>
      <c r="I40" s="27"/>
      <c r="J40" s="92"/>
      <c r="K40" s="92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1">
        <v>12.557544757033201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9.5000000000000001E-2</v>
      </c>
      <c r="H41" s="39">
        <f>Table132[[#This Row],[New position]]*Table132[[#This Row],[Last_Price]]</f>
        <v>195897.69820971793</v>
      </c>
      <c r="I41" s="27"/>
      <c r="J41" s="92"/>
      <c r="K41" s="92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1">
        <v>1.0153452685422</v>
      </c>
      <c r="D42" s="34">
        <v>2860000</v>
      </c>
      <c r="E42" s="34">
        <v>2860000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1.415</v>
      </c>
      <c r="H42" s="39">
        <f>Table132[[#This Row],[New position]]*Table132[[#This Row],[Last_Price]]</f>
        <v>2903887.4680306921</v>
      </c>
      <c r="I42" s="58"/>
      <c r="J42" s="92"/>
      <c r="K42" s="93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1">
        <v>2.6150895140664998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3.2650000000000001</v>
      </c>
      <c r="H43" s="39">
        <f>Table132[[#This Row],[New position]]*Table132[[#This Row],[Last_Price]]</f>
        <v>6699859.3350383723</v>
      </c>
      <c r="I43" s="58"/>
      <c r="J43" s="92"/>
      <c r="K43" s="92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1">
        <v>8.6624040920716094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2.2080000000000002</v>
      </c>
      <c r="H44" s="39">
        <f>Table132[[#This Row],[New position]]*Table132[[#This Row],[Last_Price]]</f>
        <v>4530437.340153452</v>
      </c>
      <c r="I44" s="58"/>
      <c r="J44" s="92"/>
      <c r="K44" s="92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1">
        <v>1.64961636828645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0.377</v>
      </c>
      <c r="H45" s="39">
        <f>Table132[[#This Row],[New position]]*Table132[[#This Row],[Last_Price]]</f>
        <v>773505.11508951639</v>
      </c>
      <c r="I45" s="58"/>
      <c r="J45" s="92"/>
      <c r="K45" s="92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1">
        <v>11.150895140665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0.56999999999999995</v>
      </c>
      <c r="H46" s="39">
        <f>Table132[[#This Row],[New position]]*Table132[[#This Row],[Last_Price]]</f>
        <v>1168613.8107416921</v>
      </c>
      <c r="I46" s="58"/>
      <c r="J46" s="92"/>
      <c r="K46" s="92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1">
        <v>0.48721227621483398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0.55200000000000005</v>
      </c>
      <c r="H47" s="39">
        <f>Table132[[#This Row],[New position]]*Table132[[#This Row],[Last_Price]]</f>
        <v>1132768.542199489</v>
      </c>
      <c r="I47" s="58"/>
      <c r="J47" s="92"/>
      <c r="K47" s="92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1">
        <v>4.8465473145780003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5.7000000000000002E-2</v>
      </c>
      <c r="H48" s="39">
        <f>Table132[[#This Row],[New position]]*Table132[[#This Row],[Last_Price]]</f>
        <v>116317.13554987201</v>
      </c>
      <c r="I48" s="58"/>
      <c r="J48" s="92"/>
      <c r="K48" s="92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1">
        <v>2.3094629156010198</v>
      </c>
      <c r="D49" s="34">
        <v>1360000</v>
      </c>
      <c r="E49" s="34">
        <v>1360000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1.5309999999999999</v>
      </c>
      <c r="H49" s="39">
        <f>Table132[[#This Row],[New position]]*Table132[[#This Row],[Last_Price]]</f>
        <v>3140869.5652173869</v>
      </c>
      <c r="I49" s="27"/>
      <c r="J49" s="92"/>
      <c r="K49" s="92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1">
        <v>47.44</v>
      </c>
      <c r="D50" s="34">
        <v>154454</v>
      </c>
      <c r="E50" s="34">
        <v>154454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3.5710000000000002</v>
      </c>
      <c r="H50" s="39">
        <f>Table132[[#This Row],[New position]]*Table132[[#This Row],[Last_Price]]</f>
        <v>7327297.7599999998</v>
      </c>
      <c r="I50" s="27"/>
      <c r="J50" s="92"/>
      <c r="K50" s="94"/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38.64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1.5069999999999999</v>
      </c>
      <c r="H51" s="39">
        <f>Table132[[#This Row],[New position]]*Table132[[#This Row],[Last_Price]]</f>
        <v>3091200</v>
      </c>
      <c r="I51" s="27"/>
      <c r="J51" s="92"/>
      <c r="K51" s="93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1">
        <v>63.95</v>
      </c>
      <c r="D52" s="34">
        <v>126253</v>
      </c>
      <c r="E52" s="34">
        <v>126253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3.9350000000000001</v>
      </c>
      <c r="H52" s="39">
        <f>Table132[[#This Row],[New position]]*Table132[[#This Row],[Last_Price]]</f>
        <v>8073879.3500000006</v>
      </c>
      <c r="I52" s="27"/>
      <c r="J52" s="92"/>
      <c r="K52" s="92"/>
      <c r="L5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109.57</v>
      </c>
      <c r="D53" s="34">
        <v>44650</v>
      </c>
      <c r="E53" s="34">
        <v>44650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2.3839999999999999</v>
      </c>
      <c r="H53" s="39">
        <f>Table132[[#This Row],[New position]]*Table132[[#This Row],[Last_Price]]</f>
        <v>4892300.5</v>
      </c>
      <c r="I53" s="27"/>
      <c r="J53" s="92"/>
      <c r="K53" s="92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457.95</v>
      </c>
      <c r="D54" s="34">
        <v>54683</v>
      </c>
      <c r="E54" s="34">
        <v>54683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12.205</v>
      </c>
      <c r="H54" s="39">
        <f>Table132[[#This Row],[New position]]*Table132[[#This Row],[Last_Price]]</f>
        <v>25042079.849999998</v>
      </c>
      <c r="I54" s="27"/>
      <c r="J54" s="92"/>
      <c r="K54" s="92"/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56.31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0.41899999999999998</v>
      </c>
      <c r="H55" s="39">
        <f>Table132[[#This Row],[New position]]*Table132[[#This Row],[Last_Price]]</f>
        <v>859853.70000000007</v>
      </c>
      <c r="I55" s="95"/>
      <c r="J55" s="92"/>
      <c r="K55" s="92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24.65</v>
      </c>
      <c r="D56" s="34">
        <v>43084</v>
      </c>
      <c r="E56" s="34">
        <v>43084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0.51800000000000002</v>
      </c>
      <c r="H56" s="39">
        <f>Table132[[#This Row],[New position]]*Table132[[#This Row],[Last_Price]]</f>
        <v>1062020.5999999999</v>
      </c>
      <c r="I56" s="27"/>
      <c r="J56" s="92"/>
      <c r="K56" s="92"/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79.56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1.4079999999999999</v>
      </c>
      <c r="H57" s="39">
        <f>Table132[[#This Row],[New position]]*Table132[[#This Row],[Last_Price]]</f>
        <v>2888982.72</v>
      </c>
      <c r="I57" s="26"/>
      <c r="J57" s="94"/>
      <c r="K57" s="92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72.22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1.35</v>
      </c>
      <c r="H58" s="39">
        <f>Table132[[#This Row],[New position]]*Table132[[#This Row],[Last_Price]]</f>
        <v>2769637</v>
      </c>
      <c r="I58" s="26"/>
      <c r="J58" s="94"/>
      <c r="K58" s="94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106.96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1.393</v>
      </c>
      <c r="H59" s="39">
        <f>Table132[[#This Row],[New position]]*Table132[[#This Row],[Last_Price]]</f>
        <v>2858506</v>
      </c>
      <c r="I59" s="52"/>
      <c r="J59" s="94"/>
      <c r="K59" s="93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36.270000000000003</v>
      </c>
      <c r="D60" s="34">
        <v>58743</v>
      </c>
      <c r="E60" s="34">
        <v>58743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1.038</v>
      </c>
      <c r="H60" s="39">
        <f>Table132[[#This Row],[New position]]*Table132[[#This Row],[Last_Price]]</f>
        <v>2130608.6100000003</v>
      </c>
      <c r="I60" s="27"/>
      <c r="J60" s="92"/>
      <c r="K60" s="92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17.23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0.96799999999999997</v>
      </c>
      <c r="H61" s="39">
        <f>Table132[[#This Row],[New position]]*Table132[[#This Row],[Last_Price]]</f>
        <v>1986619</v>
      </c>
      <c r="I61" s="52"/>
      <c r="J61" s="92"/>
      <c r="K61" s="92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47.19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0.48299999999999998</v>
      </c>
      <c r="H62" s="39">
        <f>Table132[[#This Row],[New position]]*Table132[[#This Row],[Last_Price]]</f>
        <v>991603.47</v>
      </c>
      <c r="I62" s="52"/>
      <c r="J62" s="94"/>
      <c r="K62" s="92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215.81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4.6779999999999999</v>
      </c>
      <c r="H63" s="39">
        <f>Table132[[#This Row],[New position]]*Table132[[#This Row],[Last_Price]]</f>
        <v>9599444.6099999994</v>
      </c>
      <c r="I63" s="60"/>
      <c r="J63" s="92"/>
      <c r="K63" s="94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23.28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0.49</v>
      </c>
      <c r="H64" s="39">
        <f>Table132[[#This Row],[New position]]*Table132[[#This Row],[Last_Price]]</f>
        <v>1005696</v>
      </c>
      <c r="I64" s="103"/>
      <c r="J64" s="92"/>
      <c r="K64" s="92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6"/>
      <c r="K65" s="80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3" t="s">
        <v>39</v>
      </c>
      <c r="F66" s="31"/>
      <c r="G66" s="54" t="s">
        <v>40</v>
      </c>
      <c r="H66" s="46"/>
      <c r="I66" s="48"/>
      <c r="J66" s="66"/>
      <c r="K66" s="80"/>
      <c r="L66"/>
      <c r="M66"/>
      <c r="N66"/>
      <c r="O66"/>
      <c r="P66"/>
      <c r="Q66"/>
    </row>
    <row r="67" spans="1:17" ht="30" x14ac:dyDescent="0.25">
      <c r="A67" s="44" t="s">
        <v>29</v>
      </c>
      <c r="B67" s="44"/>
      <c r="C67" s="45"/>
      <c r="D67" s="35"/>
      <c r="E67" s="34">
        <f xml:space="preserve"> IF(G88&gt;0, (C25+ABS(G88*G67))/C21, C25/C21)</f>
        <v>3.6206950000000004</v>
      </c>
      <c r="F67" s="31"/>
      <c r="G67" s="34">
        <v>3.620695</v>
      </c>
      <c r="H67" s="46"/>
      <c r="I67" s="48"/>
      <c r="J67" s="96" t="s">
        <v>68</v>
      </c>
      <c r="K67" s="79" t="s">
        <v>69</v>
      </c>
      <c r="L67"/>
      <c r="M67"/>
      <c r="N67"/>
      <c r="O67"/>
      <c r="P67"/>
      <c r="Q67"/>
    </row>
    <row r="68" spans="1:17" ht="15" customHeight="1" x14ac:dyDescent="0.25">
      <c r="A68" s="34" t="s">
        <v>33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1"/>
      <c r="J68" s="65" t="s">
        <v>70</v>
      </c>
      <c r="K68" s="99">
        <f>1-SUM(K69:K70)</f>
        <v>0.664557573442768</v>
      </c>
      <c r="L68"/>
      <c r="M68"/>
      <c r="N68"/>
      <c r="O68"/>
      <c r="P68"/>
      <c r="Q68"/>
    </row>
    <row r="69" spans="1:17" ht="15" customHeight="1" x14ac:dyDescent="0.25">
      <c r="A69" s="44" t="s">
        <v>52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2.4827521602288686E-2</v>
      </c>
      <c r="H69" s="46"/>
      <c r="I69" s="91"/>
      <c r="J69" s="65" t="s">
        <v>71</v>
      </c>
      <c r="K69" s="97">
        <f>SUM(H36:H53)/C25</f>
        <v>0.26303530294437827</v>
      </c>
      <c r="L69"/>
      <c r="M69"/>
      <c r="N69"/>
      <c r="O69"/>
      <c r="P69"/>
      <c r="Q69"/>
    </row>
    <row r="70" spans="1:17" ht="15" customHeight="1" x14ac:dyDescent="0.25">
      <c r="A70" s="44" t="s">
        <v>88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3.2730156746184264E-2</v>
      </c>
      <c r="H70" s="46"/>
      <c r="I70" s="102"/>
      <c r="J70" s="65" t="s">
        <v>72</v>
      </c>
      <c r="K70" s="98">
        <f>(H63+H64+H55+H56)/C25</f>
        <v>7.2407123612853785E-2</v>
      </c>
      <c r="L70"/>
      <c r="M70"/>
      <c r="N70"/>
      <c r="O70"/>
      <c r="P70"/>
      <c r="Q70"/>
    </row>
    <row r="71" spans="1:17" ht="15" customHeight="1" x14ac:dyDescent="0.25">
      <c r="A71" s="44" t="s">
        <v>82</v>
      </c>
      <c r="B71" s="44"/>
      <c r="C71" s="45"/>
      <c r="D71" s="47" t="str">
        <f>Table132[[#This Row],[Symbol]]</f>
        <v>Financials</v>
      </c>
      <c r="E71" s="34">
        <f>ROUND(SUM(G30:G30)/100, 3)</f>
        <v>4.2999999999999997E-2</v>
      </c>
      <c r="F71" s="47" t="str">
        <f>Table132[[#This Row],[Symbol]]</f>
        <v>Financials</v>
      </c>
      <c r="G71" s="50">
        <f>SUM(H30:H30)/(G67*C24)</f>
        <v>4.3340493779172221E-2</v>
      </c>
      <c r="H71" s="46"/>
      <c r="I71" s="91"/>
      <c r="J71" s="65"/>
      <c r="K71" s="97"/>
      <c r="L71"/>
      <c r="M71"/>
      <c r="N71"/>
      <c r="O71"/>
      <c r="P71"/>
      <c r="Q71"/>
    </row>
    <row r="72" spans="1:17" ht="15" customHeight="1" x14ac:dyDescent="0.25">
      <c r="A72" s="44" t="s">
        <v>83</v>
      </c>
      <c r="B72" s="44"/>
      <c r="C72" s="45"/>
      <c r="D72" s="47" t="str">
        <f>Table132[[#This Row],[Symbol]]</f>
        <v>Techs</v>
      </c>
      <c r="E72" s="50">
        <f>ROUND(SUM(G31:G31)/100, 3)</f>
        <v>6.3E-2</v>
      </c>
      <c r="F72" s="47" t="str">
        <f>Table132[[#This Row],[Symbol]]</f>
        <v>Techs</v>
      </c>
      <c r="G72" s="34">
        <f>SUM(H31:H31)/(G67*C24)</f>
        <v>6.3430702080313248E-2</v>
      </c>
      <c r="H72" s="46"/>
      <c r="I72" s="101"/>
      <c r="K72" s="81"/>
      <c r="L72"/>
      <c r="M72"/>
      <c r="N72"/>
      <c r="O72"/>
      <c r="P72"/>
      <c r="Q72"/>
    </row>
    <row r="73" spans="1:17" ht="15" customHeight="1" x14ac:dyDescent="0.25">
      <c r="A73" s="44" t="s">
        <v>48</v>
      </c>
      <c r="B73" s="44"/>
      <c r="C73" s="45"/>
      <c r="D73" s="47" t="str">
        <f>Table132[[#This Row],[Symbol]]</f>
        <v>Semiconductor</v>
      </c>
      <c r="E73" s="34">
        <f>ROUND(SUM(G32:G33)/100, 3)</f>
        <v>7.8E-2</v>
      </c>
      <c r="F73" s="47" t="str">
        <f>Table132[[#This Row],[Symbol]]</f>
        <v>Semiconductor</v>
      </c>
      <c r="G73" s="50">
        <f>SUM(H32:H33)/(G67*C24)</f>
        <v>7.7600815027867254E-2</v>
      </c>
      <c r="H73" s="46"/>
      <c r="I73" s="91"/>
      <c r="J73" s="67"/>
      <c r="K73" s="81"/>
      <c r="L73"/>
      <c r="M73"/>
      <c r="N73"/>
      <c r="O73"/>
      <c r="P73"/>
      <c r="Q73"/>
    </row>
    <row r="74" spans="1:17" ht="15.75" customHeight="1" x14ac:dyDescent="0.25">
      <c r="A74" s="44" t="s">
        <v>86</v>
      </c>
      <c r="B74" s="44"/>
      <c r="C74" s="45"/>
      <c r="D74" s="47" t="str">
        <f>Table132[[#This Row],[Symbol]]</f>
        <v>Russell</v>
      </c>
      <c r="E74" s="50">
        <f>ROUND(SUM(G34:G35)/100, 3)</f>
        <v>0.13</v>
      </c>
      <c r="F74" s="47" t="str">
        <f>Table132[[#This Row],[Symbol]]</f>
        <v>Russell</v>
      </c>
      <c r="G74" s="50">
        <f>SUM(H34:H35)/(G67*C24)</f>
        <v>0.12996031069204275</v>
      </c>
      <c r="H74" s="46"/>
      <c r="I74" s="91"/>
      <c r="J74" s="67"/>
      <c r="K74" s="81"/>
      <c r="L74"/>
      <c r="M74"/>
      <c r="N74"/>
      <c r="O74"/>
      <c r="P74"/>
      <c r="Q74"/>
    </row>
    <row r="75" spans="1:17" ht="15.75" customHeight="1" x14ac:dyDescent="0.25">
      <c r="A75" s="44" t="s">
        <v>43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1"/>
      <c r="J75" s="67"/>
      <c r="K75" s="81"/>
      <c r="L75"/>
      <c r="M75"/>
      <c r="N75"/>
      <c r="O75"/>
      <c r="P75"/>
      <c r="Q75"/>
    </row>
    <row r="76" spans="1:17" ht="15.75" customHeight="1" x14ac:dyDescent="0.25">
      <c r="A76" s="44" t="s">
        <v>44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0">
        <f>SUM(0)/(G67*C24)</f>
        <v>0</v>
      </c>
      <c r="H76" s="46"/>
      <c r="I76" s="51"/>
      <c r="J76" s="67"/>
      <c r="K76" s="81"/>
      <c r="L76"/>
      <c r="M76"/>
      <c r="N76"/>
      <c r="O76"/>
      <c r="P76"/>
      <c r="Q76"/>
    </row>
    <row r="77" spans="1:17" ht="14.25" customHeight="1" x14ac:dyDescent="0.25">
      <c r="A77" s="44" t="s">
        <v>47</v>
      </c>
      <c r="B77" s="44"/>
      <c r="C77" s="45"/>
      <c r="D77" s="47" t="str">
        <f>Table132[[#This Row],[Symbol]]</f>
        <v>Int Stocks</v>
      </c>
      <c r="E77" s="34">
        <f>ROUND(SUM(G36:G52)/100, 3)</f>
        <v>0.19800000000000001</v>
      </c>
      <c r="F77" s="47" t="str">
        <f>Table132[[#This Row],[Symbol]]</f>
        <v>Int Stocks</v>
      </c>
      <c r="G77" s="34">
        <f>SUM(H36:H52)/(G67*C24)</f>
        <v>0.19794418866592134</v>
      </c>
      <c r="H77" s="46"/>
      <c r="I77" s="46"/>
      <c r="J77" s="69"/>
      <c r="K77" s="83"/>
      <c r="L77"/>
      <c r="M77"/>
      <c r="N77"/>
      <c r="O77"/>
      <c r="P77"/>
      <c r="Q77"/>
    </row>
    <row r="78" spans="1:17" ht="14.25" customHeight="1" x14ac:dyDescent="0.25">
      <c r="A78" s="44" t="s">
        <v>58</v>
      </c>
      <c r="B78" s="44"/>
      <c r="C78" s="45"/>
      <c r="D78" s="47" t="str">
        <f>Table132[[#This Row],[Symbol]]</f>
        <v>JP Stocks</v>
      </c>
      <c r="E78" s="34">
        <f>ROUND(SUM(G53:G53)/100, 3)</f>
        <v>2.4E-2</v>
      </c>
      <c r="F78" s="47" t="str">
        <f>Table132[[#This Row],[Symbol]]</f>
        <v>JP Stocks</v>
      </c>
      <c r="G78" s="34">
        <f>SUM(H53:H53)/(G67*C24)</f>
        <v>2.3843513175395199E-2</v>
      </c>
      <c r="H78" s="46"/>
      <c r="I78" s="61"/>
      <c r="J78" s="65"/>
      <c r="K78" s="79"/>
      <c r="L78"/>
      <c r="M78"/>
      <c r="N78"/>
      <c r="O78"/>
      <c r="P78"/>
      <c r="Q78"/>
    </row>
    <row r="79" spans="1:17" ht="15.75" customHeight="1" x14ac:dyDescent="0.25">
      <c r="A79" s="44" t="s">
        <v>66</v>
      </c>
      <c r="B79" s="44"/>
      <c r="C79" s="45"/>
      <c r="D79" s="47" t="str">
        <f>Table132[[#This Row],[Symbol]]</f>
        <v>Nasdaq</v>
      </c>
      <c r="E79" s="50">
        <f>ROUND(SUM(G54)/100, 3)</f>
        <v>0.122</v>
      </c>
      <c r="F79" s="47" t="str">
        <f>Table132[[#This Row],[Symbol]]</f>
        <v>Nasdaq</v>
      </c>
      <c r="G79" s="34">
        <f>SUM(H54)/(G67*C24)</f>
        <v>0.12204711481700144</v>
      </c>
      <c r="H79" s="46"/>
      <c r="I79" s="27"/>
      <c r="J79" s="65"/>
      <c r="K79" s="79"/>
      <c r="L79"/>
      <c r="M79"/>
      <c r="N79"/>
      <c r="O79"/>
      <c r="P79"/>
      <c r="Q79"/>
    </row>
    <row r="80" spans="1:17" ht="15.75" customHeight="1" x14ac:dyDescent="0.25">
      <c r="A80" s="57" t="s">
        <v>49</v>
      </c>
      <c r="B80" s="44"/>
      <c r="C80" s="45"/>
      <c r="D80" s="47" t="str">
        <f>Table132[[#This Row],[Symbol]]</f>
        <v>Regional Bank</v>
      </c>
      <c r="E80" s="50">
        <f>ROUND(SUM(0)/100, 3)</f>
        <v>0</v>
      </c>
      <c r="F80" s="47" t="str">
        <f>Table132[[#This Row],[Symbol]]</f>
        <v>Regional Bank</v>
      </c>
      <c r="G80" s="50">
        <f>SUM(0)/(G67*C24)</f>
        <v>0</v>
      </c>
      <c r="H80" s="46"/>
      <c r="I80" s="27"/>
      <c r="J80" s="68"/>
      <c r="K80" s="82"/>
      <c r="L80"/>
      <c r="M80"/>
      <c r="N80"/>
      <c r="O80"/>
      <c r="P80"/>
      <c r="Q80"/>
    </row>
    <row r="81" spans="1:17" ht="15.75" customHeight="1" x14ac:dyDescent="0.25">
      <c r="A81" s="44" t="s">
        <v>50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8"/>
      <c r="J81" s="65"/>
      <c r="K81" s="79"/>
      <c r="L81"/>
      <c r="M81"/>
      <c r="N81"/>
      <c r="O81"/>
      <c r="P81"/>
      <c r="Q81"/>
    </row>
    <row r="82" spans="1:17" ht="14.25" customHeight="1" x14ac:dyDescent="0.25">
      <c r="A82" s="34" t="s">
        <v>26</v>
      </c>
      <c r="B82" s="44"/>
      <c r="C82" s="45"/>
      <c r="D82" s="47" t="str">
        <f>Table132[[#This Row],[Symbol]]</f>
        <v>Bonds</v>
      </c>
      <c r="E82" s="34">
        <f>ROUND((SUM(G57:G62))/100, 3)</f>
        <v>6.6000000000000003E-2</v>
      </c>
      <c r="F82" s="47" t="str">
        <f>Table132[[#This Row],[Symbol]]</f>
        <v>Bonds</v>
      </c>
      <c r="G82" s="34">
        <f>(SUM(H57:H62))/(G67*C24)</f>
        <v>6.6408570055777619E-2</v>
      </c>
      <c r="H82" s="46"/>
      <c r="I82" s="27"/>
      <c r="J82" s="70"/>
      <c r="K82" s="84"/>
      <c r="L82"/>
      <c r="M82"/>
      <c r="N82"/>
      <c r="O82"/>
      <c r="P82"/>
      <c r="Q82"/>
    </row>
    <row r="83" spans="1:17" ht="14.25" customHeight="1" x14ac:dyDescent="0.25">
      <c r="A83" s="44" t="s">
        <v>54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59"/>
      <c r="J83" s="71"/>
      <c r="K83" s="78"/>
      <c r="L83"/>
      <c r="M83"/>
      <c r="N83"/>
      <c r="O83"/>
      <c r="P83"/>
      <c r="Q83"/>
    </row>
    <row r="84" spans="1:17" ht="14.25" customHeight="1" x14ac:dyDescent="0.25">
      <c r="A84" s="44" t="s">
        <v>35</v>
      </c>
      <c r="B84" s="34"/>
      <c r="C84" s="34"/>
      <c r="D84" s="47" t="str">
        <f>Table132[[#This Row],[Symbol]]</f>
        <v>Gold</v>
      </c>
      <c r="E84" s="34">
        <f>ROUND(SUM(G63:G64)/100,3)</f>
        <v>5.1999999999999998E-2</v>
      </c>
      <c r="F84" s="47" t="str">
        <f>Table132[[#This Row],[Symbol]]</f>
        <v>Gold</v>
      </c>
      <c r="G84" s="34">
        <f>SUM(H63:H64)/(G67*C24)</f>
        <v>5.1686074856083279E-2</v>
      </c>
      <c r="H84" s="34"/>
      <c r="I84" s="28"/>
      <c r="J84" s="72"/>
      <c r="K84" s="85"/>
      <c r="L84"/>
      <c r="M84"/>
      <c r="N84"/>
      <c r="O84"/>
      <c r="P84"/>
      <c r="Q84"/>
    </row>
    <row r="85" spans="1:17" ht="15" customHeight="1" x14ac:dyDescent="0.25">
      <c r="A85" s="34" t="s">
        <v>27</v>
      </c>
      <c r="B85" s="34"/>
      <c r="C85" s="34"/>
      <c r="D85" s="47" t="str">
        <f>Table132[[#This Row],[Symbol]]</f>
        <v>Commodities</v>
      </c>
      <c r="E85" s="34">
        <f>ROUND(SUM(G55:G56)/100,3)</f>
        <v>8.9999999999999993E-3</v>
      </c>
      <c r="F85" s="47" t="str">
        <f>Table132[[#This Row],[Symbol]]</f>
        <v>Commodities</v>
      </c>
      <c r="G85" s="50">
        <f>SUM(H55:H56)/(G67*C24)</f>
        <v>9.3666027247311188E-3</v>
      </c>
      <c r="H85" s="34"/>
      <c r="I85" s="29"/>
      <c r="J85" s="73"/>
      <c r="K85" s="86"/>
      <c r="L85"/>
      <c r="M85"/>
      <c r="N85"/>
      <c r="O85"/>
      <c r="P85"/>
      <c r="Q85"/>
    </row>
    <row r="86" spans="1:17" ht="14.25" customHeight="1" x14ac:dyDescent="0.25">
      <c r="A86" s="44" t="s">
        <v>34</v>
      </c>
      <c r="B86" s="44"/>
      <c r="C86" s="45"/>
      <c r="D86" s="47" t="str">
        <f>Table132[[#This Row],[Symbol]]</f>
        <v>Crypto</v>
      </c>
      <c r="E86" s="50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49"/>
      <c r="J86" s="65"/>
      <c r="K86" s="79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0.15699999999999992</v>
      </c>
      <c r="F87" s="47" t="str">
        <f>Table132[[#This Row],[Symbol]]</f>
        <v>Cash</v>
      </c>
      <c r="G87" s="50">
        <f>1-SUM(G68:G86)</f>
        <v>0.15681393577722158</v>
      </c>
      <c r="H87" s="34"/>
      <c r="I87" s="27"/>
      <c r="J87" s="74"/>
      <c r="K87" s="87"/>
      <c r="L87"/>
      <c r="M87"/>
      <c r="N87"/>
      <c r="O87"/>
      <c r="P87"/>
      <c r="Q87"/>
    </row>
    <row r="88" spans="1:17" x14ac:dyDescent="0.25">
      <c r="A88" s="25" t="s">
        <v>28</v>
      </c>
      <c r="B88" s="25"/>
      <c r="C88" s="32"/>
      <c r="D88" s="31"/>
      <c r="E88" s="39">
        <f>C24*E87</f>
        <v>8897143.3709999956</v>
      </c>
      <c r="F88" s="31"/>
      <c r="G88" s="39">
        <f>C24*G87</f>
        <v>8886599.166756222</v>
      </c>
      <c r="H88" s="39"/>
      <c r="I88" s="30"/>
      <c r="J88" s="65"/>
      <c r="K88" s="79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5"/>
      <c r="K89" s="79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5"/>
      <c r="K90" s="79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5"/>
      <c r="K91" s="88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95</v>
      </c>
      <c r="D93" s="1"/>
      <c r="E93" s="5" t="s">
        <v>95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6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2025-08-04T09:50:30Z</cp:lastPrinted>
  <dcterms:created xsi:type="dcterms:W3CDTF">2020-06-30T03:42:56Z</dcterms:created>
  <dcterms:modified xsi:type="dcterms:W3CDTF">2025-08-04T09:50:32Z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