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6CC5001B-D941-4F85-B614-B1538ECD6DCC}" xr6:coauthVersionLast="47" xr6:coauthVersionMax="47" xr10:uidLastSave="{00000000-0000-0000-0000-000000000000}"/>
  <bookViews>
    <workbookView xWindow="-120" yWindow="-120" windowWidth="29040" windowHeight="15720" tabRatio="719" activeTab="4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69" i="3" l="1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41" i="8"/>
  <c r="A650" i="18"/>
  <c r="E5" i="16"/>
  <c r="G9" i="16" a="1"/>
  <c r="G9" i="16"/>
  <c r="G6" i="16" a="1"/>
  <c r="G6" i="16"/>
  <c r="G8" i="16" a="1"/>
  <c r="G8" i="16"/>
  <c r="G7" i="16" a="1"/>
  <c r="G7" i="16"/>
  <c r="G10" i="16" a="1"/>
  <c r="G10" i="16"/>
  <c r="F6" i="16" a="1"/>
  <c r="F6" i="16"/>
  <c r="F7" i="16" a="1"/>
  <c r="F7" i="16"/>
  <c r="F9" i="16" a="1"/>
  <c r="F9" i="16"/>
  <c r="F8" i="16" a="1"/>
  <c r="F8" i="16"/>
  <c r="F10" i="16" a="1"/>
  <c r="F10" i="16"/>
  <c r="E8" i="16" a="1"/>
  <c r="E8" i="16"/>
  <c r="E9" i="16" a="1"/>
  <c r="E9" i="16"/>
  <c r="E6" i="16" a="1"/>
  <c r="E6" i="16"/>
  <c r="E10" i="16" a="1"/>
  <c r="E10" i="16"/>
  <c r="H9" i="16" a="1"/>
  <c r="H9" i="16"/>
  <c r="E7" i="16" a="1"/>
  <c r="E7" i="16"/>
  <c r="H7" i="16" a="1"/>
  <c r="H7" i="16"/>
  <c r="H6" i="16" a="1"/>
  <c r="H6" i="16"/>
  <c r="H8" i="16" a="1"/>
  <c r="H8" i="16"/>
  <c r="H10" i="16" a="1"/>
  <c r="H10" i="16"/>
  <c r="D7" i="16" a="1"/>
  <c r="D7" i="16"/>
  <c r="D10" i="16" a="1"/>
  <c r="D10" i="16"/>
  <c r="D6" i="16" a="1"/>
  <c r="D6" i="16"/>
  <c r="D9" i="16" a="1"/>
  <c r="D9" i="16"/>
  <c r="D8" i="16" a="1"/>
  <c r="D8" i="16"/>
  <c r="J50" i="8"/>
  <c r="J33" i="8"/>
  <c r="T10" i="16"/>
  <c r="B34" i="8"/>
  <c r="C34" i="8"/>
  <c r="D34" i="8"/>
  <c r="E34" i="8"/>
  <c r="F34" i="8"/>
  <c r="G34" i="8"/>
  <c r="H34" i="8"/>
  <c r="I34" i="8"/>
  <c r="B35" i="8"/>
  <c r="C35" i="8"/>
  <c r="D35" i="8"/>
  <c r="E35" i="8"/>
  <c r="F35" i="8"/>
  <c r="G35" i="8"/>
  <c r="H35" i="8"/>
  <c r="I35" i="8"/>
  <c r="B36" i="8"/>
  <c r="C36" i="8"/>
  <c r="D36" i="8"/>
  <c r="E36" i="8"/>
  <c r="F36" i="8"/>
  <c r="G36" i="8"/>
  <c r="H36" i="8"/>
  <c r="I36" i="8"/>
  <c r="B37" i="8"/>
  <c r="C37" i="8"/>
  <c r="D37" i="8"/>
  <c r="E37" i="8"/>
  <c r="F37" i="8"/>
  <c r="G37" i="8"/>
  <c r="H37" i="8"/>
  <c r="I37" i="8"/>
  <c r="B38" i="8"/>
  <c r="C38" i="8"/>
  <c r="D38" i="8"/>
  <c r="E38" i="8"/>
  <c r="F38" i="8"/>
  <c r="G38" i="8"/>
  <c r="H38" i="8"/>
  <c r="I38" i="8"/>
  <c r="B39" i="8"/>
  <c r="C39" i="8"/>
  <c r="D39" i="8"/>
  <c r="E39" i="8"/>
  <c r="F39" i="8"/>
  <c r="G39" i="8"/>
  <c r="H39" i="8"/>
  <c r="I39" i="8"/>
  <c r="B40" i="8"/>
  <c r="C40" i="8"/>
  <c r="D40" i="8"/>
  <c r="E40" i="8"/>
  <c r="F40" i="8"/>
  <c r="G40" i="8"/>
  <c r="H40" i="8"/>
  <c r="I40" i="8"/>
  <c r="B41" i="8"/>
  <c r="C41" i="8"/>
  <c r="D41" i="8"/>
  <c r="E41" i="8"/>
  <c r="F41" i="8"/>
  <c r="H41" i="8"/>
  <c r="I41" i="8"/>
  <c r="B42" i="8"/>
  <c r="C42" i="8"/>
  <c r="D42" i="8"/>
  <c r="E42" i="8"/>
  <c r="F42" i="8"/>
  <c r="G42" i="8"/>
  <c r="H42" i="8"/>
  <c r="I42" i="8"/>
  <c r="B43" i="8"/>
  <c r="C43" i="8"/>
  <c r="D43" i="8"/>
  <c r="E43" i="8"/>
  <c r="F43" i="8"/>
  <c r="G43" i="8"/>
  <c r="H43" i="8"/>
  <c r="I43" i="8"/>
  <c r="B44" i="8"/>
  <c r="C44" i="8"/>
  <c r="D44" i="8"/>
  <c r="E44" i="8"/>
  <c r="F44" i="8"/>
  <c r="G44" i="8"/>
  <c r="H44" i="8"/>
  <c r="I44" i="8"/>
  <c r="I33" i="8"/>
  <c r="I50" i="8" s="1"/>
  <c r="H33" i="8"/>
  <c r="H50" i="8" s="1"/>
  <c r="G33" i="8"/>
  <c r="G50" i="8" s="1"/>
  <c r="F33" i="8"/>
  <c r="F50" i="8" s="1"/>
  <c r="E33" i="8"/>
  <c r="E50" i="8" s="1"/>
  <c r="D33" i="8"/>
  <c r="D50" i="8" s="1"/>
  <c r="C33" i="8"/>
  <c r="C50" i="8" s="1"/>
  <c r="B33" i="8"/>
  <c r="B50" i="8" s="1"/>
  <c r="K40" i="8" l="1"/>
  <c r="K38" i="8"/>
  <c r="K33" i="8"/>
  <c r="K43" i="8"/>
  <c r="K41" i="8"/>
  <c r="K39" i="8"/>
  <c r="K37" i="8"/>
  <c r="K44" i="8"/>
  <c r="K42" i="8"/>
  <c r="K36" i="8"/>
  <c r="K35" i="8"/>
  <c r="K34" i="8"/>
  <c r="K50" i="8" l="1"/>
  <c r="L33" i="8"/>
  <c r="P1169" i="3" l="1"/>
  <c r="O1169" i="3"/>
  <c r="X1169" i="3"/>
  <c r="U1169" i="3"/>
  <c r="V1169" i="3" s="1"/>
  <c r="S1169" i="3"/>
  <c r="T1169" i="3" s="1"/>
  <c r="Q1169" i="3"/>
  <c r="R1169" i="3" s="1"/>
  <c r="F1169" i="3"/>
  <c r="E1169" i="3"/>
  <c r="D1169" i="3"/>
  <c r="J1169" i="3" l="1"/>
  <c r="H1169" i="3" s="1"/>
  <c r="AC1169" i="3"/>
  <c r="Y1169" i="3"/>
  <c r="L1169" i="3"/>
  <c r="N1169" i="3" s="1"/>
  <c r="K1169" i="3"/>
  <c r="I1169" i="3" s="1"/>
  <c r="AD1169" i="3"/>
  <c r="AE1169" i="3"/>
  <c r="W1169" i="3" l="1"/>
  <c r="Z1169" i="3"/>
  <c r="AA1169" i="3" s="1"/>
  <c r="K9" i="16"/>
  <c r="L9" i="16" a="1"/>
  <c r="L9" i="16" l="1"/>
  <c r="K8" i="16"/>
  <c r="I9" i="16" a="1"/>
  <c r="I9" i="16"/>
  <c r="J9" i="16" a="1"/>
  <c r="J9" i="16"/>
  <c r="K7" i="16"/>
  <c r="I7" i="16" a="1"/>
  <c r="I7" i="16"/>
  <c r="L7" i="16" a="1"/>
  <c r="L7" i="16"/>
  <c r="J8" i="16" a="1"/>
  <c r="J8" i="16"/>
  <c r="I8" i="16" a="1"/>
  <c r="I8" i="16"/>
  <c r="L8" i="16" a="1"/>
  <c r="L8" i="16"/>
  <c r="J7" i="16" a="1"/>
  <c r="J7" i="16"/>
  <c r="H22" i="4"/>
  <c r="F23" i="4"/>
  <c r="F22" i="4"/>
  <c r="D22" i="4"/>
  <c r="H23" i="4"/>
  <c r="E22" i="4"/>
  <c r="D23" i="4"/>
  <c r="E23" i="4"/>
  <c r="K6" i="16"/>
  <c r="K10" i="16"/>
  <c r="C22" i="4"/>
  <c r="G22" i="4"/>
  <c r="L10" i="16" a="1"/>
  <c r="L10" i="16"/>
  <c r="I6" i="16"/>
  <c r="J6" i="16"/>
  <c r="J10" i="16" a="1"/>
  <c r="J10" i="16"/>
  <c r="G23" i="4"/>
  <c r="C23" i="4"/>
  <c r="I10" i="16"/>
  <c r="L6" i="16" a="1"/>
  <c r="L6" i="16"/>
  <c r="C24" i="4"/>
  <c r="X1167" i="14"/>
  <c r="E1167" i="14"/>
  <c r="D1167" i="14"/>
  <c r="C1167" i="14"/>
  <c r="B1167" i="14"/>
  <c r="F1167" i="14" s="1"/>
  <c r="A1167" i="14"/>
  <c r="L177" i="13"/>
  <c r="A177" i="13"/>
  <c r="J19" i="16" l="1"/>
  <c r="E17" i="16"/>
  <c r="T16" i="16"/>
  <c r="T12" i="16"/>
  <c r="F16" i="16" l="1"/>
  <c r="F17" i="16"/>
  <c r="G16" i="16" l="1"/>
  <c r="G17" i="16"/>
  <c r="U8" i="16"/>
  <c r="H16" i="16" l="1"/>
  <c r="H17" i="16"/>
  <c r="U7" i="16"/>
  <c r="U6" i="16" l="1"/>
  <c r="U5" i="16" l="1"/>
  <c r="J5" i="16"/>
  <c r="H5" i="16"/>
  <c r="G5" i="16"/>
  <c r="F5" i="16"/>
  <c r="D5" i="16"/>
  <c r="T4" i="16"/>
  <c r="O5" i="16" s="1"/>
  <c r="Q5" i="16" s="1"/>
  <c r="P4" i="16"/>
  <c r="G4" i="16"/>
  <c r="F4" i="16"/>
  <c r="E4" i="16"/>
  <c r="T3" i="16"/>
  <c r="P9" i="16" l="1"/>
  <c r="K5" i="16"/>
  <c r="L5" i="16"/>
  <c r="T8" i="16"/>
  <c r="T7" i="16"/>
  <c r="T6" i="16"/>
  <c r="T5" i="16"/>
  <c r="T9" i="16" s="1"/>
  <c r="U9" i="16" s="1"/>
  <c r="O4" i="16"/>
  <c r="P6" i="16" s="1"/>
  <c r="P8" i="16"/>
  <c r="X1166" i="14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L1168" i="3" l="1"/>
  <c r="O7" i="16"/>
  <c r="Q7" i="16" s="1"/>
  <c r="P10" i="16"/>
  <c r="O6" i="16"/>
  <c r="Q6" i="16" s="1"/>
  <c r="Q4" i="16"/>
  <c r="T13" i="16"/>
  <c r="T17" i="16" s="1"/>
  <c r="T18" i="16" s="1"/>
  <c r="F1166" i="14"/>
  <c r="H1167" i="14" s="1"/>
  <c r="I1167" i="14" s="1"/>
  <c r="F1165" i="14"/>
  <c r="H1166" i="14" s="1"/>
  <c r="I1166" i="14" s="1"/>
  <c r="L1167" i="14" l="1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X1164" i="14" l="1"/>
  <c r="E1164" i="14"/>
  <c r="D1164" i="14"/>
  <c r="C1164" i="14"/>
  <c r="B1164" i="14"/>
  <c r="A1164" i="14"/>
  <c r="L174" i="13"/>
  <c r="A174" i="13"/>
  <c r="X1166" i="3"/>
  <c r="D1166" i="3"/>
  <c r="F1167" i="3" s="1"/>
  <c r="F1164" i="14" l="1"/>
  <c r="H1165" i="14" s="1"/>
  <c r="I1165" i="14" s="1"/>
  <c r="L1165" i="14" l="1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F1163" i="14" l="1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A649" i="18"/>
  <c r="H1162" i="14" l="1"/>
  <c r="I1162" i="14" s="1"/>
  <c r="L1162" i="14" s="1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Y1161" i="14" l="1"/>
  <c r="Z1161" i="14" s="1"/>
  <c r="AA1161" i="14" s="1"/>
  <c r="L1161" i="14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F1158" i="14" l="1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X1156" i="14"/>
  <c r="E1156" i="14"/>
  <c r="D1156" i="14"/>
  <c r="C1156" i="14"/>
  <c r="B1156" i="14"/>
  <c r="A1156" i="14"/>
  <c r="L165" i="13"/>
  <c r="A165" i="13"/>
  <c r="X1158" i="3"/>
  <c r="D1158" i="3"/>
  <c r="F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F1155" i="14" l="1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X1152" i="14"/>
  <c r="E1152" i="14"/>
  <c r="D1152" i="14"/>
  <c r="C1152" i="14"/>
  <c r="B1152" i="14"/>
  <c r="A1152" i="14"/>
  <c r="L161" i="13"/>
  <c r="A161" i="13"/>
  <c r="X1154" i="3"/>
  <c r="D1154" i="3"/>
  <c r="F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K1147" i="3" s="1"/>
  <c r="I1147" i="3" s="1"/>
  <c r="X1143" i="14"/>
  <c r="E1143" i="14"/>
  <c r="D1143" i="14"/>
  <c r="C1143" i="14"/>
  <c r="B1143" i="14"/>
  <c r="A1143" i="14"/>
  <c r="L152" i="13"/>
  <c r="A152" i="13"/>
  <c r="I1152" i="3" l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H1144" i="14" s="1"/>
  <c r="I1144" i="14" s="1"/>
  <c r="X1145" i="3"/>
  <c r="D1145" i="3"/>
  <c r="F1146" i="3" s="1"/>
  <c r="X1142" i="14"/>
  <c r="E1142" i="14"/>
  <c r="D1142" i="14"/>
  <c r="C1142" i="14"/>
  <c r="B1142" i="14"/>
  <c r="A1142" i="14"/>
  <c r="L151" i="13"/>
  <c r="A151" i="13"/>
  <c r="X1144" i="3"/>
  <c r="D1144" i="3"/>
  <c r="F1145" i="3" s="1"/>
  <c r="X1141" i="14"/>
  <c r="E1141" i="14"/>
  <c r="D1141" i="14"/>
  <c r="C1141" i="14"/>
  <c r="B1141" i="14"/>
  <c r="A1141" i="14"/>
  <c r="L150" i="13"/>
  <c r="A150" i="13"/>
  <c r="X1143" i="3"/>
  <c r="D1143" i="3"/>
  <c r="F1144" i="3" s="1"/>
  <c r="X1142" i="3"/>
  <c r="D1142" i="3"/>
  <c r="F1143" i="3" s="1"/>
  <c r="I1154" i="3" l="1"/>
  <c r="I1155" i="3" s="1"/>
  <c r="L1152" i="14"/>
  <c r="Y1152" i="14"/>
  <c r="Z1152" i="14" s="1"/>
  <c r="AA1152" i="14" s="1"/>
  <c r="J1147" i="14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J1148" i="14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H1143" i="14" s="1"/>
  <c r="I1143" i="14" s="1"/>
  <c r="L1144" i="3"/>
  <c r="Y1144" i="3"/>
  <c r="Z1144" i="3" s="1"/>
  <c r="AA1144" i="3" s="1"/>
  <c r="F1141" i="14"/>
  <c r="H1142" i="14" s="1"/>
  <c r="I1142" i="14" s="1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F1142" i="3" s="1"/>
  <c r="X1139" i="14"/>
  <c r="E1139" i="14"/>
  <c r="D1139" i="14"/>
  <c r="C1139" i="14"/>
  <c r="B1139" i="14"/>
  <c r="A1139" i="14"/>
  <c r="L148" i="13"/>
  <c r="A148" i="13"/>
  <c r="X1140" i="3"/>
  <c r="D1140" i="3"/>
  <c r="F1141" i="3" s="1"/>
  <c r="X1138" i="14"/>
  <c r="E1138" i="14"/>
  <c r="D1138" i="14"/>
  <c r="C1138" i="14"/>
  <c r="B1138" i="14"/>
  <c r="A1138" i="14"/>
  <c r="L147" i="13"/>
  <c r="A147" i="13"/>
  <c r="X1139" i="3"/>
  <c r="D1139" i="3"/>
  <c r="F1140" i="3" s="1"/>
  <c r="X1137" i="14"/>
  <c r="E1137" i="14"/>
  <c r="D1137" i="14"/>
  <c r="C1137" i="14"/>
  <c r="B1137" i="14"/>
  <c r="A1137" i="14"/>
  <c r="L146" i="13"/>
  <c r="A146" i="13"/>
  <c r="X1138" i="3"/>
  <c r="D1138" i="3"/>
  <c r="F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F1138" i="3" l="1"/>
  <c r="Q1168" i="3"/>
  <c r="R1168" i="3" s="1"/>
  <c r="F1137" i="3"/>
  <c r="Q1167" i="3"/>
  <c r="R1167" i="3" s="1"/>
  <c r="F1136" i="3"/>
  <c r="Q1166" i="3"/>
  <c r="R1166" i="3" s="1"/>
  <c r="F1135" i="3"/>
  <c r="L1135" i="3" s="1"/>
  <c r="Q1165" i="3"/>
  <c r="R1165" i="3" s="1"/>
  <c r="F1134" i="3"/>
  <c r="Y1134" i="3" s="1"/>
  <c r="Z1134" i="3" s="1"/>
  <c r="AA1134" i="3" s="1"/>
  <c r="Q1164" i="3"/>
  <c r="R1164" i="3" s="1"/>
  <c r="F1133" i="3"/>
  <c r="L1133" i="3" s="1"/>
  <c r="Q1163" i="3"/>
  <c r="R1163" i="3" s="1"/>
  <c r="F1132" i="3"/>
  <c r="H1132" i="3" s="1"/>
  <c r="H1133" i="3" s="1"/>
  <c r="H1134" i="3" s="1"/>
  <c r="H1135" i="3" s="1"/>
  <c r="H1136" i="3" s="1"/>
  <c r="Q1162" i="3"/>
  <c r="R1162" i="3" s="1"/>
  <c r="F1131" i="3"/>
  <c r="Q1161" i="3"/>
  <c r="R1161" i="3" s="1"/>
  <c r="F1130" i="3"/>
  <c r="L1130" i="3" s="1"/>
  <c r="Q1160" i="3"/>
  <c r="R1160" i="3" s="1"/>
  <c r="F1129" i="3"/>
  <c r="Y1129" i="3" s="1"/>
  <c r="Z1129" i="3" s="1"/>
  <c r="AA1129" i="3" s="1"/>
  <c r="Q1159" i="3"/>
  <c r="R1159" i="3" s="1"/>
  <c r="F1128" i="3"/>
  <c r="L1128" i="3" s="1"/>
  <c r="Q1158" i="3"/>
  <c r="R1158" i="3" s="1"/>
  <c r="F1127" i="3"/>
  <c r="H1127" i="3" s="1"/>
  <c r="Q1157" i="3"/>
  <c r="R1157" i="3" s="1"/>
  <c r="F1126" i="3"/>
  <c r="L1126" i="3" s="1"/>
  <c r="Q1156" i="3"/>
  <c r="R1156" i="3" s="1"/>
  <c r="I1156" i="3"/>
  <c r="I1157" i="3" s="1"/>
  <c r="F1125" i="3"/>
  <c r="Y1125" i="3" s="1"/>
  <c r="Z1125" i="3" s="1"/>
  <c r="AA1125" i="3" s="1"/>
  <c r="Q1155" i="3"/>
  <c r="R1155" i="3" s="1"/>
  <c r="H1137" i="3"/>
  <c r="H1138" i="3" s="1"/>
  <c r="H1139" i="3" s="1"/>
  <c r="H1140" i="3" s="1"/>
  <c r="H1141" i="3" s="1"/>
  <c r="Y1142" i="3"/>
  <c r="Z1142" i="3" s="1"/>
  <c r="AA1142" i="3" s="1"/>
  <c r="H1142" i="3"/>
  <c r="H1143" i="3" s="1"/>
  <c r="H1144" i="3" s="1"/>
  <c r="H1145" i="3" s="1"/>
  <c r="H1146" i="3" s="1"/>
  <c r="F1124" i="3"/>
  <c r="L1124" i="3" s="1"/>
  <c r="Q1154" i="3"/>
  <c r="R1154" i="3" s="1"/>
  <c r="F1123" i="3"/>
  <c r="Y1123" i="3" s="1"/>
  <c r="Z1123" i="3" s="1"/>
  <c r="AA1123" i="3" s="1"/>
  <c r="Q1153" i="3"/>
  <c r="R1153" i="3" s="1"/>
  <c r="F1122" i="3"/>
  <c r="Q1152" i="3"/>
  <c r="R1152" i="3" s="1"/>
  <c r="F1121" i="3"/>
  <c r="Q1151" i="3"/>
  <c r="R1151" i="3" s="1"/>
  <c r="F1120" i="3"/>
  <c r="Y1120" i="3" s="1"/>
  <c r="Q1150" i="3"/>
  <c r="R1150" i="3" s="1"/>
  <c r="F1119" i="3"/>
  <c r="L1119" i="3" s="1"/>
  <c r="Q1149" i="3"/>
  <c r="R1149" i="3" s="1"/>
  <c r="F1118" i="3"/>
  <c r="Q1148" i="3"/>
  <c r="R1148" i="3" s="1"/>
  <c r="F1117" i="3"/>
  <c r="Q1147" i="3"/>
  <c r="R1147" i="3" s="1"/>
  <c r="F1116" i="3"/>
  <c r="L1116" i="3" s="1"/>
  <c r="Q1146" i="3"/>
  <c r="R1146" i="3" s="1"/>
  <c r="L1143" i="14"/>
  <c r="Y1143" i="14"/>
  <c r="Z1143" i="14" s="1"/>
  <c r="AA1143" i="14" s="1"/>
  <c r="F1115" i="3"/>
  <c r="Q1145" i="3"/>
  <c r="R1145" i="3" s="1"/>
  <c r="Y1142" i="14"/>
  <c r="Z1142" i="14" s="1"/>
  <c r="AA1142" i="14" s="1"/>
  <c r="L1142" i="14"/>
  <c r="F1114" i="3"/>
  <c r="Q1144" i="3"/>
  <c r="R1144" i="3" s="1"/>
  <c r="F1112" i="3"/>
  <c r="Q1142" i="3"/>
  <c r="R1142" i="3" s="1"/>
  <c r="F1113" i="3"/>
  <c r="Q1143" i="3"/>
  <c r="R1143" i="3" s="1"/>
  <c r="F1140" i="14"/>
  <c r="H1141" i="14" s="1"/>
  <c r="I1141" i="14" s="1"/>
  <c r="L1141" i="3"/>
  <c r="Y1141" i="3"/>
  <c r="Z1141" i="3" s="1"/>
  <c r="AA1141" i="3" s="1"/>
  <c r="F1139" i="14"/>
  <c r="H1140" i="14" s="1"/>
  <c r="I1140" i="14" s="1"/>
  <c r="L1140" i="3"/>
  <c r="Y1140" i="3"/>
  <c r="Z1140" i="3" s="1"/>
  <c r="AA1140" i="3" s="1"/>
  <c r="F1138" i="14"/>
  <c r="H1139" i="14" s="1"/>
  <c r="I1139" i="14" s="1"/>
  <c r="L1139" i="3"/>
  <c r="Y1139" i="3"/>
  <c r="Z1139" i="3" s="1"/>
  <c r="AA1139" i="3" s="1"/>
  <c r="F1137" i="14"/>
  <c r="H1138" i="14" s="1"/>
  <c r="I1138" i="14" s="1"/>
  <c r="L1138" i="3"/>
  <c r="Y1138" i="3"/>
  <c r="Z1138" i="3" s="1"/>
  <c r="AA1138" i="3" s="1"/>
  <c r="F1136" i="14"/>
  <c r="F1135" i="14"/>
  <c r="H1135" i="14"/>
  <c r="I1135" i="14" s="1"/>
  <c r="L1136" i="3"/>
  <c r="Y1136" i="3"/>
  <c r="Z1136" i="3" s="1"/>
  <c r="AA1136" i="3" s="1"/>
  <c r="H1132" i="14"/>
  <c r="I1132" i="14" s="1"/>
  <c r="F1133" i="14"/>
  <c r="F1132" i="14"/>
  <c r="F1130" i="14"/>
  <c r="F1129" i="14"/>
  <c r="F1128" i="14"/>
  <c r="L133" i="13"/>
  <c r="L1129" i="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X1086" i="14"/>
  <c r="E1086" i="14"/>
  <c r="D1086" i="14"/>
  <c r="C1086" i="14"/>
  <c r="B1086" i="14"/>
  <c r="A1086" i="14"/>
  <c r="A94" i="13"/>
  <c r="X1086" i="3"/>
  <c r="D1086" i="3"/>
  <c r="X1085" i="14"/>
  <c r="E1085" i="14"/>
  <c r="D1085" i="14"/>
  <c r="C1085" i="14"/>
  <c r="B1085" i="14"/>
  <c r="A1085" i="14"/>
  <c r="L93" i="13"/>
  <c r="A93" i="13"/>
  <c r="X1085" i="3"/>
  <c r="D1085" i="3"/>
  <c r="X1084" i="14"/>
  <c r="E1084" i="14"/>
  <c r="D1084" i="14"/>
  <c r="C1084" i="14"/>
  <c r="B1084" i="14"/>
  <c r="A1084" i="14"/>
  <c r="L92" i="13"/>
  <c r="A92" i="13"/>
  <c r="X1084" i="3"/>
  <c r="D1084" i="3"/>
  <c r="X1083" i="14"/>
  <c r="E1083" i="14"/>
  <c r="D1083" i="14"/>
  <c r="C1083" i="14"/>
  <c r="B1083" i="14"/>
  <c r="A1083" i="14"/>
  <c r="A91" i="13"/>
  <c r="X1083" i="3"/>
  <c r="D1083" i="3"/>
  <c r="X1082" i="14"/>
  <c r="E1082" i="14"/>
  <c r="D1082" i="14"/>
  <c r="C1082" i="14"/>
  <c r="B1082" i="14"/>
  <c r="A1082" i="14"/>
  <c r="L90" i="13"/>
  <c r="A90" i="13"/>
  <c r="X1082" i="3"/>
  <c r="D1082" i="3"/>
  <c r="X1081" i="14"/>
  <c r="E1081" i="14"/>
  <c r="D1081" i="14"/>
  <c r="C1081" i="14"/>
  <c r="B1081" i="14"/>
  <c r="A1081" i="14"/>
  <c r="L89" i="13"/>
  <c r="A89" i="13"/>
  <c r="X1081" i="3"/>
  <c r="D1081" i="3"/>
  <c r="X1080" i="14"/>
  <c r="E1080" i="14"/>
  <c r="D1080" i="14"/>
  <c r="C1080" i="14"/>
  <c r="B1080" i="14"/>
  <c r="A1080" i="14"/>
  <c r="L88" i="13"/>
  <c r="A88" i="13"/>
  <c r="X1080" i="3"/>
  <c r="D1080" i="3"/>
  <c r="X1079" i="14"/>
  <c r="E1079" i="14"/>
  <c r="D1079" i="14"/>
  <c r="C1079" i="14"/>
  <c r="B1079" i="14"/>
  <c r="A1079" i="14"/>
  <c r="L87" i="13"/>
  <c r="A87" i="13"/>
  <c r="X1079" i="3"/>
  <c r="D1079" i="3"/>
  <c r="F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37" i="14" l="1"/>
  <c r="I1137" i="14" s="1"/>
  <c r="Q1167" i="14"/>
  <c r="R1167" i="14" s="1"/>
  <c r="H1136" i="14"/>
  <c r="I1136" i="14" s="1"/>
  <c r="Q1166" i="14"/>
  <c r="R1166" i="14" s="1"/>
  <c r="I1137" i="3"/>
  <c r="I1138" i="3" s="1"/>
  <c r="I1139" i="3" s="1"/>
  <c r="I1140" i="3" s="1"/>
  <c r="I1141" i="3" s="1"/>
  <c r="AC1168" i="3"/>
  <c r="F1078" i="3"/>
  <c r="S1168" i="3"/>
  <c r="T1168" i="3" s="1"/>
  <c r="AC1161" i="3"/>
  <c r="F1077" i="3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L1074" i="3" s="1"/>
  <c r="S1164" i="3"/>
  <c r="T1164" i="3" s="1"/>
  <c r="AC1164" i="3"/>
  <c r="H1131" i="14"/>
  <c r="I1131" i="14" s="1"/>
  <c r="Q1161" i="14"/>
  <c r="R1161" i="14" s="1"/>
  <c r="F1073" i="3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L1072" i="3" s="1"/>
  <c r="S1162" i="3"/>
  <c r="T1162" i="3" s="1"/>
  <c r="AC1162" i="3"/>
  <c r="Y1131" i="3"/>
  <c r="Z1131" i="3" s="1"/>
  <c r="AA1131" i="3" s="1"/>
  <c r="L1127" i="3"/>
  <c r="L1131" i="3"/>
  <c r="H1129" i="14"/>
  <c r="I1129" i="14" s="1"/>
  <c r="Q1159" i="14"/>
  <c r="R1159" i="14" s="1"/>
  <c r="F1071" i="3"/>
  <c r="L1071" i="3" s="1"/>
  <c r="S1161" i="3"/>
  <c r="T1161" i="3" s="1"/>
  <c r="H1128" i="14"/>
  <c r="I1128" i="14" s="1"/>
  <c r="L1128" i="14" s="1"/>
  <c r="Q1158" i="14"/>
  <c r="R1158" i="14" s="1"/>
  <c r="F1070" i="3"/>
  <c r="S1160" i="3"/>
  <c r="T1160" i="3" s="1"/>
  <c r="AC1160" i="3"/>
  <c r="H1127" i="14"/>
  <c r="I1127" i="14" s="1"/>
  <c r="L1127" i="14" s="1"/>
  <c r="Q1157" i="14"/>
  <c r="R1157" i="14" s="1"/>
  <c r="F1069" i="3"/>
  <c r="Y1069" i="3" s="1"/>
  <c r="Z1069" i="3" s="1"/>
  <c r="AA1069" i="3" s="1"/>
  <c r="S1159" i="3"/>
  <c r="T1159" i="3" s="1"/>
  <c r="L1125" i="3"/>
  <c r="AC1159" i="3"/>
  <c r="H1126" i="14"/>
  <c r="I1126" i="14" s="1"/>
  <c r="Q1156" i="14"/>
  <c r="R1156" i="14" s="1"/>
  <c r="F1068" i="3"/>
  <c r="S1158" i="3"/>
  <c r="T1158" i="3" s="1"/>
  <c r="I1158" i="3"/>
  <c r="I1159" i="3" s="1"/>
  <c r="I1160" i="3" s="1"/>
  <c r="I1161" i="3" s="1"/>
  <c r="I1162" i="3" s="1"/>
  <c r="I1163" i="3" s="1"/>
  <c r="F1067" i="3"/>
  <c r="L1067" i="3" s="1"/>
  <c r="S1157" i="3"/>
  <c r="T1157" i="3" s="1"/>
  <c r="K1126" i="3"/>
  <c r="H1124" i="14"/>
  <c r="I1124" i="14" s="1"/>
  <c r="Q1154" i="14"/>
  <c r="R1154" i="14" s="1"/>
  <c r="F1066" i="3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L1065" i="3" s="1"/>
  <c r="S1155" i="3"/>
  <c r="T1155" i="3" s="1"/>
  <c r="L1132" i="3"/>
  <c r="H1117" i="3"/>
  <c r="H1118" i="3" s="1"/>
  <c r="H1119" i="3" s="1"/>
  <c r="H1120" i="3" s="1"/>
  <c r="H1121" i="3" s="1"/>
  <c r="L1112" i="3"/>
  <c r="H1112" i="3"/>
  <c r="H1113" i="3" s="1"/>
  <c r="H1114" i="3" s="1"/>
  <c r="H1115" i="3" s="1"/>
  <c r="H1116" i="3" s="1"/>
  <c r="Y1132" i="3"/>
  <c r="Z1132" i="3" s="1"/>
  <c r="AA1132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L1064" i="3" s="1"/>
  <c r="S1154" i="3"/>
  <c r="T1154" i="3" s="1"/>
  <c r="F1063" i="3"/>
  <c r="L1063" i="3" s="1"/>
  <c r="S1153" i="3"/>
  <c r="T1153" i="3" s="1"/>
  <c r="F1062" i="3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L1061" i="3" s="1"/>
  <c r="S1151" i="3"/>
  <c r="T1151" i="3" s="1"/>
  <c r="H1118" i="14"/>
  <c r="I1118" i="14" s="1"/>
  <c r="Q1148" i="14"/>
  <c r="R1148" i="14" s="1"/>
  <c r="F1060" i="3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Y1052" i="3" s="1"/>
  <c r="Z1052" i="3" s="1"/>
  <c r="AA1052" i="3" s="1"/>
  <c r="S1142" i="3"/>
  <c r="T1142" i="3" s="1"/>
  <c r="F1053" i="3"/>
  <c r="S1143" i="3"/>
  <c r="T1143" i="3" s="1"/>
  <c r="L1140" i="14"/>
  <c r="Y1140" i="14"/>
  <c r="Z1140" i="14" s="1"/>
  <c r="AA1140" i="14" s="1"/>
  <c r="F1051" i="3"/>
  <c r="L1051" i="3" s="1"/>
  <c r="S1141" i="3"/>
  <c r="T1141" i="3" s="1"/>
  <c r="F1111" i="3"/>
  <c r="Q1141" i="3"/>
  <c r="R1141" i="3" s="1"/>
  <c r="L1139" i="14"/>
  <c r="Y1139" i="14"/>
  <c r="Z1139" i="14" s="1"/>
  <c r="AA1139" i="14" s="1"/>
  <c r="F1110" i="3"/>
  <c r="Q1140" i="3"/>
  <c r="R1140" i="3" s="1"/>
  <c r="F1050" i="3"/>
  <c r="L1050" i="3" s="1"/>
  <c r="S1140" i="3"/>
  <c r="T1140" i="3" s="1"/>
  <c r="L1138" i="14"/>
  <c r="Y1138" i="14"/>
  <c r="Z1138" i="14" s="1"/>
  <c r="AA1138" i="14" s="1"/>
  <c r="F1109" i="3"/>
  <c r="Q1139" i="3"/>
  <c r="R1139" i="3" s="1"/>
  <c r="L1137" i="14"/>
  <c r="Y1137" i="14"/>
  <c r="Z1137" i="14" s="1"/>
  <c r="AA1137" i="14" s="1"/>
  <c r="F1108" i="3"/>
  <c r="L1108" i="3" s="1"/>
  <c r="Q1138" i="3"/>
  <c r="R1138" i="3" s="1"/>
  <c r="L1136" i="14"/>
  <c r="Y1136" i="14"/>
  <c r="Z1136" i="14" s="1"/>
  <c r="AA1136" i="14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Q1136" i="3"/>
  <c r="R1136" i="3" s="1"/>
  <c r="Y1132" i="14"/>
  <c r="Z1132" i="14" s="1"/>
  <c r="AA1132" i="14" s="1"/>
  <c r="F1105" i="3"/>
  <c r="Q1135" i="3"/>
  <c r="R1135" i="3" s="1"/>
  <c r="F1104" i="3"/>
  <c r="L1104" i="3" s="1"/>
  <c r="Q1134" i="3"/>
  <c r="R1134" i="3" s="1"/>
  <c r="F1103" i="3"/>
  <c r="Y1103" i="3" s="1"/>
  <c r="Z1103" i="3" s="1"/>
  <c r="AA1103" i="3" s="1"/>
  <c r="Q1133" i="3"/>
  <c r="R1133" i="3" s="1"/>
  <c r="F1102" i="3"/>
  <c r="Q1132" i="3"/>
  <c r="R1132" i="3" s="1"/>
  <c r="F1101" i="3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L1096" i="3" s="1"/>
  <c r="Q1126" i="3"/>
  <c r="R1126" i="3" s="1"/>
  <c r="F1095" i="3"/>
  <c r="Y1095" i="3" s="1"/>
  <c r="Z1095" i="3" s="1"/>
  <c r="AA1095" i="3" s="1"/>
  <c r="Q1125" i="3"/>
  <c r="R1125" i="3" s="1"/>
  <c r="F1094" i="3"/>
  <c r="Y1094" i="3" s="1"/>
  <c r="Z1094" i="3" s="1"/>
  <c r="AA1094" i="3" s="1"/>
  <c r="Q1124" i="3"/>
  <c r="R1124" i="3" s="1"/>
  <c r="F1093" i="3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Y1091" i="3" s="1"/>
  <c r="Z1091" i="3" s="1"/>
  <c r="AA1091" i="3" s="1"/>
  <c r="Q1121" i="3"/>
  <c r="R1121" i="3" s="1"/>
  <c r="F1090" i="3"/>
  <c r="Y1090" i="3" s="1"/>
  <c r="Z1090" i="3" s="1"/>
  <c r="AA1090" i="3" s="1"/>
  <c r="Q1120" i="3"/>
  <c r="R1120" i="3" s="1"/>
  <c r="Z1120" i="3"/>
  <c r="AA1120" i="3" s="1"/>
  <c r="F1089" i="3"/>
  <c r="Y1089" i="3" s="1"/>
  <c r="Z1089" i="3" s="1"/>
  <c r="AA1089" i="3" s="1"/>
  <c r="Q1119" i="3"/>
  <c r="R1119" i="3" s="1"/>
  <c r="F1088" i="3"/>
  <c r="Y1088" i="3" s="1"/>
  <c r="Z1088" i="3" s="1"/>
  <c r="AA1088" i="3" s="1"/>
  <c r="Q1118" i="3"/>
  <c r="R1118" i="3" s="1"/>
  <c r="F1087" i="3"/>
  <c r="Q1117" i="3"/>
  <c r="R1117" i="3" s="1"/>
  <c r="F1086" i="3"/>
  <c r="Y1086" i="3" s="1"/>
  <c r="Z1086" i="3" s="1"/>
  <c r="AA1086" i="3" s="1"/>
  <c r="Q1116" i="3"/>
  <c r="R1116" i="3" s="1"/>
  <c r="F1085" i="3"/>
  <c r="Y1085" i="3" s="1"/>
  <c r="Z1085" i="3" s="1"/>
  <c r="AA1085" i="3" s="1"/>
  <c r="Q1115" i="3"/>
  <c r="R1115" i="3" s="1"/>
  <c r="Y1113" i="14"/>
  <c r="Z1113" i="14" s="1"/>
  <c r="AA1113" i="14" s="1"/>
  <c r="F1084" i="3"/>
  <c r="L1084" i="3" s="1"/>
  <c r="Q1114" i="3"/>
  <c r="R1114" i="3" s="1"/>
  <c r="F1083" i="3"/>
  <c r="L1083" i="3" s="1"/>
  <c r="Q1113" i="3"/>
  <c r="R1113" i="3" s="1"/>
  <c r="F1082" i="3"/>
  <c r="L1082" i="3" s="1"/>
  <c r="Q1112" i="3"/>
  <c r="R1112" i="3" s="1"/>
  <c r="F1081" i="3"/>
  <c r="L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Q1082" i="3"/>
  <c r="R1082" i="3" s="1"/>
  <c r="F1082" i="14"/>
  <c r="F1081" i="14"/>
  <c r="Q1081" i="3"/>
  <c r="R1081" i="3" s="1"/>
  <c r="F1080" i="14"/>
  <c r="L1080" i="3"/>
  <c r="Y1080" i="3"/>
  <c r="Z1080" i="3" s="1"/>
  <c r="AA1080" i="3" s="1"/>
  <c r="Y1078" i="3"/>
  <c r="Z1078" i="3" s="1"/>
  <c r="AA1078" i="3" s="1"/>
  <c r="Q1080" i="3"/>
  <c r="R1080" i="3" s="1"/>
  <c r="F1079" i="14"/>
  <c r="H1080" i="14" s="1"/>
  <c r="I1080" i="14" s="1"/>
  <c r="L1079" i="3"/>
  <c r="Y1079" i="3"/>
  <c r="Z1079" i="3" s="1"/>
  <c r="AA1079" i="3" s="1"/>
  <c r="F1078" i="14"/>
  <c r="H1079" i="14" s="1"/>
  <c r="I1079" i="14" s="1"/>
  <c r="L1078" i="3"/>
  <c r="F1077" i="14"/>
  <c r="H1078" i="14" s="1"/>
  <c r="I1078" i="14" s="1"/>
  <c r="L1077" i="3"/>
  <c r="Y1077" i="3"/>
  <c r="Z1077" i="3" s="1"/>
  <c r="AA1077" i="3" s="1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Y1073" i="3"/>
  <c r="Z1073" i="3" s="1"/>
  <c r="AA1073" i="3" s="1"/>
  <c r="F1072" i="14"/>
  <c r="S1163" i="14" s="1"/>
  <c r="T1163" i="14" s="1"/>
  <c r="F1071" i="14"/>
  <c r="S1162" i="14" s="1"/>
  <c r="T1162" i="14" s="1"/>
  <c r="F1070" i="14"/>
  <c r="S1161" i="14" s="1"/>
  <c r="T1161" i="14" s="1"/>
  <c r="L1070" i="3"/>
  <c r="Y1070" i="3"/>
  <c r="Z1070" i="3" s="1"/>
  <c r="AA1070" i="3" s="1"/>
  <c r="H1069" i="14"/>
  <c r="I1069" i="14" s="1"/>
  <c r="Y1068" i="3"/>
  <c r="Z1068" i="3" s="1"/>
  <c r="AA1068" i="3" s="1"/>
  <c r="L1068" i="3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J45" i="8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AC1166" i="14" l="1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H1087" i="3"/>
  <c r="H1088" i="3" s="1"/>
  <c r="H1089" i="3" s="1"/>
  <c r="H1090" i="3" s="1"/>
  <c r="H1091" i="3" s="1"/>
  <c r="Y1097" i="3"/>
  <c r="Z1097" i="3" s="1"/>
  <c r="AA1097" i="3" s="1"/>
  <c r="H1097" i="3"/>
  <c r="H1098" i="3" s="1"/>
  <c r="I1102" i="3"/>
  <c r="H1102" i="3"/>
  <c r="AC1137" i="3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AC1138" i="3"/>
  <c r="Y1107" i="3"/>
  <c r="Z1107" i="3" s="1"/>
  <c r="AA1107" i="3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Q1130" i="3"/>
  <c r="R1130" i="3" s="1"/>
  <c r="H1098" i="14"/>
  <c r="I1098" i="14" s="1"/>
  <c r="L1098" i="14" s="1"/>
  <c r="Q1128" i="14"/>
  <c r="R1128" i="14" s="1"/>
  <c r="F1099" i="3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L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L1079" i="14"/>
  <c r="Y1079" i="14"/>
  <c r="Z1079" i="14" s="1"/>
  <c r="AA1079" i="14" s="1"/>
  <c r="Q1079" i="14"/>
  <c r="R1079" i="14" s="1"/>
  <c r="F1049" i="3"/>
  <c r="Q1079" i="3"/>
  <c r="R1079" i="3" s="1"/>
  <c r="L1078" i="14"/>
  <c r="Y1078" i="14"/>
  <c r="Z1078" i="14" s="1"/>
  <c r="AA1078" i="14" s="1"/>
  <c r="H1048" i="14"/>
  <c r="I1048" i="14" s="1"/>
  <c r="Q1078" i="14"/>
  <c r="R1078" i="14" s="1"/>
  <c r="L1047" i="3"/>
  <c r="F1048" i="3"/>
  <c r="Q1078" i="3"/>
  <c r="R1078" i="3" s="1"/>
  <c r="F1046" i="3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Q1075" i="3"/>
  <c r="R1075" i="3" s="1"/>
  <c r="F1044" i="3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L1076" i="14" l="1"/>
  <c r="AD1167" i="14"/>
  <c r="AD1166" i="14"/>
  <c r="AD1167" i="3"/>
  <c r="AC1091" i="3"/>
  <c r="AD1168" i="3"/>
  <c r="L1074" i="14"/>
  <c r="AD1165" i="14"/>
  <c r="AD1164" i="14"/>
  <c r="B4" i="8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Q1072" i="3"/>
  <c r="R1072" i="3" s="1"/>
  <c r="F1043" i="3"/>
  <c r="Q1073" i="3"/>
  <c r="R1073" i="3" s="1"/>
  <c r="F1041" i="3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H4" i="16" l="1"/>
  <c r="D18" i="16"/>
  <c r="D4" i="16" s="1"/>
  <c r="K1162" i="3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Q1070" i="3"/>
  <c r="R1070" i="3" s="1"/>
  <c r="F1039" i="3"/>
  <c r="Q1069" i="3"/>
  <c r="R1069" i="3" s="1"/>
  <c r="F1038" i="3"/>
  <c r="Q1068" i="3"/>
  <c r="R1068" i="3" s="1"/>
  <c r="F1037" i="3"/>
  <c r="J1037" i="3" s="1"/>
  <c r="Q1067" i="3"/>
  <c r="R1067" i="3" s="1"/>
  <c r="F1036" i="3"/>
  <c r="Q1066" i="3"/>
  <c r="R1066" i="3" s="1"/>
  <c r="F1035" i="3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Q1062" i="3"/>
  <c r="R1062" i="3" s="1"/>
  <c r="F1031" i="3"/>
  <c r="AD1122" i="3" s="1"/>
  <c r="Q1061" i="3"/>
  <c r="R1061" i="3" s="1"/>
  <c r="F1030" i="3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O9" i="16"/>
  <c r="J1123" i="3"/>
  <c r="H1122" i="3"/>
  <c r="L1031" i="3"/>
  <c r="Y1032" i="14"/>
  <c r="Z1032" i="14" s="1"/>
  <c r="AA1032" i="14" s="1"/>
  <c r="AD1123" i="14"/>
  <c r="Y1031" i="3"/>
  <c r="Z1031" i="3" s="1"/>
  <c r="AA1031" i="3" s="1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F1028" i="3"/>
  <c r="Q1058" i="3"/>
  <c r="R1058" i="3" s="1"/>
  <c r="K1042" i="14"/>
  <c r="K1042" i="3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Q1056" i="3"/>
  <c r="R1056" i="3" s="1"/>
  <c r="F1025" i="3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H809" i="14" s="1"/>
  <c r="I809" i="14" s="1"/>
  <c r="X807" i="14"/>
  <c r="F807" i="14"/>
  <c r="H808" i="14" s="1"/>
  <c r="I808" i="14" s="1"/>
  <c r="X806" i="14"/>
  <c r="F806" i="14"/>
  <c r="H807" i="14" s="1"/>
  <c r="I807" i="14" s="1"/>
  <c r="X805" i="14"/>
  <c r="F805" i="14"/>
  <c r="H806" i="14" s="1"/>
  <c r="I806" i="14" s="1"/>
  <c r="X804" i="14"/>
  <c r="F804" i="14"/>
  <c r="H805" i="14" s="1"/>
  <c r="I805" i="14" s="1"/>
  <c r="X803" i="14"/>
  <c r="F803" i="14"/>
  <c r="H804" i="14" s="1"/>
  <c r="I804" i="14" s="1"/>
  <c r="X802" i="14"/>
  <c r="F802" i="14"/>
  <c r="H803" i="14" s="1"/>
  <c r="I803" i="14" s="1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2" i="14" l="1"/>
  <c r="I802" i="14" s="1"/>
  <c r="U1167" i="14"/>
  <c r="V1167" i="14" s="1"/>
  <c r="H801" i="14"/>
  <c r="I801" i="14" s="1"/>
  <c r="U1166" i="14"/>
  <c r="V1166" i="14" s="1"/>
  <c r="H799" i="14"/>
  <c r="I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Z921" i="14" s="1"/>
  <c r="AA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Y802" i="14"/>
  <c r="L802" i="14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Z916" i="14" s="1"/>
  <c r="AA916" i="14" s="1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Y792" i="14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799" i="14"/>
  <c r="L799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Y796" i="14"/>
  <c r="L796" i="14"/>
  <c r="L801" i="14"/>
  <c r="Y801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Z915" i="14" s="1"/>
  <c r="AA915" i="14" s="1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Z920" i="14" s="1"/>
  <c r="AA920" i="14" s="1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Z914" i="14" l="1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Z918" i="14" s="1"/>
  <c r="AA918" i="14" s="1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Z919" i="14" s="1"/>
  <c r="AA919" i="14" s="1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Z917" i="14" s="1"/>
  <c r="AA917" i="14" s="1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L779" i="14" l="1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M266" i="14" s="1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Z909" i="14" l="1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J1164" i="3" l="1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J1168" i="3" l="1"/>
  <c r="O8" i="16" s="1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O10" i="16" l="1"/>
  <c r="Q10" i="16" s="1"/>
  <c r="Q8" i="16"/>
  <c r="K1057" i="14"/>
  <c r="K1058" i="14" s="1"/>
  <c r="K1059" i="14" s="1"/>
  <c r="K1057" i="3"/>
  <c r="K1058" i="3" s="1"/>
  <c r="K1059" i="3" s="1"/>
  <c r="F1019" i="3"/>
  <c r="Q1049" i="3"/>
  <c r="R1049" i="3" s="1"/>
  <c r="F1018" i="3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AD1108" i="3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Q1046" i="3"/>
  <c r="R1046" i="3" s="1"/>
  <c r="F1015" i="3"/>
  <c r="Q1045" i="3"/>
  <c r="R1045" i="3" s="1"/>
  <c r="F1014" i="3"/>
  <c r="Q1044" i="3"/>
  <c r="R1044" i="3" s="1"/>
  <c r="F1011" i="3"/>
  <c r="Q1041" i="3"/>
  <c r="R1041" i="3" s="1"/>
  <c r="F1010" i="3"/>
  <c r="Q1040" i="3"/>
  <c r="R1040" i="3" s="1"/>
  <c r="F1008" i="3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F1012" i="3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F1007" i="3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AE1167" i="14" l="1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Q1033" i="3"/>
  <c r="R1033" i="3" s="1"/>
  <c r="F999" i="3"/>
  <c r="Q1029" i="3"/>
  <c r="R1029" i="3" s="1"/>
  <c r="F997" i="3"/>
  <c r="Q1027" i="3"/>
  <c r="R1027" i="3" s="1"/>
  <c r="F1001" i="3"/>
  <c r="Q1031" i="3"/>
  <c r="R1031" i="3" s="1"/>
  <c r="F998" i="3"/>
  <c r="Q1028" i="3"/>
  <c r="R1028" i="3" s="1"/>
  <c r="F1004" i="3"/>
  <c r="Q1034" i="3"/>
  <c r="R1034" i="3" s="1"/>
  <c r="F1000" i="3"/>
  <c r="Q1030" i="3"/>
  <c r="R1030" i="3" s="1"/>
  <c r="Y1006" i="14"/>
  <c r="Z1006" i="14" s="1"/>
  <c r="AA1006" i="14" s="1"/>
  <c r="L1006" i="14"/>
  <c r="F996" i="3"/>
  <c r="Q1026" i="3"/>
  <c r="R1026" i="3" s="1"/>
  <c r="F995" i="3"/>
  <c r="Q1025" i="3"/>
  <c r="R1025" i="3" s="1"/>
  <c r="F1005" i="3"/>
  <c r="Q1035" i="3"/>
  <c r="R1035" i="3" s="1"/>
  <c r="F1002" i="3"/>
  <c r="Q1032" i="3"/>
  <c r="R1032" i="3" s="1"/>
  <c r="J1006" i="14"/>
  <c r="F994" i="3"/>
  <c r="Q1024" i="3"/>
  <c r="R1024" i="3" s="1"/>
  <c r="F993" i="3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AD1100" i="3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W1167" i="14" l="1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AD1082" i="3" s="1"/>
  <c r="Q1021" i="3"/>
  <c r="R1021" i="3" s="1"/>
  <c r="B11" i="8" s="1"/>
  <c r="F990" i="3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Q1019" i="3"/>
  <c r="R1019" i="3" s="1"/>
  <c r="F988" i="3"/>
  <c r="Q1018" i="3"/>
  <c r="R1018" i="3" s="1"/>
  <c r="F987" i="3"/>
  <c r="Q1017" i="3"/>
  <c r="R1017" i="3" s="1"/>
  <c r="F986" i="3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67" i="14" l="1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F973" i="3"/>
  <c r="F972" i="3"/>
  <c r="F971" i="3"/>
  <c r="F967" i="3"/>
  <c r="F966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F808" i="3" s="1"/>
  <c r="G808" i="3" s="1"/>
  <c r="D808" i="3"/>
  <c r="F809" i="3" s="1"/>
  <c r="G809" i="3" s="1"/>
  <c r="D809" i="3"/>
  <c r="F810" i="3" s="1"/>
  <c r="G810" i="3" s="1"/>
  <c r="D810" i="3"/>
  <c r="F811" i="3" s="1"/>
  <c r="G811" i="3" s="1"/>
  <c r="D811" i="3"/>
  <c r="F812" i="3" s="1"/>
  <c r="G812" i="3" s="1"/>
  <c r="D812" i="3"/>
  <c r="F813" i="3" s="1"/>
  <c r="G813" i="3" s="1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F806" i="3" s="1"/>
  <c r="G806" i="3" s="1"/>
  <c r="D806" i="3"/>
  <c r="F807" i="3" s="1"/>
  <c r="G807" i="3" s="1"/>
  <c r="F803" i="3" l="1"/>
  <c r="G803" i="3" s="1"/>
  <c r="U1168" i="3"/>
  <c r="V1168" i="3" s="1"/>
  <c r="F802" i="3"/>
  <c r="G802" i="3" s="1"/>
  <c r="U1167" i="3"/>
  <c r="V1167" i="3" s="1"/>
  <c r="F801" i="3"/>
  <c r="G801" i="3" s="1"/>
  <c r="U1166" i="3"/>
  <c r="V1166" i="3" s="1"/>
  <c r="F800" i="3"/>
  <c r="G800" i="3" s="1"/>
  <c r="U1165" i="3"/>
  <c r="V1165" i="3" s="1"/>
  <c r="F799" i="3"/>
  <c r="G799" i="3" s="1"/>
  <c r="U1164" i="3"/>
  <c r="V1164" i="3" s="1"/>
  <c r="F798" i="3"/>
  <c r="G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L802" i="3"/>
  <c r="Y802" i="3"/>
  <c r="L801" i="3"/>
  <c r="Y801" i="3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L803" i="3"/>
  <c r="Y803" i="3"/>
  <c r="Q953" i="3"/>
  <c r="R953" i="3" s="1"/>
  <c r="S1015" i="3"/>
  <c r="T1015" i="3" s="1"/>
  <c r="L795" i="3"/>
  <c r="Y795" i="3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798" i="3"/>
  <c r="Y798" i="3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L799" i="3"/>
  <c r="Y799" i="3"/>
  <c r="S998" i="3"/>
  <c r="T998" i="3" s="1"/>
  <c r="Q938" i="3"/>
  <c r="R938" i="3" s="1"/>
  <c r="Q937" i="3"/>
  <c r="R937" i="3" s="1"/>
  <c r="S997" i="3"/>
  <c r="T997" i="3" s="1"/>
  <c r="L807" i="3"/>
  <c r="Y807" i="3"/>
  <c r="S1006" i="3"/>
  <c r="T1006" i="3" s="1"/>
  <c r="Q946" i="3"/>
  <c r="R946" i="3" s="1"/>
  <c r="S974" i="3"/>
  <c r="T974" i="3" s="1"/>
  <c r="Q914" i="3"/>
  <c r="R914" i="3" s="1"/>
  <c r="L806" i="3"/>
  <c r="Y806" i="3"/>
  <c r="L809" i="3"/>
  <c r="Y809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797" i="3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K800" i="3"/>
  <c r="K801" i="3" s="1"/>
  <c r="L800" i="3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796" i="3" l="1"/>
  <c r="Z796" i="3" s="1"/>
  <c r="AA796" i="3" s="1"/>
  <c r="Y800" i="3"/>
  <c r="Z800" i="3" s="1"/>
  <c r="AA800" i="3" s="1"/>
  <c r="F794" i="3"/>
  <c r="G794" i="3" s="1"/>
  <c r="U1159" i="3"/>
  <c r="V1159" i="3" s="1"/>
  <c r="F793" i="3"/>
  <c r="G793" i="3" s="1"/>
  <c r="L793" i="3" s="1"/>
  <c r="U1158" i="3"/>
  <c r="V1158" i="3" s="1"/>
  <c r="F792" i="3"/>
  <c r="G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3" i="3"/>
  <c r="AA803" i="3" s="1"/>
  <c r="Z802" i="3"/>
  <c r="AA802" i="3" s="1"/>
  <c r="Z801" i="3"/>
  <c r="AA801" i="3" s="1"/>
  <c r="Z799" i="3"/>
  <c r="AA799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Y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784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792" i="3"/>
  <c r="Y792" i="3"/>
  <c r="L901" i="3"/>
  <c r="Y901" i="3"/>
  <c r="L838" i="3"/>
  <c r="Y838" i="3"/>
  <c r="L862" i="3"/>
  <c r="Y862" i="3"/>
  <c r="L836" i="3"/>
  <c r="Y836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O1168" i="3" l="1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Z921" i="3" s="1"/>
  <c r="AA921" i="3" s="1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Z925" i="3" s="1"/>
  <c r="AA925" i="3" s="1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Z923" i="3" s="1"/>
  <c r="AA923" i="3" s="1"/>
  <c r="L919" i="3"/>
  <c r="Y919" i="3"/>
  <c r="Z919" i="3" s="1"/>
  <c r="AA919" i="3" s="1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Z920" i="3" s="1"/>
  <c r="AA920" i="3" s="1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Z922" i="3" s="1"/>
  <c r="AA922" i="3" s="1"/>
  <c r="L942" i="3"/>
  <c r="Y942" i="3"/>
  <c r="Z942" i="3" s="1"/>
  <c r="AA942" i="3" s="1"/>
  <c r="L924" i="3"/>
  <c r="Y924" i="3"/>
  <c r="Z924" i="3" s="1"/>
  <c r="AA924" i="3" s="1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18" i="3" l="1"/>
  <c r="AA918" i="3" s="1"/>
  <c r="AB1169" i="3"/>
  <c r="M1169" i="3"/>
  <c r="N1168" i="3"/>
  <c r="Z915" i="3"/>
  <c r="AA915" i="3" s="1"/>
  <c r="AB1168" i="3"/>
  <c r="W1168" i="3"/>
  <c r="N1167" i="3"/>
  <c r="Z914" i="3"/>
  <c r="AA914" i="3" s="1"/>
  <c r="AB1167" i="3"/>
  <c r="W1167" i="3"/>
  <c r="W1166" i="3"/>
  <c r="Z913" i="3"/>
  <c r="AA913" i="3" s="1"/>
  <c r="AB1166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Y764" i="3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Z767" i="3"/>
  <c r="AA767" i="3" s="1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Z764" i="3"/>
  <c r="AA764" i="3" s="1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028" i="3" l="1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Z737" i="3"/>
  <c r="AA737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68" i="3" l="1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K45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<sst xmlns="http://schemas.openxmlformats.org/spreadsheetml/2006/main" count="1051" uniqueCount="409">
  <si>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</si>
  <si>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</si>
  <si>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</si>
  <si>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</si>
  <si>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</si>
  <si>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</si>
  <si>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</si>
  <si>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</si>
  <si>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</si>
  <si>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</si>
  <si>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</si>
  <si>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</si>
  <si>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</si>
  <si>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</si>
  <si>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</si>
  <si>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</si>
  <si>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</si>
  <si>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</si>
  <si>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</si>
  <si>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</si>
  <si>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</si>
  <si>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</si>
  <si>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</si>
  <si>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</si>
  <si>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</si>
  <si>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</si>
  <si>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</si>
  <si>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</si>
  <si>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</si>
  <si>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</si>
  <si>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</si>
  <si>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</si>
  <si>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</si>
  <si>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</si>
  <si>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</si>
  <si>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</si>
  <si>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</si>
  <si>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</si>
  <si>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</si>
  <si>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</si>
  <si>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</si>
  <si>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</si>
  <si>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</si>
  <si>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</si>
  <si>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</si>
  <si>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</si>
  <si>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</si>
  <si>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</si>
  <si>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</si>
  <si>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</si>
  <si>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</si>
  <si>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</si>
  <si>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</si>
  <si>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</si>
  <si>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</si>
  <si>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</si>
  <si>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</si>
  <si>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</si>
  <si>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</si>
  <si>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</si>
  <si>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</si>
  <si>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</si>
  <si>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</si>
  <si>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</si>
  <si>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</si>
  <si>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</si>
  <si>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</si>
  <si>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</si>
  <si>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</si>
  <si>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</si>
  <si>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</si>
  <si>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</si>
  <si>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</si>
  <si>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</si>
  <si>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</si>
  <si>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</si>
  <si>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</si>
  <si>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</si>
  <si>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</si>
  <si>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</si>
  <si>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</si>
  <si>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</si>
  <si>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</si>
  <si>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</si>
  <si>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</si>
  <si>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</si>
  <si>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</si>
  <si>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</si>
  <si>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</si>
  <si>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</si>
  <si>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</si>
  <si>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</si>
  <si>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</si>
  <si>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</si>
  <si>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</si>
  <si>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</si>
  <si>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</si>
  <si>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</si>
  <si>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</si>
  <si>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</si>
  <si>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</si>
  <si>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</si>
  <si>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</si>
  <si>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</si>
  <si>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</si>
  <si>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</si>
  <si>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</si>
  <si>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</si>
  <si>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</si>
  <si>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</si>
  <si>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</si>
  <si>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</si>
  <si>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</si>
  <si>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</si>
  <si>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</si>
  <si>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</si>
  <si>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</si>
  <si>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</si>
  <si>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</si>
  <si>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</si>
  <si>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</si>
  <si>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</si>
  <si>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</si>
  <si>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</si>
  <si>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</si>
  <si>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</si>
  <si>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</si>
  <si>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</si>
  <si>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</si>
  <si>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</si>
  <si>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</si>
  <si>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</si>
  <si>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</si>
  <si>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</si>
  <si>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</si>
  <si>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</si>
  <si>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</si>
  <si>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</si>
  <si>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</si>
  <si>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</si>
  <si>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</si>
  <si>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</si>
  <si>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</si>
  <si>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</si>
  <si>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</si>
  <si>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</si>
  <si>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</si>
  <si>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</si>
  <si>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</si>
  <si>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</si>
  <si>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</si>
  <si>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</si>
  <si>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</si>
  <si>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</si>
  <si>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</si>
  <si>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</si>
  <si>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</si>
  <si>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</si>
  <si>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</si>
  <si>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</si>
  <si>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</si>
  <si>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</si>
  <si>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</si>
  <si>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</si>
  <si>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</si>
  <si>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</si>
  <si>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</si>
  <si>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</si>
  <si>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</si>
  <si>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</si>
  <si>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</si>
  <si>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</si>
  <si>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</si>
  <si>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</si>
  <si>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</si>
  <si>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</si>
  <si>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</si>
  <si>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</si>
  <si>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</si>
  <si>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</si>
  <si>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</si>
  <si>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</si>
  <si>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</si>
  <si>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</si>
  <si>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</si>
  <si>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</si>
  <si>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</si>
  <si>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</si>
  <si>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</si>
  <si>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</si>
  <si>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</si>
  <si>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</si>
  <si>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</si>
  <si>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</si>
  <si>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</si>
  <si>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</si>
  <si>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</si>
  <si>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</si>
  <si>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</si>
  <si>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</si>
  <si>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</si>
  <si>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</si>
  <si>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</si>
  <si>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</si>
  <si>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</si>
  <si>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</si>
  <si>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</si>
  <si>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</si>
  <si>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</si>
  <si>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</si>
  <si>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</si>
  <si>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</si>
  <si>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</si>
  <si>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</si>
  <si>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</si>
  <si>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</si>
  <si>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</si>
  <si>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</si>
  <si>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</si>
  <si>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</si>
  <si>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</si>
  <si>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</si>
  <si>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</si>
  <si>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</si>
  <si>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</si>
  <si>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</si>
  <si>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</si>
  <si>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</si>
  <si>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</si>
  <si>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</si>
  <si>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</si>
  <si>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</si>
  <si>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</si>
  <si>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</si>
  <si>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</si>
  <si>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</si>
  <si>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</si>
  <si>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</si>
  <si>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</si>
  <si>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</si>
  <si>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</si>
  <si>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</si>
  <si>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</si>
  <si>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</si>
  <si>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</si>
  <si>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</si>
  <si>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</si>
  <si>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</si>
  <si>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</si>
  <si>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</si>
  <si>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</si>
  <si>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</si>
  <si>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</si>
  <si>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</si>
  <si>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</si>
  <si>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</si>
  <si>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</si>
  <si>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</si>
  <si>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</si>
  <si>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</si>
  <si>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</si>
  <si>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</si>
  <si>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</si>
  <si>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</si>
  <si>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</si>
  <si>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</si>
  <si>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</si>
  <si>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</si>
  <si>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</si>
  <si>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</si>
  <si>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</si>
  <si>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</si>
  <si>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</si>
  <si>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</si>
  <si>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</si>
  <si>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</si>
  <si>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</si>
  <si>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</si>
  <si>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</si>
  <si>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</si>
  <si>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</si>
  <si>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</si>
  <si>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</si>
  <si>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</si>
  <si>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</si>
  <si>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</si>
  <si>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</si>
  <si>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</si>
  <si>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</si>
  <si>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</si>
  <si>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</si>
  <si>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STIP</t>
  </si>
  <si>
    <t>SHYD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</si>
  <si>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</si>
  <si>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</si>
  <si>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</si>
  <si>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</si>
  <si>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</si>
  <si>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</si>
  <si>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</si>
  <si>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</si>
  <si>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</si>
  <si>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</si>
  <si>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</si>
  <si>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</si>
  <si>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</si>
  <si>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</si>
  <si>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</si>
  <si>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MBB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</si>
  <si>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</si>
  <si>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</si>
  <si>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</si>
  <si>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</si>
  <si>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</si>
  <si>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</si>
  <si>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</si>
  <si>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</si>
  <si>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</si>
  <si>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</si>
  <si>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</si>
  <si>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</si>
  <si>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</si>
  <si>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</si>
  <si>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</si>
  <si>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</si>
  <si>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</si>
  <si>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</si>
  <si>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</si>
  <si>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</si>
  <si>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</si>
  <si>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</si>
  <si>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</si>
  <si>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</si>
  <si>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</si>
  <si>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</si>
  <si>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</si>
  <si>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</si>
  <si>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</si>
  <si>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</si>
  <si>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</si>
  <si>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</si>
  <si>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</si>
  <si>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</si>
  <si>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</si>
  <si>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</si>
  <si>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</si>
  <si>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</si>
  <si>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</si>
  <si>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</si>
  <si>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</si>
  <si>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</si>
  <si>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</si>
  <si>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</si>
  <si>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</si>
  <si>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</si>
  <si>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</si>
  <si>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</si>
  <si>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</si>
  <si>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</si>
  <si>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</si>
  <si>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</si>
  <si>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</si>
  <si>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>est nov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</si>
  <si>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</si>
  <si>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</si>
  <si>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</si>
  <si>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</si>
  <si>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</si>
  <si>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</si>
  <si>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</si>
  <si>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</si>
  <si>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</si>
  <si>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</si>
  <si>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</si>
  <si>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</si>
  <si>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</si>
  <si>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</si>
  <si>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</si>
  <si>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</si>
  <si>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</si>
  <si>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</si>
  <si>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03JAN25 5940 P</t>
  </si>
  <si>
    <t>ES 31JAN25 6075 C</t>
  </si>
  <si>
    <t>ESH5</t>
  </si>
  <si>
    <t>NQH5</t>
  </si>
  <si>
    <t>IJH 17JAN25 63 C</t>
  </si>
  <si>
    <t>NQ 31JAN25 22200 C</t>
  </si>
  <si>
    <t>IGV 03JAN25 103.5 P</t>
  </si>
  <si>
    <t>ASML 03JAN25 680 P</t>
  </si>
  <si>
    <t>MCD 03JAN25 300 C</t>
  </si>
  <si>
    <t>SNOW 03JAN25 160 P</t>
  </si>
  <si>
    <t>Straits Multi-Asset Macro Strategy</t>
  </si>
  <si>
    <t>Inhouse</t>
  </si>
  <si>
    <t>ASML</t>
  </si>
  <si>
    <t>NQ 10JAN25 21500 P</t>
  </si>
  <si>
    <t>NVDA 03JAN25 140 C</t>
  </si>
  <si>
    <t>NVDA 17JAN25 130 P</t>
  </si>
  <si>
    <t>ORCL 03JAN25 165 P</t>
  </si>
  <si>
    <t>TSM 31JAN25 180 P</t>
  </si>
  <si>
    <t>JPM 10JAN25 245 C</t>
  </si>
  <si>
    <t>PLTR</t>
  </si>
  <si>
    <t>PLTR 10JAN25 75 P</t>
  </si>
  <si>
    <t>PLTR 10JAN25 80 C</t>
  </si>
  <si>
    <t>NVDA 10JAN25 145 C</t>
  </si>
  <si>
    <t>TSM 10JAN25 210 C</t>
  </si>
  <si>
    <t>XLK 10JAN25 240 C</t>
  </si>
  <si>
    <t>checking</t>
  </si>
  <si>
    <t>nov nav</t>
  </si>
  <si>
    <t>FY2025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</si>
</sst>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5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5" fontId="1" fillId="0" borderId="0" applyFont="0" applyFill="0" applyBorder="0" applyAlignment="0" applyProtection="0"/>
  </cellStyleXfs>
  <cellXfs count="352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5" fontId="0" fillId="0" borderId="0" xfId="7" applyFont="1"/>
    <xf numFmtId="0" fontId="0" fillId="0" borderId="17" xfId="0" applyBorder="1"/>
    <xf numFmtId="175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5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5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7" xfId="1" applyNumberFormat="1" applyFont="1" applyFill="1" applyBorder="1" applyAlignment="1">
      <alignment horizontal="right" vertical="center"/>
    </xf>
    <xf numFmtId="10" fontId="6" fillId="5" borderId="4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44" fontId="10" fillId="5" borderId="7" xfId="0" applyNumberFormat="1" applyFont="1" applyFill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7" xfId="1" applyNumberFormat="1" applyFont="1" applyFill="1" applyBorder="1" applyAlignment="1">
      <alignment horizontal="right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7" fillId="0" borderId="5" xfId="0" applyNumberFormat="1" applyFon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Data...3280407433</v>
        <stp/>
        <stp>BDP|17488990371770934291</stp>
        <tr r="L9" s="16"/>
      </tp>
      <tp t="s">
        <v>#N/A N/A</v>
        <stp/>
        <stp>BDP|12334903160624343193</stp>
        <tr r="H7" s="16"/>
      </tp>
      <tp t="s">
        <v>#N/A N/A</v>
        <stp/>
        <stp>BDP|11631739781717341169</stp>
        <tr r="D10" s="16"/>
      </tp>
      <tp t="s">
        <v>#N/A Requesting Data...2588740814</v>
        <stp/>
        <stp>BDP|12503804164161346560</stp>
        <tr r="H23" s="4"/>
      </tp>
      <tp t="s">
        <v>#N/A N/A</v>
        <stp/>
        <stp>BDP|15038974491608239300</stp>
        <tr r="E8" s="16"/>
      </tp>
      <tp t="s">
        <v>#N/A Requesting Data...2663260911</v>
        <stp/>
        <stp>BDP|18194437827130447215</stp>
        <tr r="K6" s="16"/>
      </tp>
      <tp t="s">
        <v>#N/A N/A</v>
        <stp/>
        <stp>BDP|14342216399620183288</stp>
        <tr r="F7" s="16"/>
      </tp>
      <tp t="s">
        <v>#N/A Requesting Data...3934812460</v>
        <stp/>
        <stp>BDP|12868917489186433836</stp>
        <tr r="D22" s="4"/>
      </tp>
      <tp t="s">
        <v>#N/A N/A</v>
        <stp/>
        <stp>BDP|17458564132487035495</stp>
        <tr r="G6" s="16"/>
      </tp>
      <tp t="s">
        <v>#N/A Requesting Data...2405269986</v>
        <stp/>
        <stp>BDP|11441239167720550763</stp>
        <tr r="G22" s="4"/>
      </tp>
      <tp t="s">
        <v>#N/A N/A</v>
        <stp/>
        <stp>BDP|12134806195186667708</stp>
        <tr r="F9" s="16"/>
      </tp>
      <tp t="s">
        <v>#N/A Requesting Data...3153867034</v>
        <stp/>
        <stp>BDP|15571183826414458091</stp>
        <tr r="F23" s="4"/>
      </tp>
      <tp t="s">
        <v>#N/A Requesting Data...2535149139</v>
        <stp/>
        <stp>BDP|16691583684581330968</stp>
        <tr r="F22" s="4"/>
      </tp>
      <tp t="s">
        <v>#N/A Requesting Data...2916368506</v>
        <stp/>
        <stp>BDP|10851542879122214334</stp>
        <tr r="K7" s="16"/>
      </tp>
      <tp t="s">
        <v>#N/A Requesting Data...4284226397</v>
        <stp/>
        <stp>BDP|13033893993631589338</stp>
        <tr r="C24" s="4"/>
      </tp>
      <tp t="s">
        <v>#N/A N/A</v>
        <stp/>
        <stp>BDP|15628696981164784920</stp>
        <tr r="F6" s="16"/>
      </tp>
      <tp t="s">
        <v>#N/A N/A</v>
        <stp/>
        <stp>BDP|17421494076265054774</stp>
        <tr r="D6" s="16"/>
      </tp>
      <tp t="s">
        <v>#N/A Requesting Data...2547750448</v>
        <stp/>
        <stp>BDP|11395363488884515847</stp>
        <tr r="E22" s="4"/>
      </tp>
      <tp t="s">
        <v>#N/A Requesting Data...2854056819</v>
        <stp/>
        <stp>BDP|11453968001806112847</stp>
        <tr r="L10" s="16"/>
      </tp>
      <tp t="s">
        <v>#N/A Requesting Data...2506818166</v>
        <stp/>
        <stp>BDP|14662245951000286439</stp>
        <tr r="C22" s="4"/>
      </tp>
      <tp t="s">
        <v>#N/A Requesting Data...3429675672</v>
        <stp/>
        <stp>BDP|16854102045504656375</stp>
        <tr r="K10" s="16"/>
      </tp>
      <tp t="s">
        <v>#N/A Requesting Data...4018444997</v>
        <stp/>
        <stp>BDP|17541570393706762923</stp>
        <tr r="K9" s="16"/>
      </tp>
      <tp t="s">
        <v>#N/A N/A</v>
        <stp/>
        <stp>BDP|14370156815235148488</stp>
        <tr r="F8" s="16"/>
      </tp>
      <tp t="s">
        <v>#N/A Requesting Data...3501753987</v>
        <stp/>
        <stp>BDP|16879443774998906816</stp>
        <tr r="K8" s="16"/>
      </tp>
    </main>
    <main first="bofaddin.rtdserver">
      <tp t="s">
        <v>#N/A Requesting Data...3405019473</v>
        <stp/>
        <stp>BDP|1413003601749412533</stp>
        <tr r="L6" s="16"/>
      </tp>
      <tp t="s">
        <v>#N/A Requesting Data...4073661409</v>
        <stp/>
        <stp>BDP|8485886604566386829</stp>
        <tr r="H22" s="4"/>
      </tp>
      <tp t="s">
        <v>#N/A Requesting Data...4023262821</v>
        <stp/>
        <stp>BDP|9958272376154164648</stp>
        <tr r="J9" s="16"/>
      </tp>
      <tp t="s">
        <v>#N/A Requesting Data...4241225983</v>
        <stp/>
        <stp>BDP|4155052320638790009</stp>
        <tr r="L7" s="16"/>
      </tp>
      <tp t="s">
        <v>#N/A N/A</v>
        <stp/>
        <stp>BDP|4997210966577515802</stp>
        <tr r="G9" s="16"/>
      </tp>
      <tp t="s">
        <v>#N/A Requesting Data...3455301349</v>
        <stp/>
        <stp>BDP|3599663092060873385</stp>
        <tr r="G23" s="4"/>
      </tp>
      <tp t="s">
        <v>#N/A Requesting Data...2682403794</v>
        <stp/>
        <stp>BDP|2715175043958188031</stp>
        <tr r="C23" s="4"/>
      </tp>
      <tp t="s">
        <v>#N/A Requesting Data...2875472361</v>
        <stp/>
        <stp>BDP|4938759477168674381</stp>
        <tr r="E23" s="4"/>
      </tp>
      <tp t="s">
        <v>#N/A N/A</v>
        <stp/>
        <stp>BDP|5516778511589823234</stp>
        <tr r="F10" s="16"/>
      </tp>
      <tp t="s">
        <v>#N/A Requesting Data...3055927535</v>
        <stp/>
        <stp>BDP|4120548091556971632</stp>
        <tr r="J8" s="16"/>
      </tp>
      <tp t="s">
        <v>#N/A Requesting Data...2822308483</v>
        <stp/>
        <stp>BDP|6229753396345444597</stp>
        <tr r="J10" s="16"/>
      </tp>
      <tp t="s">
        <v>#N/A Requesting Data...4168093548</v>
        <stp/>
        <stp>BDP|6992386206898388576</stp>
        <tr r="I6" s="16"/>
      </tp>
      <tp t="s">
        <v>#N/A N/A</v>
        <stp/>
        <stp>BDP|4532089580725904075</stp>
        <tr r="H6" s="16"/>
      </tp>
      <tp t="s">
        <v>#N/A N/A</v>
        <stp/>
        <stp>BDP|3379476956402510911</stp>
        <tr r="G7" s="16"/>
      </tp>
      <tp t="s">
        <v>#N/A Requesting Data...2822112657</v>
        <stp/>
        <stp>BDP|1440775866201456872</stp>
        <tr r="I10" s="16"/>
      </tp>
      <tp t="s">
        <v>#N/A Requesting Data...2860256682</v>
        <stp/>
        <stp>BDP|2558557980072118785</stp>
        <tr r="I9" s="16"/>
      </tp>
      <tp t="s">
        <v>#N/A Requesting Data...3241395127</v>
        <stp/>
        <stp>BDP|9567764807640019488</stp>
        <tr r="D23" s="4"/>
      </tp>
      <tp t="s">
        <v>#N/A Requesting Data...3475987164</v>
        <stp/>
        <stp>BDP|6919533648008043579</stp>
        <tr r="J6" s="16"/>
      </tp>
      <tp t="s">
        <v>#N/A N/A</v>
        <stp/>
        <stp>BDP|9795865377547352559</stp>
        <tr r="H9" s="16"/>
      </tp>
      <tp t="s">
        <v>#N/A N/A</v>
        <stp/>
        <stp>BDP|3621777069803976439</stp>
        <tr r="D8" s="16"/>
      </tp>
      <tp t="s">
        <v>#N/A N/A</v>
        <stp/>
        <stp>BDP|2634117571192198044</stp>
        <tr r="E10" s="16"/>
      </tp>
      <tp t="s">
        <v>#N/A N/A</v>
        <stp/>
        <stp>BDP|4088085636931872034</stp>
        <tr r="H8" s="16"/>
      </tp>
      <tp t="s">
        <v>#N/A Requesting Data...3971649760</v>
        <stp/>
        <stp>BDP|3917812088037969338</stp>
        <tr r="I8" s="16"/>
      </tp>
      <tp t="s">
        <v>#N/A N/A</v>
        <stp/>
        <stp>BDP|8329996959595020626</stp>
        <tr r="G8" s="16"/>
      </tp>
      <tp t="s">
        <v>#N/A N/A</v>
        <stp/>
        <stp>BDP|9551902812626788049</stp>
        <tr r="E9" s="16"/>
      </tp>
      <tp t="s">
        <v>#N/A N/A</v>
        <stp/>
        <stp>BDP|4245519764736732652</stp>
        <tr r="D9" s="16"/>
      </tp>
      <tp t="s">
        <v>#N/A N/A</v>
        <stp/>
        <stp>BDP|2172564009019829930</stp>
        <tr r="H10" s="16"/>
      </tp>
      <tp t="s">
        <v>#N/A N/A</v>
        <stp/>
        <stp>BDP|1538312403986856411</stp>
        <tr r="G10" s="16"/>
      </tp>
      <tp t="s">
        <v>#N/A Requesting Data...3119875095</v>
        <stp/>
        <stp>BDP|3016032546861645645</stp>
        <tr r="L8" s="16"/>
      </tp>
      <tp t="s">
        <v>#N/A N/A</v>
        <stp/>
        <stp>BDP|4274184704243147681</stp>
        <tr r="E6" s="16"/>
      </tp>
      <tp t="s">
        <v>#N/A Requesting Data...3205419007</v>
        <stp/>
        <stp>BDP|5342164155427751487</stp>
        <tr r="I7" s="16"/>
      </tp>
      <tp t="s">
        <v>#N/A Requesting Data...3965519266</v>
        <stp/>
        <stp>BDP|2470954931023095833</stp>
        <tr r="J7" s="16"/>
      </tp>
    </main>
    <main first="bofaddin.rtdserver">
      <tp t="s">
        <v>#N/A N/A</v>
        <stp/>
        <stp>BDP|808002419262414195</stp>
        <tr r="D7" s="16"/>
      </tp>
      <tp t="s">
        <v>#N/A N/A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NAV'!$A$1169:$A$1469</c:f>
              <c:numCache>
                <c:formatCode>[$-409]d\-mmm\-yy;@</c:formatCode>
                <c:ptCount val="301"/>
                <c:pt idx="0">
                  <c:v>45659</c:v>
                </c:pt>
              </c:numCache>
            </c:numRef>
          </c:cat>
          <c:val>
            <c:numRef>
              <c:f>'Historical NAV'!$N$1169:$N$1469</c:f>
              <c:numCache>
                <c:formatCode>0.00%;[Red]\(0.00%\)</c:formatCode>
                <c:ptCount val="301"/>
                <c:pt idx="0">
                  <c:v>1.6889908619442284E-2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NAV'!$A$2:$A$1469</c:f>
              <c:numCache>
                <c:formatCode>[$-409]d\-mmm\-yy;@</c:formatCode>
                <c:ptCount val="1468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</c:numCache>
            </c:numRef>
          </c:cat>
          <c:val>
            <c:numRef>
              <c:f>'Historical NAV'!$M$2:$M$1469</c:f>
              <c:numCache>
                <c:formatCode>0.00%;[Red]\(0.00%\)</c:formatCode>
                <c:ptCount val="1468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0.10538881348312734</c:v>
                </c:pt>
                <c:pt idx="927">
                  <c:v>0.13755052834946024</c:v>
                </c:pt>
                <c:pt idx="928">
                  <c:v>0.13347555436340208</c:v>
                </c:pt>
                <c:pt idx="929">
                  <c:v>0.10042012530559452</c:v>
                </c:pt>
                <c:pt idx="930">
                  <c:v>0.11826255694441179</c:v>
                </c:pt>
                <c:pt idx="931">
                  <c:v>0.11341864311347116</c:v>
                </c:pt>
                <c:pt idx="932">
                  <c:v>8.0807946883969084E-2</c:v>
                </c:pt>
                <c:pt idx="933">
                  <c:v>9.4302871803027877E-2</c:v>
                </c:pt>
                <c:pt idx="934">
                  <c:v>0.10005250697765633</c:v>
                </c:pt>
                <c:pt idx="935">
                  <c:v>8.7232335153661467E-2</c:v>
                </c:pt>
                <c:pt idx="936">
                  <c:v>8.4641210063091998E-2</c:v>
                </c:pt>
                <c:pt idx="937">
                  <c:v>9.3766594057984598E-2</c:v>
                </c:pt>
                <c:pt idx="938">
                  <c:v>6.9466828650618817E-2</c:v>
                </c:pt>
                <c:pt idx="939">
                  <c:v>9.1343707007740083E-2</c:v>
                </c:pt>
                <c:pt idx="940">
                  <c:v>0.10377880118106608</c:v>
                </c:pt>
                <c:pt idx="941">
                  <c:v>0.10513239736825897</c:v>
                </c:pt>
                <c:pt idx="942">
                  <c:v>9.8479973103873908E-2</c:v>
                </c:pt>
                <c:pt idx="943">
                  <c:v>8.6599349351530464E-2</c:v>
                </c:pt>
                <c:pt idx="944">
                  <c:v>0.10967752585768142</c:v>
                </c:pt>
                <c:pt idx="945">
                  <c:v>0.10872609579523673</c:v>
                </c:pt>
                <c:pt idx="946">
                  <c:v>9.7068288342816222E-2</c:v>
                </c:pt>
                <c:pt idx="947">
                  <c:v>9.4690136301838201E-2</c:v>
                </c:pt>
                <c:pt idx="948">
                  <c:v>8.6918560804991385E-2</c:v>
                </c:pt>
                <c:pt idx="949">
                  <c:v>9.331416426591721E-2</c:v>
                </c:pt>
                <c:pt idx="950">
                  <c:v>0.13356527122806772</c:v>
                </c:pt>
                <c:pt idx="951">
                  <c:v>0.14451968703009466</c:v>
                </c:pt>
                <c:pt idx="952">
                  <c:v>0.12376231731082288</c:v>
                </c:pt>
                <c:pt idx="953">
                  <c:v>0.15407414963637267</c:v>
                </c:pt>
                <c:pt idx="954">
                  <c:v>0.18525868433236581</c:v>
                </c:pt>
                <c:pt idx="955">
                  <c:v>0.16437976502730711</c:v>
                </c:pt>
                <c:pt idx="956">
                  <c:v>0.13351258939576116</c:v>
                </c:pt>
                <c:pt idx="957">
                  <c:v>0.16888973497854609</c:v>
                </c:pt>
                <c:pt idx="958">
                  <c:v>0.14231349889948675</c:v>
                </c:pt>
                <c:pt idx="959">
                  <c:v>0.1229790705885272</c:v>
                </c:pt>
                <c:pt idx="960">
                  <c:v>0.10375518183045318</c:v>
                </c:pt>
                <c:pt idx="961">
                  <c:v>0.11789576491362475</c:v>
                </c:pt>
                <c:pt idx="962">
                  <c:v>0.12576969556539952</c:v>
                </c:pt>
                <c:pt idx="963">
                  <c:v>0.17383540689808585</c:v>
                </c:pt>
                <c:pt idx="964">
                  <c:v>0.20705515713911771</c:v>
                </c:pt>
                <c:pt idx="965">
                  <c:v>0.20139274417663322</c:v>
                </c:pt>
                <c:pt idx="966">
                  <c:v>0.19600177666516339</c:v>
                </c:pt>
                <c:pt idx="967">
                  <c:v>0.18473809367911476</c:v>
                </c:pt>
                <c:pt idx="968">
                  <c:v>0.19800069092565575</c:v>
                </c:pt>
                <c:pt idx="969">
                  <c:v>0.20603370055355841</c:v>
                </c:pt>
                <c:pt idx="970">
                  <c:v>0.2002249120608468</c:v>
                </c:pt>
                <c:pt idx="971">
                  <c:v>0.17798331273703316</c:v>
                </c:pt>
                <c:pt idx="972">
                  <c:v>0.19374024858830063</c:v>
                </c:pt>
                <c:pt idx="973">
                  <c:v>0.12414702920503973</c:v>
                </c:pt>
                <c:pt idx="974">
                  <c:v>0.16866836056046375</c:v>
                </c:pt>
                <c:pt idx="975">
                  <c:v>0.17205082325000043</c:v>
                </c:pt>
                <c:pt idx="976">
                  <c:v>0.17595102111073602</c:v>
                </c:pt>
                <c:pt idx="977">
                  <c:v>0.11964173393546029</c:v>
                </c:pt>
                <c:pt idx="978">
                  <c:v>0.18686957006496807</c:v>
                </c:pt>
                <c:pt idx="979">
                  <c:v>7.8038486703295495E-2</c:v>
                </c:pt>
                <c:pt idx="980">
                  <c:v>2.4924308326377265E-2</c:v>
                </c:pt>
                <c:pt idx="981">
                  <c:v>6.0915384944246753E-3</c:v>
                </c:pt>
                <c:pt idx="982">
                  <c:v>-5.7602622092393863E-2</c:v>
                </c:pt>
                <c:pt idx="983">
                  <c:v>-7.6915106742852402E-2</c:v>
                </c:pt>
                <c:pt idx="984">
                  <c:v>-0.14923515399332765</c:v>
                </c:pt>
                <c:pt idx="985">
                  <c:v>-0.10045289730526763</c:v>
                </c:pt>
                <c:pt idx="986">
                  <c:v>-3.8167246413802314E-2</c:v>
                </c:pt>
                <c:pt idx="987">
                  <c:v>-3.2904357795718653E-2</c:v>
                </c:pt>
                <c:pt idx="988">
                  <c:v>-1.6422676883323217E-2</c:v>
                </c:pt>
                <c:pt idx="989">
                  <c:v>5.3138979493504879E-2</c:v>
                </c:pt>
                <c:pt idx="990">
                  <c:v>7.0682438959191352E-2</c:v>
                </c:pt>
                <c:pt idx="991">
                  <c:v>-8.1958000598727487E-3</c:v>
                </c:pt>
                <c:pt idx="992">
                  <c:v>-5.59594908014589E-2</c:v>
                </c:pt>
                <c:pt idx="993">
                  <c:v>4.5760603763655983E-3</c:v>
                </c:pt>
                <c:pt idx="994">
                  <c:v>7.5584491041924107E-2</c:v>
                </c:pt>
                <c:pt idx="995">
                  <c:v>0.13239278892757023</c:v>
                </c:pt>
                <c:pt idx="996">
                  <c:v>0.11726317660689656</c:v>
                </c:pt>
                <c:pt idx="997">
                  <c:v>0.11592101874477279</c:v>
                </c:pt>
                <c:pt idx="998">
                  <c:v>0.12401091911616557</c:v>
                </c:pt>
                <c:pt idx="999">
                  <c:v>0.15303592469752703</c:v>
                </c:pt>
                <c:pt idx="1000">
                  <c:v>0.14761470096603735</c:v>
                </c:pt>
                <c:pt idx="1001">
                  <c:v>0.1745787852167644</c:v>
                </c:pt>
                <c:pt idx="1002">
                  <c:v>0.23492847603629397</c:v>
                </c:pt>
                <c:pt idx="1003">
                  <c:v>0.22103446724503972</c:v>
                </c:pt>
                <c:pt idx="1004">
                  <c:v>0.22610517948022224</c:v>
                </c:pt>
                <c:pt idx="1005">
                  <c:v>0.24613415833331498</c:v>
                </c:pt>
                <c:pt idx="1006">
                  <c:v>0.24613415833331498</c:v>
                </c:pt>
                <c:pt idx="1007">
                  <c:v>0.2337102746007973</c:v>
                </c:pt>
                <c:pt idx="1008">
                  <c:v>0.22022279774416953</c:v>
                </c:pt>
                <c:pt idx="1009">
                  <c:v>0.25109677605334291</c:v>
                </c:pt>
                <c:pt idx="1010">
                  <c:v>0.25109677605334291</c:v>
                </c:pt>
                <c:pt idx="1011">
                  <c:v>0.28437552898432528</c:v>
                </c:pt>
                <c:pt idx="1012">
                  <c:v>0.24939622912951709</c:v>
                </c:pt>
                <c:pt idx="1013">
                  <c:v>0.22120545134098202</c:v>
                </c:pt>
                <c:pt idx="1014">
                  <c:v>0.23363109679874983</c:v>
                </c:pt>
                <c:pt idx="1015">
                  <c:v>0.25777439401047664</c:v>
                </c:pt>
                <c:pt idx="1016">
                  <c:v>0.22909367499157351</c:v>
                </c:pt>
                <c:pt idx="1017">
                  <c:v>0.28605005047240328</c:v>
                </c:pt>
                <c:pt idx="1018">
                  <c:v>0.29250346226287083</c:v>
                </c:pt>
                <c:pt idx="1019">
                  <c:v>0.27236582741565574</c:v>
                </c:pt>
                <c:pt idx="1020">
                  <c:v>0.28778221551681238</c:v>
                </c:pt>
                <c:pt idx="1021">
                  <c:v>0.27974979397247179</c:v>
                </c:pt>
                <c:pt idx="1022">
                  <c:v>0.3261346304036139</c:v>
                </c:pt>
                <c:pt idx="1023">
                  <c:v>0.33303493277821361</c:v>
                </c:pt>
                <c:pt idx="1024">
                  <c:v>0.33302215065284968</c:v>
                </c:pt>
                <c:pt idx="1025">
                  <c:v>0.34854104853899925</c:v>
                </c:pt>
                <c:pt idx="1026">
                  <c:v>0.3763358944888231</c:v>
                </c:pt>
                <c:pt idx="1027">
                  <c:v>0.39612167691918709</c:v>
                </c:pt>
                <c:pt idx="1028">
                  <c:v>0.37370755278147638</c:v>
                </c:pt>
                <c:pt idx="1029">
                  <c:v>0.33610026366196855</c:v>
                </c:pt>
                <c:pt idx="1030">
                  <c:v>0.29466221050301011</c:v>
                </c:pt>
                <c:pt idx="1031">
                  <c:v>0.33836405654071222</c:v>
                </c:pt>
                <c:pt idx="1032">
                  <c:v>0.32740930303217208</c:v>
                </c:pt>
                <c:pt idx="1033">
                  <c:v>0.30993936948254186</c:v>
                </c:pt>
                <c:pt idx="1034">
                  <c:v>0.32489264437682719</c:v>
                </c:pt>
                <c:pt idx="1035">
                  <c:v>0.33087361906789714</c:v>
                </c:pt>
                <c:pt idx="1036">
                  <c:v>0.35943992460067076</c:v>
                </c:pt>
                <c:pt idx="1037">
                  <c:v>0.42453348577817329</c:v>
                </c:pt>
                <c:pt idx="1038">
                  <c:v>0.42861109722995994</c:v>
                </c:pt>
                <c:pt idx="1039">
                  <c:v>0.43391098814650064</c:v>
                </c:pt>
                <c:pt idx="1040">
                  <c:v>0.44227210319923316</c:v>
                </c:pt>
                <c:pt idx="1041">
                  <c:v>0.44383813553899398</c:v>
                </c:pt>
                <c:pt idx="1042">
                  <c:v>0.49512613304233999</c:v>
                </c:pt>
                <c:pt idx="1043">
                  <c:v>0.45167426051765935</c:v>
                </c:pt>
                <c:pt idx="1044">
                  <c:v>0.48957186657218377</c:v>
                </c:pt>
                <c:pt idx="1045">
                  <c:v>0.48787894973828494</c:v>
                </c:pt>
                <c:pt idx="1046">
                  <c:v>0.50803641493878904</c:v>
                </c:pt>
                <c:pt idx="1047">
                  <c:v>0.36275056846736797</c:v>
                </c:pt>
                <c:pt idx="1048">
                  <c:v>0.34305503348447619</c:v>
                </c:pt>
                <c:pt idx="1049">
                  <c:v>0.27937017763987981</c:v>
                </c:pt>
                <c:pt idx="1050">
                  <c:v>0.33322554469317445</c:v>
                </c:pt>
                <c:pt idx="1051">
                  <c:v>0.31586981265061076</c:v>
                </c:pt>
                <c:pt idx="1052">
                  <c:v>0.23277257223433279</c:v>
                </c:pt>
                <c:pt idx="1053">
                  <c:v>0.21473304551167871</c:v>
                </c:pt>
                <c:pt idx="1054">
                  <c:v>0.25866532951432908</c:v>
                </c:pt>
                <c:pt idx="1055">
                  <c:v>0.24770704744870709</c:v>
                </c:pt>
                <c:pt idx="1056">
                  <c:v>0.19929295249848988</c:v>
                </c:pt>
                <c:pt idx="1057">
                  <c:v>0.32594443484250335</c:v>
                </c:pt>
                <c:pt idx="1058">
                  <c:v>0.22359034976155945</c:v>
                </c:pt>
                <c:pt idx="1059">
                  <c:v>0.1536497379373698</c:v>
                </c:pt>
                <c:pt idx="1060">
                  <c:v>3.533554758019064E-2</c:v>
                </c:pt>
                <c:pt idx="1061">
                  <c:v>6.5619711511420098E-2</c:v>
                </c:pt>
                <c:pt idx="1062">
                  <c:v>3.4056979448443991E-2</c:v>
                </c:pt>
                <c:pt idx="1063">
                  <c:v>0.13131751903334554</c:v>
                </c:pt>
                <c:pt idx="1064">
                  <c:v>0.14790310069958368</c:v>
                </c:pt>
                <c:pt idx="1065">
                  <c:v>0.16711384113777128</c:v>
                </c:pt>
                <c:pt idx="1066">
                  <c:v>0.23583853109383446</c:v>
                </c:pt>
                <c:pt idx="1067">
                  <c:v>0.23905974223617776</c:v>
                </c:pt>
                <c:pt idx="1068">
                  <c:v>0.30710788569703773</c:v>
                </c:pt>
                <c:pt idx="1069">
                  <c:v>0.33619801668521099</c:v>
                </c:pt>
                <c:pt idx="1070">
                  <c:v>0.3812684723898172</c:v>
                </c:pt>
                <c:pt idx="1071">
                  <c:v>0.35021412663637985</c:v>
                </c:pt>
                <c:pt idx="1072">
                  <c:v>0.36946136150439446</c:v>
                </c:pt>
                <c:pt idx="1073">
                  <c:v>0.31709016975890392</c:v>
                </c:pt>
                <c:pt idx="1074">
                  <c:v>0.38797164382951532</c:v>
                </c:pt>
                <c:pt idx="1075">
                  <c:v>0.36343761795768326</c:v>
                </c:pt>
                <c:pt idx="1076">
                  <c:v>0.3810874621620457</c:v>
                </c:pt>
                <c:pt idx="1077">
                  <c:v>0.34170627593097458</c:v>
                </c:pt>
                <c:pt idx="1078">
                  <c:v>0.31712552059482868</c:v>
                </c:pt>
                <c:pt idx="1079">
                  <c:v>0.35955107165526901</c:v>
                </c:pt>
                <c:pt idx="1080">
                  <c:v>0.35422655263068825</c:v>
                </c:pt>
                <c:pt idx="1081">
                  <c:v>0.21734790440658514</c:v>
                </c:pt>
                <c:pt idx="1082">
                  <c:v>0.18856090337449349</c:v>
                </c:pt>
                <c:pt idx="1083">
                  <c:v>0.18972137063733618</c:v>
                </c:pt>
                <c:pt idx="1084">
                  <c:v>0.11412040462245199</c:v>
                </c:pt>
                <c:pt idx="1085">
                  <c:v>0.15557220459548038</c:v>
                </c:pt>
                <c:pt idx="1086">
                  <c:v>0.17018667477144334</c:v>
                </c:pt>
                <c:pt idx="1087">
                  <c:v>0.2418213357379484</c:v>
                </c:pt>
                <c:pt idx="1088">
                  <c:v>0.28157923114629968</c:v>
                </c:pt>
                <c:pt idx="1089">
                  <c:v>0.31072956188115075</c:v>
                </c:pt>
                <c:pt idx="1090">
                  <c:v>0.30012778818044072</c:v>
                </c:pt>
                <c:pt idx="1091">
                  <c:v>0.30219430079603038</c:v>
                </c:pt>
                <c:pt idx="1092">
                  <c:v>0.27993295783702488</c:v>
                </c:pt>
                <c:pt idx="1093">
                  <c:v>0.37487782260320657</c:v>
                </c:pt>
                <c:pt idx="1094">
                  <c:v>0.36377536649274034</c:v>
                </c:pt>
                <c:pt idx="1095">
                  <c:v>0.37268203174941328</c:v>
                </c:pt>
                <c:pt idx="1096">
                  <c:v>0.42759915422897588</c:v>
                </c:pt>
                <c:pt idx="1097">
                  <c:v>0.42860166816704703</c:v>
                </c:pt>
                <c:pt idx="1098">
                  <c:v>0.46967528968623196</c:v>
                </c:pt>
                <c:pt idx="1099">
                  <c:v>0.44029139677353513</c:v>
                </c:pt>
                <c:pt idx="1100">
                  <c:v>0.43734013064382915</c:v>
                </c:pt>
                <c:pt idx="1101">
                  <c:v>0.38833060137982023</c:v>
                </c:pt>
                <c:pt idx="1102">
                  <c:v>0.4269792585744876</c:v>
                </c:pt>
                <c:pt idx="1103">
                  <c:v>0.44397811853060709</c:v>
                </c:pt>
                <c:pt idx="1104">
                  <c:v>0.49414335959319589</c:v>
                </c:pt>
                <c:pt idx="1105">
                  <c:v>0.48518335826384318</c:v>
                </c:pt>
                <c:pt idx="1106">
                  <c:v>0.50708180355590793</c:v>
                </c:pt>
                <c:pt idx="1107">
                  <c:v>0.52158302089732822</c:v>
                </c:pt>
                <c:pt idx="1108">
                  <c:v>0.53482289924558923</c:v>
                </c:pt>
                <c:pt idx="1109">
                  <c:v>0.57131256033415712</c:v>
                </c:pt>
                <c:pt idx="1110">
                  <c:v>0.6097348526238997</c:v>
                </c:pt>
                <c:pt idx="1111">
                  <c:v>0.53220229250468098</c:v>
                </c:pt>
                <c:pt idx="1112">
                  <c:v>0.56773977012369192</c:v>
                </c:pt>
                <c:pt idx="1113">
                  <c:v>0.60788477474557046</c:v>
                </c:pt>
                <c:pt idx="1114">
                  <c:v>0.62913797897819745</c:v>
                </c:pt>
                <c:pt idx="1115">
                  <c:v>0.63838510679025129</c:v>
                </c:pt>
                <c:pt idx="1116">
                  <c:v>0.62940747362649963</c:v>
                </c:pt>
                <c:pt idx="1117">
                  <c:v>0.57667283847774775</c:v>
                </c:pt>
                <c:pt idx="1118">
                  <c:v>0.5891927606744678</c:v>
                </c:pt>
                <c:pt idx="1119">
                  <c:v>0.60277080631930757</c:v>
                </c:pt>
                <c:pt idx="1120">
                  <c:v>0.59428613612126546</c:v>
                </c:pt>
                <c:pt idx="1121">
                  <c:v>0.61567348296110325</c:v>
                </c:pt>
                <c:pt idx="1122">
                  <c:v>0.58699733337428439</c:v>
                </c:pt>
                <c:pt idx="1123">
                  <c:v>0.49541313680391963</c:v>
                </c:pt>
                <c:pt idx="1124">
                  <c:v>0.52551362814708202</c:v>
                </c:pt>
                <c:pt idx="1125">
                  <c:v>0.5249586622965885</c:v>
                </c:pt>
                <c:pt idx="1126">
                  <c:v>0.59558944887793785</c:v>
                </c:pt>
                <c:pt idx="1127">
                  <c:v>0.67543939253795915</c:v>
                </c:pt>
                <c:pt idx="1128">
                  <c:v>0.73549893648441511</c:v>
                </c:pt>
                <c:pt idx="1129">
                  <c:v>0.73601413994551113</c:v>
                </c:pt>
                <c:pt idx="1130">
                  <c:v>0.71172756614277422</c:v>
                </c:pt>
                <c:pt idx="1131">
                  <c:v>0.6918825839822651</c:v>
                </c:pt>
                <c:pt idx="1132">
                  <c:v>0.66755486758103277</c:v>
                </c:pt>
                <c:pt idx="1133">
                  <c:v>0.64992928211523138</c:v>
                </c:pt>
                <c:pt idx="1134">
                  <c:v>0.59582125827576804</c:v>
                </c:pt>
                <c:pt idx="1135">
                  <c:v>0.61995739866020072</c:v>
                </c:pt>
                <c:pt idx="1136">
                  <c:v>0.66264291677586806</c:v>
                </c:pt>
                <c:pt idx="1137">
                  <c:v>0.66174356187326167</c:v>
                </c:pt>
                <c:pt idx="1138">
                  <c:v>0.69299231670976091</c:v>
                </c:pt>
                <c:pt idx="1139">
                  <c:v>0.68793099975421246</c:v>
                </c:pt>
                <c:pt idx="1140">
                  <c:v>0.65759358618526442</c:v>
                </c:pt>
                <c:pt idx="1141">
                  <c:v>0.66226175845401292</c:v>
                </c:pt>
                <c:pt idx="1142">
                  <c:v>0.65231869389973229</c:v>
                </c:pt>
                <c:pt idx="1143">
                  <c:v>0.64918655297590711</c:v>
                </c:pt>
                <c:pt idx="1144">
                  <c:v>0.69146549316900341</c:v>
                </c:pt>
                <c:pt idx="1145">
                  <c:v>0.71997140378090996</c:v>
                </c:pt>
                <c:pt idx="1146">
                  <c:v>0.73825546305356493</c:v>
                </c:pt>
                <c:pt idx="1147">
                  <c:v>0.77704514932081858</c:v>
                </c:pt>
                <c:pt idx="1148">
                  <c:v>0.77328842394960584</c:v>
                </c:pt>
                <c:pt idx="1149">
                  <c:v>0.77472880659328069</c:v>
                </c:pt>
                <c:pt idx="1150">
                  <c:v>0.74645766342732567</c:v>
                </c:pt>
                <c:pt idx="1151">
                  <c:v>0.71000489071003559</c:v>
                </c:pt>
                <c:pt idx="1152">
                  <c:v>0.75197922663928818</c:v>
                </c:pt>
                <c:pt idx="1153">
                  <c:v>0.72159578654325918</c:v>
                </c:pt>
                <c:pt idx="1154">
                  <c:v>0.71612902532295375</c:v>
                </c:pt>
                <c:pt idx="1155">
                  <c:v>0.71973068862578571</c:v>
                </c:pt>
                <c:pt idx="1156">
                  <c:v>0.6945384594566455</c:v>
                </c:pt>
                <c:pt idx="1157">
                  <c:v>0.57636582856268981</c:v>
                </c:pt>
                <c:pt idx="1158">
                  <c:v>0.56109787561690694</c:v>
                </c:pt>
                <c:pt idx="1159">
                  <c:v>0.6138865619502305</c:v>
                </c:pt>
                <c:pt idx="1160">
                  <c:v>0.66242563757266359</c:v>
                </c:pt>
                <c:pt idx="1161">
                  <c:v>0.70146946173692659</c:v>
                </c:pt>
                <c:pt idx="1162">
                  <c:v>0.70153476449284335</c:v>
                </c:pt>
                <c:pt idx="1163">
                  <c:v>0.69661983076900924</c:v>
                </c:pt>
                <c:pt idx="1164">
                  <c:v>0.65042929909039437</c:v>
                </c:pt>
                <c:pt idx="1165">
                  <c:v>0.61965995872729618</c:v>
                </c:pt>
                <c:pt idx="1166">
                  <c:v>0.59567773941178603</c:v>
                </c:pt>
                <c:pt idx="1167">
                  <c:v>0.62262859061652942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-21079.34</c:v>
                </c:pt>
                <c:pt idx="1">
                  <c:v>1020611</c:v>
                </c:pt>
                <c:pt idx="2">
                  <c:v>-360678.57</c:v>
                </c:pt>
                <c:pt idx="3">
                  <c:v>31358.5</c:v>
                </c:pt>
                <c:pt idx="4">
                  <c:v>416103.49</c:v>
                </c:pt>
                <c:pt idx="5">
                  <c:v>-38037.5</c:v>
                </c:pt>
                <c:pt idx="6">
                  <c:v>3413.2399999999989</c:v>
                </c:pt>
                <c:pt idx="7">
                  <c:v>0</c:v>
                </c:pt>
                <c:pt idx="8">
                  <c:v>2571.7331769000029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-21079.34</c:v>
                </c:pt>
                <c:pt idx="1">
                  <c:v>1020611</c:v>
                </c:pt>
                <c:pt idx="2">
                  <c:v>-360678.57</c:v>
                </c:pt>
                <c:pt idx="3">
                  <c:v>31358.5</c:v>
                </c:pt>
                <c:pt idx="4">
                  <c:v>416103.49</c:v>
                </c:pt>
                <c:pt idx="5">
                  <c:v>-38037.5</c:v>
                </c:pt>
                <c:pt idx="6">
                  <c:v>3413.2399999999989</c:v>
                </c:pt>
                <c:pt idx="7">
                  <c:v>0</c:v>
                </c:pt>
                <c:pt idx="8">
                  <c:v>2571.7331769000029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</xdr:colOff>
      <xdr:row>1</xdr:row>
      <xdr:rowOff>24654</xdr:rowOff>
    </xdr:from>
    <xdr:to>
      <xdr:col>23</xdr:col>
      <xdr:colOff>112067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zoomScale="85" zoomScaleNormal="85" workbookViewId="0">
      <selection activeCell="E10" sqref="E10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45659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318</v>
      </c>
      <c r="B4" s="8">
        <f ca="1">OFFSET('Historical NAV'!I1,COUNT('Historical NAV'!A:A),,,)</f>
        <v>1.6889908619442388E-2</v>
      </c>
      <c r="D4" s="91"/>
      <c r="E4" s="92"/>
    </row>
    <row r="5" spans="1:23">
      <c r="A5" t="s">
        <v>66</v>
      </c>
      <c r="B5" s="8">
        <f ca="1">OFFSET('Historical NAV'!K1,COUNT('Historical NAV'!A:A),,,)</f>
        <v>1.6889908619442388E-2</v>
      </c>
      <c r="E5" s="146"/>
    </row>
    <row r="6" spans="1:23">
      <c r="A6" t="s">
        <v>299</v>
      </c>
      <c r="B6" s="8">
        <f ca="1">OFFSET('Historical NAV'!N1,COUNT('Historical NAV'!A:A),,,)</f>
        <v>1.6889908619442284E-2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1.6889908619442388E-2</v>
      </c>
      <c r="D9" t="s">
        <v>188</v>
      </c>
      <c r="E9" s="146">
        <f ca="1">OFFSET('Historical NAV'!B1,COUNT('Historical NAV'!A:A),,,)</f>
        <v>63255466.560107999</v>
      </c>
    </row>
    <row r="10" spans="1:23">
      <c r="A10" t="s">
        <v>181</v>
      </c>
      <c r="B10" s="2">
        <f ca="1">E13/E9</f>
        <v>3.0938138665697301</v>
      </c>
      <c r="D10" t="s">
        <v>159</v>
      </c>
      <c r="E10" s="146">
        <v>33674480.659999996</v>
      </c>
    </row>
    <row r="11" spans="1:23">
      <c r="A11" t="s">
        <v>146</v>
      </c>
      <c r="B11" s="8">
        <f ca="1">OFFSET('Historical NAV'!R1,COUNT('Historical NAV'!A:A),,,)</f>
        <v>-4.1906767922036355E-2</v>
      </c>
      <c r="D11" t="s">
        <v>160</v>
      </c>
      <c r="E11" s="8">
        <f ca="1">E10/E9</f>
        <v>0.53235684583878762</v>
      </c>
    </row>
    <row r="12" spans="1:23">
      <c r="A12" t="s">
        <v>147</v>
      </c>
      <c r="B12" s="8">
        <f ca="1">OFFSET('Historical NAV'!T1,COUNT('Historical NAV'!A:A),,,)</f>
        <v>0.18976938144993891</v>
      </c>
    </row>
    <row r="13" spans="1:23">
      <c r="A13" t="s">
        <v>148</v>
      </c>
      <c r="B13" s="8">
        <f ca="1">OFFSET('Historical NAV'!V1,COUNT('Historical NAV'!A:A),,,)</f>
        <v>0.91223793030466227</v>
      </c>
      <c r="D13" s="99" t="s">
        <v>180</v>
      </c>
      <c r="E13" s="152">
        <f>K25</f>
        <v>195700639.57999998</v>
      </c>
    </row>
    <row r="14" spans="1:23">
      <c r="A14" t="s">
        <v>125</v>
      </c>
      <c r="B14" s="51" t="e">
        <f ca="1">OFFSET('Historical NAV'!W1,COUNT('Historical NAV'!A:A),,,)</f>
        <v>#DIV/0!</v>
      </c>
      <c r="D14" s="350">
        <v>5.0000000000000001E-3</v>
      </c>
      <c r="E14" s="123">
        <f>(D14*$E$13)/(1-D14)</f>
        <v>983420.29939698486</v>
      </c>
    </row>
    <row r="15" spans="1:23">
      <c r="A15" t="s">
        <v>144</v>
      </c>
      <c r="B15" s="51">
        <f ca="1">OFFSET('Historical NAV'!AB1,COUNT('Historical NAV'!A:A),,,)</f>
        <v>3.6460504252824069</v>
      </c>
      <c r="D15" s="350">
        <v>0.01</v>
      </c>
      <c r="E15" s="123">
        <f>(D15*$E$13)/(1-D15)</f>
        <v>1976774.1371717171</v>
      </c>
      <c r="F15" s="133"/>
    </row>
    <row r="16" spans="1:23">
      <c r="A16" t="s">
        <v>145</v>
      </c>
      <c r="B16" s="51" t="e">
        <f ca="1">OFFSET('Historical NAV'!P1,COUNT('Historical NAV'!A:A),,,)</f>
        <v>#DIV/0!</v>
      </c>
      <c r="D16" s="350">
        <v>1.4999999999999999E-2</v>
      </c>
      <c r="E16" s="123">
        <f>(D16*$E$13)/(1-D16)</f>
        <v>2980212.7854822329</v>
      </c>
      <c r="F16" s="169"/>
    </row>
    <row r="17" spans="1:23">
      <c r="A17" t="s">
        <v>185</v>
      </c>
      <c r="B17" s="51">
        <f ca="1">OFFSET('Historical NAV'!AC1,COUNT('Historical NAV'!A:A),,,)</f>
        <v>-3.5742781256980737E-2</v>
      </c>
      <c r="D17" s="350">
        <v>0.05</v>
      </c>
      <c r="E17" s="123">
        <f>(D17*$E$13)/(1-D17)</f>
        <v>10300033.662105264</v>
      </c>
    </row>
    <row r="18" spans="1:23">
      <c r="A18" t="s">
        <v>186</v>
      </c>
      <c r="B18" s="51">
        <f ca="1">OFFSET('Historical NAV'!AD1,COUNT('Historical NAV'!A:A),,,)</f>
        <v>-4.2704572070813469E-2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-4.7937771521059269E-2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301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13</v>
      </c>
      <c r="C24" s="94">
        <f>COUNTIF('Mark to Market'!$B$3:$B$1028,C23)</f>
        <v>22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22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103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76174685.230000004</v>
      </c>
      <c r="C25" s="102">
        <f>SUMIF('Mark to Market'!$B$3:$B$1028,C23,'Mark to Market'!$H$3:$H$1028)</f>
        <v>52297758</v>
      </c>
      <c r="D25" s="102">
        <f>SUMIF('Mark to Market'!$B$3:$B$1028,D23,'Mark to Market'!$H$3:$H$1028)</f>
        <v>20508350.719999999</v>
      </c>
      <c r="E25" s="102">
        <f>SUMIF('Mark to Market'!$B$3:$B$1028,E23,'Mark to Market'!$H$3:$H$1028)</f>
        <v>20309036.009999998</v>
      </c>
      <c r="F25" s="102">
        <f>SUMIF('Mark to Market'!$B$3:$B$1028,F23,'Mark to Market'!$H$3:$H$1028)</f>
        <v>25752444.02</v>
      </c>
      <c r="G25" s="102">
        <f>SUMIF('Mark to Market'!$B$3:$B$1028,G23,'Mark to Market'!$H$3:$H$1028)</f>
        <v>512097.5</v>
      </c>
      <c r="H25" s="102">
        <f>SUMIF('Mark to Market'!$B$3:$B$1028,H23,'Mark to Market'!$H$3:$H$1028)</f>
        <v>146268.1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195700639.57999998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71271448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10159017</v>
      </c>
      <c r="N25" s="35">
        <f>F25-M25</f>
        <v>15593427.02</v>
      </c>
    </row>
    <row r="26" spans="1:23">
      <c r="A26" s="99" t="s">
        <v>197</v>
      </c>
      <c r="B26" s="103">
        <f t="shared" ref="B26:J26" si="0">B25/$K$25</f>
        <v>0.38924085988416374</v>
      </c>
      <c r="C26" s="103">
        <f>C25/$K$25</f>
        <v>0.26723345468996962</v>
      </c>
      <c r="D26" s="103">
        <f>D25/$K$25</f>
        <v>0.10479450023267012</v>
      </c>
      <c r="E26" s="103">
        <f>E25/$K$25</f>
        <v>0.10377603289179807</v>
      </c>
      <c r="F26" s="103">
        <f t="shared" si="0"/>
        <v>0.13159100591223527</v>
      </c>
      <c r="G26" s="103">
        <f t="shared" si="0"/>
        <v>2.616739020879188E-3</v>
      </c>
      <c r="H26" s="103">
        <f t="shared" si="0"/>
        <v>7.4740736828408493E-4</v>
      </c>
      <c r="I26" s="103">
        <f t="shared" si="0"/>
        <v>0</v>
      </c>
      <c r="J26" s="103">
        <f t="shared" si="0"/>
        <v>0</v>
      </c>
      <c r="K26" s="103">
        <f>SUM(B26:J26)</f>
        <v>1.0000000000000002</v>
      </c>
      <c r="L26" s="103">
        <f>L25/$K$25</f>
        <v>0.36418607600342112</v>
      </c>
      <c r="M26" s="103">
        <f>M25/$K$25</f>
        <v>5.1911005614507053E-2</v>
      </c>
      <c r="N26" s="216">
        <f>F26-M26</f>
        <v>7.9680000297728218E-2</v>
      </c>
    </row>
    <row r="27" spans="1:23">
      <c r="A27" s="99" t="s">
        <v>196</v>
      </c>
      <c r="B27" s="165">
        <f ca="1">B25/$E$9</f>
        <v>1.2042387697451511</v>
      </c>
      <c r="C27" s="165">
        <f ca="1">C25/$E$9</f>
        <v>0.82677056773116164</v>
      </c>
      <c r="D27" s="165">
        <f ca="1">D25/$E$9</f>
        <v>0.32421467796007958</v>
      </c>
      <c r="E27" s="165">
        <f t="shared" ref="E27:K27" ca="1" si="1">E25/$E$9</f>
        <v>0.32106372957824125</v>
      </c>
      <c r="F27" s="165">
        <f t="shared" ca="1" si="1"/>
        <v>0.40711807880713274</v>
      </c>
      <c r="G27" s="165">
        <f t="shared" ca="1" si="1"/>
        <v>8.0957034679901303E-3</v>
      </c>
      <c r="H27" s="165">
        <f t="shared" ca="1" si="1"/>
        <v>2.312339279973691E-3</v>
      </c>
      <c r="I27" s="165">
        <f t="shared" ca="1" si="1"/>
        <v>0</v>
      </c>
      <c r="J27" s="165">
        <f t="shared" ca="1" si="1"/>
        <v>0</v>
      </c>
      <c r="K27" s="165">
        <f t="shared" ca="1" si="1"/>
        <v>3.0938138665697301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-21079.34</v>
      </c>
      <c r="C29" s="155">
        <f ca="1">OFFSET('Daily P&amp;L breakdown'!D1,COUNT('Daily P&amp;L breakdown'!$A:$A),,,)</f>
        <v>1020611</v>
      </c>
      <c r="D29" s="155">
        <f ca="1">OFFSET('Daily P&amp;L breakdown'!C1,COUNT('Daily P&amp;L breakdown'!$A:$A),,,)</f>
        <v>-360678.57</v>
      </c>
      <c r="E29" s="155">
        <f ca="1">OFFSET('Daily P&amp;L breakdown'!E1,COUNT('Daily P&amp;L breakdown'!$A:$A),,,)</f>
        <v>31358.5</v>
      </c>
      <c r="F29" s="155">
        <f ca="1">OFFSET('Daily P&amp;L breakdown'!F1,COUNT('Daily P&amp;L breakdown'!$A:$A),,,)</f>
        <v>416103.49</v>
      </c>
      <c r="G29" s="155">
        <f ca="1">OFFSET('Daily P&amp;L breakdown'!G1,COUNT('Daily P&amp;L breakdown'!$A:$A),,,)</f>
        <v>-38037.5</v>
      </c>
      <c r="H29" s="155">
        <f ca="1">OFFSET('Daily P&amp;L breakdown'!H1,COUNT('Daily P&amp;L breakdown'!$A:$A),,,)</f>
        <v>3413.2399999999989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1051690.82</v>
      </c>
      <c r="L29" s="213"/>
      <c r="M29" s="214"/>
      <c r="N29" s="214"/>
    </row>
    <row r="31" spans="1:23">
      <c r="A31" s="300" t="s">
        <v>152</v>
      </c>
      <c r="B31" s="300"/>
      <c r="C31" s="300"/>
      <c r="D31" s="300"/>
      <c r="E31" s="300"/>
      <c r="F31" s="300"/>
      <c r="G31" s="300"/>
      <c r="H31" s="300"/>
      <c r="I31" s="300"/>
      <c r="J31" s="300"/>
      <c r="K31" s="300"/>
      <c r="L31" s="349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49" t="s">
        <v>406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-21079.34</v>
      </c>
      <c r="C33" s="154">
        <f>SUMIFS('Daily P&amp;L breakdown'!D:D, 'Daily P&amp;L breakdown'!$A:$A, "&gt;=" &amp; EOMONTH($A33, -1) + 1, 'Daily P&amp;L breakdown'!$A:$A, "&lt;=" &amp; EOMONTH($A33, 0))</f>
        <v>1020611</v>
      </c>
      <c r="D33" s="154">
        <f>SUMIFS('Daily P&amp;L breakdown'!C:C, 'Daily P&amp;L breakdown'!$A:$A, "&gt;=" &amp; EOMONTH($A33, -1) + 1, 'Daily P&amp;L breakdown'!$A:$A, "&lt;=" &amp; EOMONTH($A33, 0))</f>
        <v>-360678.57</v>
      </c>
      <c r="E33" s="154">
        <f>SUMIFS('Daily P&amp;L breakdown'!E:E, 'Daily P&amp;L breakdown'!$A:$A, "&gt;=" &amp; EOMONTH($A33, -1) + 1, 'Daily P&amp;L breakdown'!$A:$A, "&lt;=" &amp; EOMONTH($A33, 0))</f>
        <v>31358.5</v>
      </c>
      <c r="F33" s="154">
        <f>SUMIFS('Daily P&amp;L breakdown'!F:F, 'Daily P&amp;L breakdown'!$A:$A, "&gt;=" &amp; EOMONTH($A33, -1) + 1, 'Daily P&amp;L breakdown'!$A:$A, "&lt;=" &amp; EOMONTH($A33, 0))</f>
        <v>416103.49</v>
      </c>
      <c r="G33" s="154">
        <f>SUMIFS('Daily P&amp;L breakdown'!G:G, 'Daily P&amp;L breakdown'!$A:$A, "&gt;=" &amp; EOMONTH($A33, -1) + 1, 'Daily P&amp;L breakdown'!$A:$A, "&lt;=" &amp; EOMONTH($A33, 0))</f>
        <v>-38037.5</v>
      </c>
      <c r="H33" s="154">
        <f>SUMIFS('Daily P&amp;L breakdown'!H:H, 'Daily P&amp;L breakdown'!$A:$A, "&gt;=" &amp; EOMONTH($A33, -1) + 1, 'Daily P&amp;L breakdown'!$A:$A, "&lt;=" &amp; EOMONTH($A33, 0))</f>
        <v>3413.2399999999989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2571.7331769000029</v>
      </c>
      <c r="K33" s="154">
        <f t="shared" ref="K33:K44" si="2">SUM(B33:J33)</f>
        <v>1054262.5531769001</v>
      </c>
      <c r="L33" s="154">
        <f>SUM(Email!$T$9:$T$11)-K33</f>
        <v>-3628.613068905659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408</v>
      </c>
      <c r="B45" s="164">
        <f t="shared" ref="B45:I45" si="3">SUM(B33:B44)</f>
        <v>-21079.34</v>
      </c>
      <c r="C45" s="164">
        <f>SUM(C33:C44)</f>
        <v>1020611</v>
      </c>
      <c r="D45" s="164">
        <f>SUM(D33:D44)</f>
        <v>-360678.57</v>
      </c>
      <c r="E45" s="164">
        <f t="shared" si="3"/>
        <v>31358.5</v>
      </c>
      <c r="F45" s="164">
        <f t="shared" si="3"/>
        <v>416103.49</v>
      </c>
      <c r="G45" s="164">
        <f t="shared" si="3"/>
        <v>-38037.5</v>
      </c>
      <c r="H45" s="164">
        <f t="shared" si="3"/>
        <v>3413.2399999999989</v>
      </c>
      <c r="I45" s="164">
        <f t="shared" si="3"/>
        <v>0</v>
      </c>
      <c r="J45" s="164">
        <f>SUM(J33:J44)</f>
        <v>2571.7331769000029</v>
      </c>
      <c r="K45" s="164">
        <f>SUM(K33:K44)</f>
        <v>1054262.5531769001</v>
      </c>
    </row>
    <row r="46" spans="1:12">
      <c r="A46" s="347" t="s">
        <v>153</v>
      </c>
      <c r="B46" s="348">
        <v>4163680.4899999979</v>
      </c>
      <c r="C46" s="348">
        <v>7118183.3400000008</v>
      </c>
      <c r="D46" s="348">
        <v>1475451.6300000004</v>
      </c>
      <c r="E46" s="348">
        <v>-2096198.1</v>
      </c>
      <c r="F46" s="348">
        <v>749546.2900000005</v>
      </c>
      <c r="G46" s="348">
        <v>5605745.8027410498</v>
      </c>
      <c r="H46" s="348">
        <v>7949499.6825110503</v>
      </c>
      <c r="I46" s="348">
        <v>0</v>
      </c>
      <c r="J46" s="348">
        <v>-6960481.4497700026</v>
      </c>
      <c r="K46" s="348">
        <v>18005427.685482096</v>
      </c>
    </row>
    <row r="47" spans="1:12">
      <c r="A47" s="91"/>
      <c r="B47" s="91"/>
      <c r="C47" s="93"/>
    </row>
    <row r="48" spans="1:12">
      <c r="A48" s="300" t="s">
        <v>154</v>
      </c>
      <c r="B48" s="300"/>
      <c r="C48" s="300"/>
      <c r="D48" s="300"/>
      <c r="E48" s="300"/>
      <c r="F48" s="300"/>
      <c r="G48" s="300"/>
      <c r="H48" s="300"/>
      <c r="I48" s="300"/>
      <c r="J48" s="300"/>
      <c r="K48" s="300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-3.3324139629844525E-4</v>
      </c>
      <c r="C50" s="299">
        <f>C33/'Historical NAV'!$B$1169</f>
        <v>1.6134747801285643E-2</v>
      </c>
      <c r="D50" s="299">
        <f>D33/'Historical NAV'!$B$1169</f>
        <v>-5.7019351783180365E-3</v>
      </c>
      <c r="E50" s="299">
        <f>E33/'Historical NAV'!$B$1169</f>
        <v>4.9574371521237358E-4</v>
      </c>
      <c r="F50" s="299">
        <f>F33/'Historical NAV'!$B$1169</f>
        <v>6.5781427697573138E-3</v>
      </c>
      <c r="G50" s="299">
        <f>G33/'Historical NAV'!$B$1169</f>
        <v>-6.0133142744042798E-4</v>
      </c>
      <c r="H50" s="299">
        <f>H33/'Historical NAV'!$B$1169</f>
        <v>5.3959605163240635E-5</v>
      </c>
      <c r="I50" s="299">
        <f>I33/'Historical NAV'!$B$1169</f>
        <v>0</v>
      </c>
      <c r="J50" s="299">
        <f>J33/'Historical NAV'!$B$1169</f>
        <v>4.0656299237888542E-5</v>
      </c>
      <c r="K50" s="299">
        <f>K33/'Historical NAV'!$B$1169</f>
        <v>1.6666742188599551E-2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408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15"/>
  <sheetViews>
    <sheetView zoomScale="85" zoomScaleNormal="85" workbookViewId="0">
      <pane xSplit="1" ySplit="1" topLeftCell="B1145" activePane="bottomRight" state="frozen"/>
      <selection pane="topRight" activeCell="B1" sqref="B1"/>
      <selection pane="bottomLeft" activeCell="A2" sqref="A2"/>
      <selection pane="bottomRight" activeCell="H1175" sqref="H1175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317</v>
      </c>
      <c r="I1" s="128" t="s">
        <v>316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>F909/(B908+C909)</f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ref="G910:G973" si="157">F910/(B909+C910)</f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8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ref="Y910:Y973" si="159">G910-X910</f>
        <v>-6.3473782246552188E-2</v>
      </c>
      <c r="Z910" s="139">
        <f t="shared" ref="Z910:Z973" si="160">IF(Y910&lt;0,Y910,0)</f>
        <v>-6.3473782246552188E-2</v>
      </c>
      <c r="AA910" s="139">
        <f t="shared" ref="AA910:AA973" si="161">Z910^2</f>
        <v>4.0289210326827241E-3</v>
      </c>
      <c r="AB910" s="144">
        <f t="shared" ref="AB910:AB973" si="162">AVERAGE(Y659:Y910)/AVERAGE(AA659:AA910)</f>
        <v>8.7012884371435515</v>
      </c>
      <c r="AC910" s="144">
        <f t="shared" ref="AC910:AC973" si="163">AVERAGE(G881:G910)-_xlfn.NORM.S.INV(0.95)*_xlfn.STDEV.S(G881:G910)</f>
        <v>-5.7913282446722635E-2</v>
      </c>
      <c r="AD910" s="144">
        <f t="shared" ref="AD910:AD973" si="164">AVERAGE(G821:G910)-_xlfn.NORM.S.INV(0.95)*_xlfn.STDEV.S(G821:G910)</f>
        <v>-4.4120407911699182E-2</v>
      </c>
      <c r="AE910" s="144">
        <f t="shared" ref="AE910:AE973" si="165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57"/>
        <v>-6.0052683652826802E-2</v>
      </c>
      <c r="H911" s="70"/>
      <c r="I911" s="70"/>
      <c r="J911" s="67">
        <f t="shared" si="143"/>
        <v>-6261101.0599999949</v>
      </c>
      <c r="K911" s="70">
        <f t="shared" si="158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9"/>
        <v>-6.0231255081398233E-2</v>
      </c>
      <c r="Z911" s="139">
        <f t="shared" si="160"/>
        <v>-6.0231255081398233E-2</v>
      </c>
      <c r="AA911" s="139">
        <f t="shared" si="161"/>
        <v>3.6278040886804606E-3</v>
      </c>
      <c r="AB911" s="144">
        <f t="shared" si="162"/>
        <v>7.0897836188470125</v>
      </c>
      <c r="AC911" s="144">
        <f t="shared" si="163"/>
        <v>-6.3469883780326558E-2</v>
      </c>
      <c r="AD911" s="144">
        <f t="shared" si="164"/>
        <v>-4.6107566040296484E-2</v>
      </c>
      <c r="AE911" s="144">
        <f t="shared" si="165"/>
        <v>-3.6176064662886386E-2</v>
      </c>
    </row>
    <row r="912" spans="1:31">
      <c r="A912" s="88">
        <v>45295</v>
      </c>
      <c r="B912" s="132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57"/>
        <v>-8.7354241532934442E-3</v>
      </c>
      <c r="H912" s="70"/>
      <c r="I912" s="70"/>
      <c r="J912" s="67">
        <f t="shared" si="143"/>
        <v>-6662852.1299999952</v>
      </c>
      <c r="K912" s="70">
        <f t="shared" si="158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2">
        <f t="shared" ref="X912:X975" si="166">4.5%/252</f>
        <v>1.7857142857142857E-4</v>
      </c>
      <c r="Y912" s="139">
        <f t="shared" si="159"/>
        <v>-8.9139955818648732E-3</v>
      </c>
      <c r="Z912" s="139">
        <f t="shared" si="160"/>
        <v>-8.9139955818648732E-3</v>
      </c>
      <c r="AA912" s="139">
        <f t="shared" si="161"/>
        <v>7.9459317233506485E-5</v>
      </c>
      <c r="AB912" s="144">
        <f t="shared" si="162"/>
        <v>7.0086610027689016</v>
      </c>
      <c r="AC912" s="144">
        <f t="shared" si="163"/>
        <v>-6.3931392382366586E-2</v>
      </c>
      <c r="AD912" s="144">
        <f t="shared" si="164"/>
        <v>-4.6287274862539585E-2</v>
      </c>
      <c r="AE912" s="144">
        <f t="shared" si="165"/>
        <v>-3.6181172865485278E-2</v>
      </c>
    </row>
    <row r="913" spans="1:31">
      <c r="A913" s="88">
        <v>45296</v>
      </c>
      <c r="B913" s="132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57"/>
        <v>7.8827848236130151E-4</v>
      </c>
      <c r="H913" s="70"/>
      <c r="I913" s="70"/>
      <c r="J913" s="67">
        <f t="shared" si="143"/>
        <v>-6626915.0899999961</v>
      </c>
      <c r="K913" s="70">
        <f t="shared" si="158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2">
        <f t="shared" si="166"/>
        <v>1.7857142857142857E-4</v>
      </c>
      <c r="Y913" s="139">
        <f t="shared" si="159"/>
        <v>6.0970705378987297E-4</v>
      </c>
      <c r="Z913" s="139">
        <f t="shared" si="160"/>
        <v>0</v>
      </c>
      <c r="AA913" s="139">
        <f t="shared" si="161"/>
        <v>0</v>
      </c>
      <c r="AB913" s="144">
        <f t="shared" si="162"/>
        <v>6.9291722044828337</v>
      </c>
      <c r="AC913" s="144">
        <f t="shared" si="163"/>
        <v>-6.3783027039708506E-2</v>
      </c>
      <c r="AD913" s="144">
        <f t="shared" si="164"/>
        <v>-4.6272142704630176E-2</v>
      </c>
      <c r="AE913" s="144">
        <f t="shared" si="165"/>
        <v>-3.6090784938544028E-2</v>
      </c>
    </row>
    <row r="914" spans="1:31">
      <c r="A914" s="88">
        <v>45299</v>
      </c>
      <c r="B914" s="132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57"/>
        <v>2.8675253999377481E-2</v>
      </c>
      <c r="H914" s="70"/>
      <c r="I914" s="70"/>
      <c r="J914" s="67">
        <f t="shared" si="143"/>
        <v>-5318600.7099999934</v>
      </c>
      <c r="K914" s="70">
        <f t="shared" si="158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2">
        <f t="shared" si="166"/>
        <v>1.7857142857142857E-4</v>
      </c>
      <c r="Y914" s="139">
        <f t="shared" si="159"/>
        <v>2.8496682570806054E-2</v>
      </c>
      <c r="Z914" s="139">
        <f t="shared" si="160"/>
        <v>0</v>
      </c>
      <c r="AA914" s="139">
        <f t="shared" si="161"/>
        <v>0</v>
      </c>
      <c r="AB914" s="144">
        <f t="shared" si="162"/>
        <v>7.5286779031822197</v>
      </c>
      <c r="AC914" s="144">
        <f t="shared" si="163"/>
        <v>-6.3200991071602E-2</v>
      </c>
      <c r="AD914" s="144">
        <f t="shared" si="164"/>
        <v>-4.6145540173811256E-2</v>
      </c>
      <c r="AE914" s="144">
        <f t="shared" si="165"/>
        <v>-3.6093776484001333E-2</v>
      </c>
    </row>
    <row r="915" spans="1:31">
      <c r="A915" s="88">
        <v>45300</v>
      </c>
      <c r="B915" s="132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57"/>
        <v>-1.120864921603899E-2</v>
      </c>
      <c r="H915" s="70"/>
      <c r="I915" s="70"/>
      <c r="J915" s="67">
        <f t="shared" si="143"/>
        <v>-5844662.0799999982</v>
      </c>
      <c r="K915" s="70">
        <f t="shared" si="158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2">
        <f t="shared" si="166"/>
        <v>1.7857142857142857E-4</v>
      </c>
      <c r="Y915" s="139">
        <f t="shared" si="159"/>
        <v>-1.1387220644610419E-2</v>
      </c>
      <c r="Z915" s="139">
        <f t="shared" si="160"/>
        <v>-1.1387220644610419E-2</v>
      </c>
      <c r="AA915" s="139">
        <f t="shared" si="161"/>
        <v>1.2966879400904172E-4</v>
      </c>
      <c r="AB915" s="144">
        <f t="shared" si="162"/>
        <v>7.0504472094076567</v>
      </c>
      <c r="AC915" s="144">
        <f t="shared" si="163"/>
        <v>-6.41218790696024E-2</v>
      </c>
      <c r="AD915" s="144">
        <f t="shared" si="164"/>
        <v>-4.6291036691684606E-2</v>
      </c>
      <c r="AE915" s="144">
        <f t="shared" si="165"/>
        <v>-3.6158472517288751E-2</v>
      </c>
    </row>
    <row r="916" spans="1:31">
      <c r="A916" s="88">
        <v>45301</v>
      </c>
      <c r="B916" s="132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57"/>
        <v>5.6914259865388063E-3</v>
      </c>
      <c r="H916" s="70"/>
      <c r="I916" s="70"/>
      <c r="J916" s="67">
        <f t="shared" si="143"/>
        <v>-5580537.4599999934</v>
      </c>
      <c r="K916" s="70">
        <f t="shared" si="158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2">
        <f t="shared" si="166"/>
        <v>1.7857142857142857E-4</v>
      </c>
      <c r="Y916" s="139">
        <f t="shared" si="159"/>
        <v>5.5128545579673774E-3</v>
      </c>
      <c r="Z916" s="139">
        <f t="shared" si="160"/>
        <v>0</v>
      </c>
      <c r="AA916" s="139">
        <f t="shared" si="161"/>
        <v>0</v>
      </c>
      <c r="AB916" s="144">
        <f t="shared" si="162"/>
        <v>6.8483163400451295</v>
      </c>
      <c r="AC916" s="144">
        <f t="shared" si="163"/>
        <v>-6.357102229902753E-2</v>
      </c>
      <c r="AD916" s="144">
        <f t="shared" si="164"/>
        <v>-4.5963377368330963E-2</v>
      </c>
      <c r="AE916" s="144">
        <f t="shared" si="165"/>
        <v>-3.61213830794226E-2</v>
      </c>
    </row>
    <row r="917" spans="1:31">
      <c r="A917" s="88">
        <v>45302</v>
      </c>
      <c r="B917" s="132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57"/>
        <v>-7.8445537737100949E-3</v>
      </c>
      <c r="H917" s="70"/>
      <c r="I917" s="70"/>
      <c r="J917" s="67">
        <f t="shared" si="143"/>
        <v>-5946655.2099999934</v>
      </c>
      <c r="K917" s="70">
        <f t="shared" si="158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2">
        <f t="shared" si="166"/>
        <v>1.7857142857142857E-4</v>
      </c>
      <c r="Y917" s="139">
        <f t="shared" si="159"/>
        <v>-8.0231252022815239E-3</v>
      </c>
      <c r="Z917" s="139">
        <f t="shared" si="160"/>
        <v>-8.0231252022815239E-3</v>
      </c>
      <c r="AA917" s="139">
        <f t="shared" si="161"/>
        <v>6.437053801148494E-5</v>
      </c>
      <c r="AB917" s="144">
        <f t="shared" si="162"/>
        <v>6.6038904142900243</v>
      </c>
      <c r="AC917" s="144">
        <f t="shared" si="163"/>
        <v>-6.3794141846392469E-2</v>
      </c>
      <c r="AD917" s="144">
        <f t="shared" si="164"/>
        <v>-4.5967297476433439E-2</v>
      </c>
      <c r="AE917" s="144">
        <f t="shared" si="165"/>
        <v>-3.6040463559103127E-2</v>
      </c>
    </row>
    <row r="918" spans="1:31">
      <c r="A918" s="88">
        <v>45303</v>
      </c>
      <c r="B918" s="132">
        <v>46067597.759999998</v>
      </c>
      <c r="D918" s="67">
        <f t="shared" si="145"/>
        <v>46067597.759999998</v>
      </c>
      <c r="E918" s="67">
        <f t="shared" ref="E918:E981" si="167">IF(MONTH(A918)=MONTH(A917),E917,D917)</f>
        <v>52252121.409999996</v>
      </c>
      <c r="F918" s="67">
        <f t="shared" si="146"/>
        <v>-237868.44000000507</v>
      </c>
      <c r="G918" s="70">
        <f t="shared" si="157"/>
        <v>-5.136940830540759E-3</v>
      </c>
      <c r="H918" s="70"/>
      <c r="I918" s="70"/>
      <c r="J918" s="67">
        <f t="shared" ref="J918:J981" si="168">IF(MONTH(A918)=MONTH(A917),J917+F918,F918)</f>
        <v>-6184523.6499999985</v>
      </c>
      <c r="K918" s="70">
        <f t="shared" si="158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2">
        <f t="shared" si="166"/>
        <v>1.7857142857142857E-4</v>
      </c>
      <c r="Y918" s="139">
        <f t="shared" si="159"/>
        <v>-5.315512259112188E-3</v>
      </c>
      <c r="Z918" s="139">
        <f t="shared" si="160"/>
        <v>-5.315512259112188E-3</v>
      </c>
      <c r="AA918" s="139">
        <f t="shared" si="161"/>
        <v>2.8254670576771958E-5</v>
      </c>
      <c r="AB918" s="144">
        <f t="shared" si="162"/>
        <v>6.5108385796554913</v>
      </c>
      <c r="AC918" s="144">
        <f t="shared" si="163"/>
        <v>-6.4689249143734764E-2</v>
      </c>
      <c r="AD918" s="144">
        <f t="shared" si="164"/>
        <v>-4.6095231289061782E-2</v>
      </c>
      <c r="AE918" s="144">
        <f t="shared" si="165"/>
        <v>-3.607053455939558E-2</v>
      </c>
    </row>
    <row r="919" spans="1:31">
      <c r="A919" s="88">
        <v>45306</v>
      </c>
      <c r="B919" s="132">
        <v>46041315.93</v>
      </c>
      <c r="D919" s="67">
        <f t="shared" si="145"/>
        <v>46041315.93</v>
      </c>
      <c r="E919" s="67">
        <f t="shared" si="167"/>
        <v>52252121.409999996</v>
      </c>
      <c r="F919" s="67">
        <f t="shared" si="146"/>
        <v>-26281.829999998212</v>
      </c>
      <c r="G919" s="70">
        <f t="shared" si="157"/>
        <v>-5.7050576279057562E-4</v>
      </c>
      <c r="H919" s="70"/>
      <c r="I919" s="70"/>
      <c r="J919" s="67">
        <f t="shared" si="168"/>
        <v>-6210805.4799999967</v>
      </c>
      <c r="K919" s="70">
        <f t="shared" si="158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2">
        <f t="shared" si="166"/>
        <v>1.7857142857142857E-4</v>
      </c>
      <c r="Y919" s="139">
        <f t="shared" si="159"/>
        <v>-7.4907719136200416E-4</v>
      </c>
      <c r="Z919" s="139">
        <f t="shared" si="160"/>
        <v>-7.4907719136200416E-4</v>
      </c>
      <c r="AA919" s="139">
        <f t="shared" si="161"/>
        <v>5.6111663861878861E-7</v>
      </c>
      <c r="AB919" s="144">
        <f t="shared" si="162"/>
        <v>6.0083548527650716</v>
      </c>
      <c r="AC919" s="144">
        <f t="shared" si="163"/>
        <v>-6.3099215220968521E-2</v>
      </c>
      <c r="AD919" s="144">
        <f t="shared" si="164"/>
        <v>-4.6236288452643208E-2</v>
      </c>
      <c r="AE919" s="144">
        <f t="shared" si="165"/>
        <v>-3.5871644799467611E-2</v>
      </c>
    </row>
    <row r="920" spans="1:31">
      <c r="A920" s="88">
        <v>45307</v>
      </c>
      <c r="B920" s="132">
        <v>45092421.030000001</v>
      </c>
      <c r="D920" s="67">
        <f t="shared" si="145"/>
        <v>45092421.030000001</v>
      </c>
      <c r="E920" s="67">
        <f t="shared" si="167"/>
        <v>52252121.409999996</v>
      </c>
      <c r="F920" s="67">
        <f t="shared" si="146"/>
        <v>-948894.89999999851</v>
      </c>
      <c r="G920" s="70">
        <f t="shared" si="157"/>
        <v>-2.0609638991263265E-2</v>
      </c>
      <c r="H920" s="70"/>
      <c r="I920" s="70"/>
      <c r="J920" s="67">
        <f t="shared" si="168"/>
        <v>-7159700.3799999952</v>
      </c>
      <c r="K920" s="70">
        <f t="shared" si="158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2">
        <f t="shared" si="166"/>
        <v>1.7857142857142857E-4</v>
      </c>
      <c r="Y920" s="139">
        <f t="shared" si="159"/>
        <v>-2.0788210419834693E-2</v>
      </c>
      <c r="Z920" s="139">
        <f t="shared" si="160"/>
        <v>-2.0788210419834693E-2</v>
      </c>
      <c r="AA920" s="139">
        <f t="shared" si="161"/>
        <v>4.3214969245932371E-4</v>
      </c>
      <c r="AB920" s="144">
        <f t="shared" si="162"/>
        <v>5.5896575965356101</v>
      </c>
      <c r="AC920" s="144">
        <f t="shared" si="163"/>
        <v>-6.4778897399616453E-2</v>
      </c>
      <c r="AD920" s="144">
        <f t="shared" si="164"/>
        <v>-4.6270865602616937E-2</v>
      </c>
      <c r="AE920" s="144">
        <f t="shared" si="165"/>
        <v>-3.5705039233227299E-2</v>
      </c>
    </row>
    <row r="921" spans="1:31">
      <c r="A921" s="88">
        <v>45308</v>
      </c>
      <c r="B921" s="132">
        <v>44532926.369999997</v>
      </c>
      <c r="D921" s="67">
        <f t="shared" si="145"/>
        <v>44532926.369999997</v>
      </c>
      <c r="E921" s="67">
        <f t="shared" si="167"/>
        <v>52252121.409999996</v>
      </c>
      <c r="F921" s="67">
        <f t="shared" si="146"/>
        <v>-559494.66000000387</v>
      </c>
      <c r="G921" s="70">
        <f t="shared" si="157"/>
        <v>-1.2407731659113444E-2</v>
      </c>
      <c r="H921" s="70"/>
      <c r="I921" s="70"/>
      <c r="J921" s="67">
        <f t="shared" si="168"/>
        <v>-7719195.0399999991</v>
      </c>
      <c r="K921" s="70">
        <f t="shared" si="158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2">
        <f t="shared" si="166"/>
        <v>1.7857142857142857E-4</v>
      </c>
      <c r="Y921" s="139">
        <f t="shared" si="159"/>
        <v>-1.2586303087684873E-2</v>
      </c>
      <c r="Z921" s="139">
        <f t="shared" si="160"/>
        <v>-1.2586303087684873E-2</v>
      </c>
      <c r="AA921" s="139">
        <f t="shared" si="161"/>
        <v>1.5841502541506577E-4</v>
      </c>
      <c r="AB921" s="144">
        <f t="shared" si="162"/>
        <v>6.0256006546913667</v>
      </c>
      <c r="AC921" s="144">
        <f t="shared" si="163"/>
        <v>-6.4531913188445714E-2</v>
      </c>
      <c r="AD921" s="144">
        <f t="shared" si="164"/>
        <v>-4.6538116479177979E-2</v>
      </c>
      <c r="AE921" s="144">
        <f t="shared" si="165"/>
        <v>-3.575914851871341E-2</v>
      </c>
    </row>
    <row r="922" spans="1:31">
      <c r="A922" s="88">
        <v>45309</v>
      </c>
      <c r="B922" s="132">
        <v>44796623.079999998</v>
      </c>
      <c r="D922" s="67">
        <f t="shared" si="145"/>
        <v>44796623.079999998</v>
      </c>
      <c r="E922" s="67">
        <f t="shared" si="167"/>
        <v>52252121.409999996</v>
      </c>
      <c r="F922" s="67">
        <f t="shared" si="146"/>
        <v>263696.71000000089</v>
      </c>
      <c r="G922" s="70">
        <f t="shared" si="157"/>
        <v>5.921387420379419E-3</v>
      </c>
      <c r="H922" s="70"/>
      <c r="I922" s="70"/>
      <c r="J922" s="67">
        <f t="shared" si="168"/>
        <v>-7455498.3299999982</v>
      </c>
      <c r="K922" s="70">
        <f t="shared" si="158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2">
        <f t="shared" si="166"/>
        <v>1.7857142857142857E-4</v>
      </c>
      <c r="Y922" s="139">
        <f t="shared" si="159"/>
        <v>5.74281599180799E-3</v>
      </c>
      <c r="Z922" s="139">
        <f t="shared" si="160"/>
        <v>0</v>
      </c>
      <c r="AA922" s="139">
        <f t="shared" si="161"/>
        <v>0</v>
      </c>
      <c r="AB922" s="144">
        <f t="shared" si="162"/>
        <v>5.7684573989552934</v>
      </c>
      <c r="AC922" s="144">
        <f t="shared" si="163"/>
        <v>-6.4959497821427903E-2</v>
      </c>
      <c r="AD922" s="144">
        <f t="shared" si="164"/>
        <v>-4.6602626525068587E-2</v>
      </c>
      <c r="AE922" s="144">
        <f t="shared" si="165"/>
        <v>-3.5755725497871135E-2</v>
      </c>
    </row>
    <row r="923" spans="1:31">
      <c r="A923" s="88">
        <v>45310</v>
      </c>
      <c r="B923" s="132">
        <v>45867324.280000001</v>
      </c>
      <c r="D923" s="67">
        <f t="shared" si="145"/>
        <v>45867324.280000001</v>
      </c>
      <c r="E923" s="67">
        <f t="shared" si="167"/>
        <v>52252121.409999996</v>
      </c>
      <c r="F923" s="67">
        <f t="shared" si="146"/>
        <v>1070701.200000003</v>
      </c>
      <c r="G923" s="70">
        <f t="shared" si="157"/>
        <v>2.3901381987831816E-2</v>
      </c>
      <c r="H923" s="70"/>
      <c r="I923" s="70"/>
      <c r="J923" s="67">
        <f t="shared" si="168"/>
        <v>-6384797.1299999952</v>
      </c>
      <c r="K923" s="70">
        <f t="shared" si="158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2">
        <f t="shared" si="166"/>
        <v>1.7857142857142857E-4</v>
      </c>
      <c r="Y923" s="139">
        <f t="shared" si="159"/>
        <v>2.3722810559260388E-2</v>
      </c>
      <c r="Z923" s="139">
        <f t="shared" si="160"/>
        <v>0</v>
      </c>
      <c r="AA923" s="139">
        <f t="shared" si="161"/>
        <v>0</v>
      </c>
      <c r="AB923" s="144">
        <f t="shared" si="162"/>
        <v>5.4677097869812741</v>
      </c>
      <c r="AC923" s="144">
        <f t="shared" si="163"/>
        <v>-6.467674944916299E-2</v>
      </c>
      <c r="AD923" s="144">
        <f t="shared" si="164"/>
        <v>-4.5716398044424816E-2</v>
      </c>
      <c r="AE923" s="144">
        <f t="shared" si="165"/>
        <v>-3.5745732539613599E-2</v>
      </c>
    </row>
    <row r="924" spans="1:31">
      <c r="A924" s="88">
        <v>45313</v>
      </c>
      <c r="B924" s="132">
        <v>46441982.039999999</v>
      </c>
      <c r="D924" s="67">
        <f t="shared" si="145"/>
        <v>46441982.039999999</v>
      </c>
      <c r="E924" s="67">
        <f t="shared" si="167"/>
        <v>52252121.409999996</v>
      </c>
      <c r="F924" s="67">
        <f t="shared" si="146"/>
        <v>574657.75999999791</v>
      </c>
      <c r="G924" s="70">
        <f t="shared" si="157"/>
        <v>1.2528695951217103E-2</v>
      </c>
      <c r="H924" s="70"/>
      <c r="I924" s="70"/>
      <c r="J924" s="67">
        <f t="shared" si="168"/>
        <v>-5810139.3699999973</v>
      </c>
      <c r="K924" s="70">
        <f t="shared" si="158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2">
        <f t="shared" si="166"/>
        <v>1.7857142857142857E-4</v>
      </c>
      <c r="Y924" s="139">
        <f t="shared" si="159"/>
        <v>1.2350124522645674E-2</v>
      </c>
      <c r="Z924" s="139">
        <f t="shared" si="160"/>
        <v>0</v>
      </c>
      <c r="AA924" s="139">
        <f t="shared" si="161"/>
        <v>0</v>
      </c>
      <c r="AB924" s="144">
        <f t="shared" si="162"/>
        <v>5.0533181245168821</v>
      </c>
      <c r="AC924" s="144">
        <f t="shared" si="163"/>
        <v>-6.4727940736665185E-2</v>
      </c>
      <c r="AD924" s="144">
        <f t="shared" si="164"/>
        <v>-4.5548744312893796E-2</v>
      </c>
      <c r="AE924" s="144">
        <f t="shared" si="165"/>
        <v>-3.5181953101091366E-2</v>
      </c>
    </row>
    <row r="925" spans="1:31">
      <c r="A925" s="88">
        <v>45314</v>
      </c>
      <c r="B925" s="132">
        <v>46567678.450000003</v>
      </c>
      <c r="D925" s="67">
        <f t="shared" si="145"/>
        <v>46567678.450000003</v>
      </c>
      <c r="E925" s="67">
        <f t="shared" si="167"/>
        <v>52252121.409999996</v>
      </c>
      <c r="F925" s="67">
        <f t="shared" si="146"/>
        <v>125696.41000000387</v>
      </c>
      <c r="G925" s="70">
        <f t="shared" si="157"/>
        <v>2.7065255288144865E-3</v>
      </c>
      <c r="H925" s="70"/>
      <c r="I925" s="70"/>
      <c r="J925" s="67">
        <f t="shared" si="168"/>
        <v>-5684442.9599999934</v>
      </c>
      <c r="K925" s="70">
        <f t="shared" si="158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2">
        <f t="shared" si="166"/>
        <v>1.7857142857142857E-4</v>
      </c>
      <c r="Y925" s="139">
        <f t="shared" si="159"/>
        <v>2.527954100243058E-3</v>
      </c>
      <c r="Z925" s="139">
        <f t="shared" si="160"/>
        <v>0</v>
      </c>
      <c r="AA925" s="139">
        <f t="shared" si="161"/>
        <v>0</v>
      </c>
      <c r="AB925" s="144">
        <f t="shared" si="162"/>
        <v>5.7726992168028266</v>
      </c>
      <c r="AC925" s="144">
        <f t="shared" si="163"/>
        <v>-6.523302373857387E-2</v>
      </c>
      <c r="AD925" s="144">
        <f t="shared" si="164"/>
        <v>-4.5444798463007537E-2</v>
      </c>
      <c r="AE925" s="144">
        <f t="shared" si="165"/>
        <v>-3.511492470443256E-2</v>
      </c>
    </row>
    <row r="926" spans="1:31">
      <c r="A926" s="88">
        <v>45315</v>
      </c>
      <c r="B926" s="132">
        <v>46282903.090000004</v>
      </c>
      <c r="D926" s="67">
        <f t="shared" si="145"/>
        <v>46282903.090000004</v>
      </c>
      <c r="E926" s="67">
        <f t="shared" si="167"/>
        <v>52252121.409999996</v>
      </c>
      <c r="F926" s="67">
        <f t="shared" si="146"/>
        <v>-284775.3599999994</v>
      </c>
      <c r="G926" s="70">
        <f t="shared" si="157"/>
        <v>-6.1153007725253993E-3</v>
      </c>
      <c r="H926" s="70"/>
      <c r="I926" s="70"/>
      <c r="J926" s="67">
        <f t="shared" si="168"/>
        <v>-5969218.3199999928</v>
      </c>
      <c r="K926" s="70">
        <f t="shared" si="158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2">
        <f t="shared" si="166"/>
        <v>1.7857142857142857E-4</v>
      </c>
      <c r="Y926" s="139">
        <f t="shared" si="159"/>
        <v>-6.2938722010968283E-3</v>
      </c>
      <c r="Z926" s="139">
        <f t="shared" si="160"/>
        <v>-6.2938722010968283E-3</v>
      </c>
      <c r="AA926" s="139">
        <f t="shared" si="161"/>
        <v>3.9612827283739431E-5</v>
      </c>
      <c r="AB926" s="144">
        <f t="shared" si="162"/>
        <v>6.0881952375052268</v>
      </c>
      <c r="AC926" s="144">
        <f t="shared" si="163"/>
        <v>-5.6297707488872778E-2</v>
      </c>
      <c r="AD926" s="144">
        <f t="shared" si="164"/>
        <v>-4.4993545690817142E-2</v>
      </c>
      <c r="AE926" s="144">
        <f t="shared" si="165"/>
        <v>-3.503011666912359E-2</v>
      </c>
    </row>
    <row r="927" spans="1:31">
      <c r="A927" s="88">
        <v>45316</v>
      </c>
      <c r="B927" s="132">
        <v>45868180.719999999</v>
      </c>
      <c r="D927" s="67">
        <f t="shared" si="145"/>
        <v>45868180.719999999</v>
      </c>
      <c r="E927" s="67">
        <f t="shared" si="167"/>
        <v>52252121.409999996</v>
      </c>
      <c r="F927" s="67">
        <f t="shared" si="146"/>
        <v>-414722.37000000477</v>
      </c>
      <c r="G927" s="70">
        <f t="shared" si="157"/>
        <v>-8.9605954318282745E-3</v>
      </c>
      <c r="H927" s="70"/>
      <c r="I927" s="70"/>
      <c r="J927" s="67">
        <f t="shared" si="168"/>
        <v>-6383940.6899999976</v>
      </c>
      <c r="K927" s="70">
        <f t="shared" si="158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2">
        <f t="shared" si="166"/>
        <v>1.7857142857142857E-4</v>
      </c>
      <c r="Y927" s="139">
        <f t="shared" si="159"/>
        <v>-9.1391668603997035E-3</v>
      </c>
      <c r="Z927" s="139">
        <f t="shared" si="160"/>
        <v>-9.1391668603997035E-3</v>
      </c>
      <c r="AA927" s="139">
        <f t="shared" si="161"/>
        <v>8.3524370902228169E-5</v>
      </c>
      <c r="AB927" s="144">
        <f t="shared" si="162"/>
        <v>5.5689490716958758</v>
      </c>
      <c r="AC927" s="144">
        <f t="shared" si="163"/>
        <v>-5.5812594424229985E-2</v>
      </c>
      <c r="AD927" s="144">
        <f t="shared" si="164"/>
        <v>-4.4146825361653506E-2</v>
      </c>
      <c r="AE927" s="144">
        <f t="shared" si="165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5"/>
        <v>47691210.270000003</v>
      </c>
      <c r="E928" s="67">
        <f t="shared" si="167"/>
        <v>52252121.409999996</v>
      </c>
      <c r="F928" s="67">
        <f t="shared" si="146"/>
        <v>-236451.44999999553</v>
      </c>
      <c r="G928" s="70">
        <f t="shared" si="157"/>
        <v>-4.9335069042461838E-3</v>
      </c>
      <c r="H928" s="70"/>
      <c r="I928" s="70"/>
      <c r="J928" s="67">
        <f t="shared" si="168"/>
        <v>-6620392.1399999931</v>
      </c>
      <c r="K928" s="70">
        <f t="shared" si="158"/>
        <v>-0.12650647472089527</v>
      </c>
      <c r="L928" s="70">
        <f t="shared" si="149"/>
        <v>0.99506649309575379</v>
      </c>
      <c r="M928" s="70">
        <f>PRODUCT($L$2:L928)-1</f>
        <v>0.10538881348312734</v>
      </c>
      <c r="N928" s="70">
        <f>PRODUCT($L$909:L928)-1</f>
        <v>-0.12650647472089527</v>
      </c>
      <c r="O928" s="70">
        <f>AVERAGE($G$909:G928)*252</f>
        <v>-1.6376662082974249</v>
      </c>
      <c r="P928" s="70">
        <f>STDEV($G$909:G928)*252^0.5</f>
        <v>0.35318360078357297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-4.6368693355639943</v>
      </c>
      <c r="X928" s="142">
        <f t="shared" si="166"/>
        <v>1.7857142857142857E-4</v>
      </c>
      <c r="Y928" s="139">
        <f t="shared" si="159"/>
        <v>-5.1120783328176128E-3</v>
      </c>
      <c r="Z928" s="139">
        <f t="shared" si="160"/>
        <v>-5.1120783328176128E-3</v>
      </c>
      <c r="AA928" s="139">
        <f t="shared" si="161"/>
        <v>2.6133344880863304E-5</v>
      </c>
      <c r="AB928" s="144">
        <f t="shared" si="162"/>
        <v>5.7954237587297044</v>
      </c>
      <c r="AC928" s="144">
        <f t="shared" si="163"/>
        <v>-5.5518935930672232E-2</v>
      </c>
      <c r="AD928" s="144">
        <f t="shared" si="164"/>
        <v>-4.4277907539404901E-2</v>
      </c>
      <c r="AE928" s="144">
        <f t="shared" si="165"/>
        <v>-3.5007798935291441E-2</v>
      </c>
    </row>
    <row r="929" spans="1:31">
      <c r="A929" s="88">
        <v>45320</v>
      </c>
      <c r="B929" s="132">
        <v>49078804.469999999</v>
      </c>
      <c r="D929" s="67">
        <f t="shared" si="145"/>
        <v>49078804.469999999</v>
      </c>
      <c r="E929" s="67">
        <f t="shared" si="167"/>
        <v>52252121.409999996</v>
      </c>
      <c r="F929" s="67">
        <f t="shared" si="146"/>
        <v>1387594.1999999955</v>
      </c>
      <c r="G929" s="70">
        <f t="shared" si="157"/>
        <v>2.9095386595228787E-2</v>
      </c>
      <c r="H929" s="70"/>
      <c r="I929" s="70"/>
      <c r="J929" s="67">
        <f t="shared" si="168"/>
        <v>-5232797.9399999976</v>
      </c>
      <c r="K929" s="70">
        <f t="shared" si="158"/>
        <v>-0.10109184291447049</v>
      </c>
      <c r="L929" s="70">
        <f t="shared" si="149"/>
        <v>1.0290953865952288</v>
      </c>
      <c r="M929" s="70">
        <f>PRODUCT($L$2:L929)-1</f>
        <v>0.13755052834946024</v>
      </c>
      <c r="N929" s="70">
        <f>PRODUCT($L$909:L929)-1</f>
        <v>-0.10109184291447049</v>
      </c>
      <c r="O929" s="70">
        <f>AVERAGE($G$909:G929)*252</f>
        <v>-1.2105374639976594</v>
      </c>
      <c r="P929" s="70">
        <f>STDEV($G$909:G929)*252^0.5</f>
        <v>0.36565690214542046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-3.3105828356994418</v>
      </c>
      <c r="X929" s="142">
        <f t="shared" si="166"/>
        <v>1.7857142857142857E-4</v>
      </c>
      <c r="Y929" s="139">
        <f t="shared" si="159"/>
        <v>2.891681516665736E-2</v>
      </c>
      <c r="Z929" s="139">
        <f t="shared" si="160"/>
        <v>0</v>
      </c>
      <c r="AA929" s="139">
        <f t="shared" si="161"/>
        <v>0</v>
      </c>
      <c r="AB929" s="144">
        <f t="shared" si="162"/>
        <v>6.6769857914293915</v>
      </c>
      <c r="AC929" s="144">
        <f t="shared" si="163"/>
        <v>-5.5539903672641423E-2</v>
      </c>
      <c r="AD929" s="144">
        <f t="shared" si="164"/>
        <v>-4.4177164596302977E-2</v>
      </c>
      <c r="AE929" s="144">
        <f t="shared" si="165"/>
        <v>-3.4937418165268956E-2</v>
      </c>
    </row>
    <row r="930" spans="1:31">
      <c r="A930" s="88">
        <v>45321</v>
      </c>
      <c r="B930" s="132">
        <v>48902992.630000003</v>
      </c>
      <c r="D930" s="67">
        <f t="shared" si="145"/>
        <v>48902992.630000003</v>
      </c>
      <c r="E930" s="67">
        <f t="shared" si="167"/>
        <v>52252121.409999996</v>
      </c>
      <c r="F930" s="67">
        <f t="shared" si="146"/>
        <v>-175811.83999999613</v>
      </c>
      <c r="G930" s="70">
        <f t="shared" si="157"/>
        <v>-3.5822355882255282E-3</v>
      </c>
      <c r="H930" s="70"/>
      <c r="I930" s="70"/>
      <c r="J930" s="67">
        <f t="shared" si="168"/>
        <v>-5408609.7799999937</v>
      </c>
      <c r="K930" s="70">
        <f t="shared" si="158"/>
        <v>-0.10431194370532848</v>
      </c>
      <c r="L930" s="70">
        <f t="shared" si="149"/>
        <v>0.99641776441177443</v>
      </c>
      <c r="M930" s="70">
        <f>PRODUCT($L$2:L930)-1</f>
        <v>0.13347555436340208</v>
      </c>
      <c r="N930" s="70">
        <f>PRODUCT($L$909:L930)-1</f>
        <v>-0.10431194370532848</v>
      </c>
      <c r="O930" s="70">
        <f>AVERAGE($G$909:G930)*252</f>
        <v>-1.1965459141901673</v>
      </c>
      <c r="P930" s="70">
        <f>STDEV($G$909:G930)*252^0.5</f>
        <v>0.35686854331875201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-3.3529038537908411</v>
      </c>
      <c r="X930" s="142">
        <f t="shared" si="166"/>
        <v>1.7857142857142857E-4</v>
      </c>
      <c r="Y930" s="139">
        <f t="shared" si="159"/>
        <v>-3.7608070167969567E-3</v>
      </c>
      <c r="Z930" s="139">
        <f t="shared" si="160"/>
        <v>-3.7608070167969567E-3</v>
      </c>
      <c r="AA930" s="139">
        <f t="shared" si="161"/>
        <v>1.4143669417589225E-5</v>
      </c>
      <c r="AB930" s="144">
        <f t="shared" si="162"/>
        <v>6.8084086464717037</v>
      </c>
      <c r="AC930" s="144">
        <f t="shared" si="163"/>
        <v>-5.4518478333179007E-2</v>
      </c>
      <c r="AD930" s="144">
        <f t="shared" si="164"/>
        <v>-4.3707927983844513E-2</v>
      </c>
      <c r="AE930" s="144">
        <f t="shared" si="165"/>
        <v>-3.4950224606315333E-2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5"/>
        <v>47476839.770000003</v>
      </c>
      <c r="E931" s="80">
        <f t="shared" si="167"/>
        <v>52252121.409999996</v>
      </c>
      <c r="F931" s="80">
        <f t="shared" si="146"/>
        <v>-1426152.8599999994</v>
      </c>
      <c r="G931" s="81">
        <f t="shared" si="157"/>
        <v>-2.9162895424218117E-2</v>
      </c>
      <c r="H931" s="81"/>
      <c r="I931" s="81"/>
      <c r="J931" s="80">
        <f t="shared" si="168"/>
        <v>-6834762.6399999931</v>
      </c>
      <c r="K931" s="81">
        <f t="shared" si="158"/>
        <v>-0.13043280082377118</v>
      </c>
      <c r="L931" s="81">
        <f t="shared" si="149"/>
        <v>0.97083710457578187</v>
      </c>
      <c r="M931" s="81">
        <f>PRODUCT($L$2:L931)-1</f>
        <v>0.10042012530559452</v>
      </c>
      <c r="N931" s="81">
        <f>PRODUCT($L$909:L931)-1</f>
        <v>-0.13043280082377118</v>
      </c>
      <c r="O931" s="81">
        <f>AVERAGE($G$909:G931)*252</f>
        <v>-1.464046076482028</v>
      </c>
      <c r="P931" s="81">
        <f>STDEV($G$909:G931)*252^0.5</f>
        <v>0.35790672239024918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6">
        <f>O931/P931</f>
        <v>-4.0905799888432455</v>
      </c>
      <c r="X931" s="143">
        <f t="shared" si="166"/>
        <v>1.7857142857142857E-4</v>
      </c>
      <c r="Y931" s="140">
        <f t="shared" si="159"/>
        <v>-2.9341466852789544E-2</v>
      </c>
      <c r="Z931" s="140">
        <f t="shared" si="160"/>
        <v>-2.9341466852789544E-2</v>
      </c>
      <c r="AA931" s="140">
        <f t="shared" si="161"/>
        <v>8.6092167707334754E-4</v>
      </c>
      <c r="AB931" s="145">
        <f t="shared" si="162"/>
        <v>5.8415231403065375</v>
      </c>
      <c r="AC931" s="145">
        <f t="shared" si="163"/>
        <v>-4.6757506579662073E-2</v>
      </c>
      <c r="AD931" s="145">
        <f t="shared" si="164"/>
        <v>-4.445449759927176E-2</v>
      </c>
      <c r="AE931" s="145">
        <f t="shared" si="165"/>
        <v>-3.5065767531046808E-2</v>
      </c>
    </row>
    <row r="932" spans="1:31">
      <c r="A932" s="88">
        <v>45323</v>
      </c>
      <c r="B932" s="132">
        <v>48246638.729999997</v>
      </c>
      <c r="D932" s="67">
        <f t="shared" si="145"/>
        <v>48246638.729999997</v>
      </c>
      <c r="E932" s="67">
        <f t="shared" si="167"/>
        <v>47476839.770000003</v>
      </c>
      <c r="F932" s="67">
        <f t="shared" si="146"/>
        <v>769798.95999999344</v>
      </c>
      <c r="G932" s="70">
        <f t="shared" si="157"/>
        <v>1.6214199675657844E-2</v>
      </c>
      <c r="H932" s="70"/>
      <c r="I932" s="70"/>
      <c r="J932" s="67">
        <f t="shared" si="168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0.11826255694441179</v>
      </c>
      <c r="N932" s="70">
        <f>PRODUCT($L$909:L932)-1</f>
        <v>-0.11633346462492533</v>
      </c>
      <c r="O932" s="70">
        <f>AVERAGE($G$909:G932)*252</f>
        <v>-1.2327950600342028</v>
      </c>
      <c r="P932" s="70">
        <f>STDEV($G$909:G932)*252^0.5</f>
        <v>0.35724057471805332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-3.4508819750028885</v>
      </c>
      <c r="X932" s="142">
        <f t="shared" si="166"/>
        <v>1.7857142857142857E-4</v>
      </c>
      <c r="Y932" s="139">
        <f t="shared" si="159"/>
        <v>1.6035628247086417E-2</v>
      </c>
      <c r="Z932" s="139">
        <f t="shared" si="160"/>
        <v>0</v>
      </c>
      <c r="AA932" s="139">
        <f t="shared" si="161"/>
        <v>0</v>
      </c>
      <c r="AB932" s="144">
        <f t="shared" si="162"/>
        <v>5.9877785665127554</v>
      </c>
      <c r="AC932" s="144">
        <f t="shared" si="163"/>
        <v>-4.3842634324947533E-2</v>
      </c>
      <c r="AD932" s="144">
        <f t="shared" si="164"/>
        <v>-4.4408048986521759E-2</v>
      </c>
      <c r="AE932" s="144">
        <f t="shared" si="165"/>
        <v>-3.5048055579611923E-2</v>
      </c>
    </row>
    <row r="933" spans="1:31">
      <c r="A933" s="88">
        <v>45324</v>
      </c>
      <c r="B933" s="132">
        <v>48037651.530000001</v>
      </c>
      <c r="D933" s="67">
        <f t="shared" si="145"/>
        <v>48037651.530000001</v>
      </c>
      <c r="E933" s="67">
        <f t="shared" si="167"/>
        <v>47476839.770000003</v>
      </c>
      <c r="F933" s="67">
        <f t="shared" si="146"/>
        <v>-208987.19999999553</v>
      </c>
      <c r="G933" s="70">
        <f t="shared" si="157"/>
        <v>-4.3316426905828419E-3</v>
      </c>
      <c r="H933" s="70"/>
      <c r="I933" s="70"/>
      <c r="J933" s="67">
        <f t="shared" si="168"/>
        <v>560811.75999999791</v>
      </c>
      <c r="K933" s="70">
        <f t="shared" ref="K933:K951" si="169">(1+K932)*(1+G933)-1</f>
        <v>1.1812322865566216E-2</v>
      </c>
      <c r="L933" s="70">
        <f t="shared" si="149"/>
        <v>0.99566835730941716</v>
      </c>
      <c r="M933" s="70">
        <f>PRODUCT($L$2:L933)-1</f>
        <v>0.11341864311347116</v>
      </c>
      <c r="N933" s="70">
        <f>PRODUCT($L$909:L933)-1</f>
        <v>-0.12016119231379541</v>
      </c>
      <c r="O933" s="70">
        <f>AVERAGE($G$909:G933)*252</f>
        <v>-1.2271462159539095</v>
      </c>
      <c r="P933" s="70">
        <f>STDEV($G$909:G933)*252^0.5</f>
        <v>0.34972340404169011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-3.5089050425908095</v>
      </c>
      <c r="X933" s="142">
        <f t="shared" si="166"/>
        <v>1.7857142857142857E-4</v>
      </c>
      <c r="Y933" s="139">
        <f t="shared" si="159"/>
        <v>-4.5102141191542709E-3</v>
      </c>
      <c r="Z933" s="139">
        <f t="shared" si="160"/>
        <v>-4.5102141191542709E-3</v>
      </c>
      <c r="AA933" s="139">
        <f t="shared" si="161"/>
        <v>2.0342031400618535E-5</v>
      </c>
      <c r="AB933" s="144">
        <f t="shared" si="162"/>
        <v>5.8614426856120936</v>
      </c>
      <c r="AC933" s="144">
        <f t="shared" si="163"/>
        <v>-4.4127429493464369E-2</v>
      </c>
      <c r="AD933" s="144">
        <f t="shared" si="164"/>
        <v>-4.4425230878903182E-2</v>
      </c>
      <c r="AE933" s="144">
        <f t="shared" si="165"/>
        <v>-3.5074265034834837E-2</v>
      </c>
    </row>
    <row r="934" spans="1:31">
      <c r="A934" s="88">
        <v>45327</v>
      </c>
      <c r="B934" s="132">
        <v>46630686.350000001</v>
      </c>
      <c r="D934" s="67">
        <f t="shared" si="145"/>
        <v>46630686.350000001</v>
      </c>
      <c r="E934" s="67">
        <f t="shared" si="167"/>
        <v>47476839.770000003</v>
      </c>
      <c r="F934" s="67">
        <f t="shared" si="146"/>
        <v>-1406965.1799999997</v>
      </c>
      <c r="G934" s="70">
        <f t="shared" si="157"/>
        <v>-2.9288800247059033E-2</v>
      </c>
      <c r="H934" s="70"/>
      <c r="I934" s="70"/>
      <c r="J934" s="67">
        <f t="shared" si="168"/>
        <v>-846153.42000000179</v>
      </c>
      <c r="K934" s="70">
        <f t="shared" si="169"/>
        <v>-1.7822446146356197E-2</v>
      </c>
      <c r="L934" s="70">
        <f t="shared" si="149"/>
        <v>0.97071119975294096</v>
      </c>
      <c r="M934" s="70">
        <f>PRODUCT($L$2:L934)-1</f>
        <v>8.0807946883969084E-2</v>
      </c>
      <c r="N934" s="70">
        <f>PRODUCT($L$909:L934)-1</f>
        <v>-0.14593061540172725</v>
      </c>
      <c r="O934" s="70">
        <f>AVERAGE($G$909:G934)*252</f>
        <v>-1.4638243485041007</v>
      </c>
      <c r="P934" s="70">
        <f>STDEV($G$909:G934)*252^0.5</f>
        <v>0.35098957973790845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-4.170563552334432</v>
      </c>
      <c r="X934" s="142">
        <f t="shared" si="166"/>
        <v>1.7857142857142857E-4</v>
      </c>
      <c r="Y934" s="139">
        <f t="shared" si="159"/>
        <v>-2.946737167563046E-2</v>
      </c>
      <c r="Z934" s="139">
        <f t="shared" si="160"/>
        <v>-2.946737167563046E-2</v>
      </c>
      <c r="AA934" s="139">
        <f t="shared" si="161"/>
        <v>8.6832599346974829E-4</v>
      </c>
      <c r="AB934" s="144">
        <f t="shared" si="162"/>
        <v>6.0083595250421782</v>
      </c>
      <c r="AC934" s="144">
        <f t="shared" si="163"/>
        <v>-4.5813626815944315E-2</v>
      </c>
      <c r="AD934" s="144">
        <f t="shared" si="164"/>
        <v>-4.5133646070467215E-2</v>
      </c>
      <c r="AE934" s="144">
        <f t="shared" si="165"/>
        <v>-3.5235676707777407E-2</v>
      </c>
    </row>
    <row r="935" spans="1:31">
      <c r="A935" s="88">
        <v>45328</v>
      </c>
      <c r="B935" s="132">
        <v>47212915.240000002</v>
      </c>
      <c r="D935" s="67">
        <f t="shared" si="145"/>
        <v>47212915.240000002</v>
      </c>
      <c r="E935" s="67">
        <f t="shared" si="167"/>
        <v>47476839.770000003</v>
      </c>
      <c r="F935" s="67">
        <f t="shared" si="146"/>
        <v>582228.8900000006</v>
      </c>
      <c r="G935" s="70">
        <f t="shared" si="157"/>
        <v>1.2485960117119327E-2</v>
      </c>
      <c r="H935" s="70"/>
      <c r="I935" s="70"/>
      <c r="J935" s="67">
        <f t="shared" si="168"/>
        <v>-263924.53000000119</v>
      </c>
      <c r="K935" s="70">
        <f t="shared" si="169"/>
        <v>-5.5590163810098625E-3</v>
      </c>
      <c r="L935" s="70">
        <f t="shared" si="149"/>
        <v>1.0124859601171192</v>
      </c>
      <c r="M935" s="70">
        <f>PRODUCT($L$2:L935)-1</f>
        <v>9.4302871803027877E-2</v>
      </c>
      <c r="N935" s="70">
        <f>PRODUCT($L$909:L935)-1</f>
        <v>-0.13526673912838061</v>
      </c>
      <c r="O935" s="70">
        <f>AVERAGE($G$909:G935)*252</f>
        <v>-1.2930730041330574</v>
      </c>
      <c r="P935" s="70">
        <f>STDEV($G$909:G935)*252^0.5</f>
        <v>0.34868227067793517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-3.7084564168374961</v>
      </c>
      <c r="X935" s="142">
        <f t="shared" si="166"/>
        <v>1.7857142857142857E-4</v>
      </c>
      <c r="Y935" s="139">
        <f t="shared" si="159"/>
        <v>1.2307388688547898E-2</v>
      </c>
      <c r="Z935" s="139">
        <f t="shared" si="160"/>
        <v>0</v>
      </c>
      <c r="AA935" s="139">
        <f t="shared" si="161"/>
        <v>0</v>
      </c>
      <c r="AB935" s="144">
        <f t="shared" si="162"/>
        <v>6.5939580635570421</v>
      </c>
      <c r="AC935" s="144">
        <f t="shared" si="163"/>
        <v>-4.4405019290852339E-2</v>
      </c>
      <c r="AD935" s="144">
        <f t="shared" si="164"/>
        <v>-4.4167482747039882E-2</v>
      </c>
      <c r="AE935" s="144">
        <f t="shared" si="165"/>
        <v>-3.5234113027743888E-2</v>
      </c>
    </row>
    <row r="936" spans="1:31">
      <c r="A936" s="88">
        <v>45329</v>
      </c>
      <c r="B936" s="132">
        <v>47460979.140000001</v>
      </c>
      <c r="D936" s="67">
        <f t="shared" si="145"/>
        <v>47460979.140000001</v>
      </c>
      <c r="E936" s="67">
        <f t="shared" si="167"/>
        <v>47476839.770000003</v>
      </c>
      <c r="F936" s="67">
        <f t="shared" si="146"/>
        <v>248063.89999999851</v>
      </c>
      <c r="G936" s="70">
        <f t="shared" si="157"/>
        <v>5.2541534183814251E-3</v>
      </c>
      <c r="H936" s="70"/>
      <c r="I936" s="70"/>
      <c r="J936" s="67">
        <f t="shared" si="168"/>
        <v>-15860.630000002682</v>
      </c>
      <c r="K936" s="70">
        <f t="shared" si="169"/>
        <v>-3.340708875495535E-4</v>
      </c>
      <c r="L936" s="70">
        <f t="shared" si="149"/>
        <v>1.0052541534183814</v>
      </c>
      <c r="M936" s="70">
        <f>PRODUCT($L$2:L936)-1</f>
        <v>0.10005250697765633</v>
      </c>
      <c r="N936" s="70">
        <f>PRODUCT($L$909:L936)-1</f>
        <v>-0.13072329790978388</v>
      </c>
      <c r="O936" s="70">
        <f>AVERAGE($G$909:G936)*252</f>
        <v>-1.1996044446485867</v>
      </c>
      <c r="P936" s="70">
        <f>STDEV($G$909:G936)*252^0.5</f>
        <v>0.34357982456232183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-3.4914868653208444</v>
      </c>
      <c r="X936" s="142">
        <f t="shared" si="166"/>
        <v>1.7857142857142857E-4</v>
      </c>
      <c r="Y936" s="139">
        <f t="shared" si="159"/>
        <v>5.0755819898099961E-3</v>
      </c>
      <c r="Z936" s="139">
        <f t="shared" si="160"/>
        <v>0</v>
      </c>
      <c r="AA936" s="139">
        <f t="shared" si="161"/>
        <v>0</v>
      </c>
      <c r="AB936" s="144">
        <f t="shared" si="162"/>
        <v>6.6997277240255109</v>
      </c>
      <c r="AC936" s="144">
        <f t="shared" si="163"/>
        <v>-4.3195937487758858E-2</v>
      </c>
      <c r="AD936" s="144">
        <f t="shared" si="164"/>
        <v>-4.4246611739629155E-2</v>
      </c>
      <c r="AE936" s="144">
        <f t="shared" si="165"/>
        <v>-3.4391778690330201E-2</v>
      </c>
    </row>
    <row r="937" spans="1:31">
      <c r="A937" s="88">
        <v>45330</v>
      </c>
      <c r="B937" s="132">
        <v>46907861.990000002</v>
      </c>
      <c r="D937" s="67">
        <f t="shared" si="145"/>
        <v>46907861.990000002</v>
      </c>
      <c r="E937" s="67">
        <f t="shared" si="167"/>
        <v>47476839.770000003</v>
      </c>
      <c r="F937" s="67">
        <f t="shared" si="146"/>
        <v>-553117.14999999851</v>
      </c>
      <c r="G937" s="70">
        <f t="shared" si="157"/>
        <v>-1.165414536367693E-2</v>
      </c>
      <c r="H937" s="70"/>
      <c r="I937" s="70"/>
      <c r="J937" s="67">
        <f t="shared" si="168"/>
        <v>-568977.78000000119</v>
      </c>
      <c r="K937" s="70">
        <f t="shared" si="169"/>
        <v>-1.1984322940541192E-2</v>
      </c>
      <c r="L937" s="70">
        <f t="shared" si="149"/>
        <v>0.98834585463632307</v>
      </c>
      <c r="M937" s="70">
        <f>PRODUCT($L$2:L937)-1</f>
        <v>8.7232335153661467E-2</v>
      </c>
      <c r="N937" s="70">
        <f>PRODUCT($L$909:L937)-1</f>
        <v>-0.14085397495720098</v>
      </c>
      <c r="O937" s="70">
        <f>AVERAGE($G$909:G937)*252</f>
        <v>-1.2595092786830007</v>
      </c>
      <c r="P937" s="70">
        <f>STDEV($G$909:G937)*252^0.5</f>
        <v>0.33800014896050212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-3.726357170422975</v>
      </c>
      <c r="X937" s="142">
        <f t="shared" si="166"/>
        <v>1.7857142857142857E-4</v>
      </c>
      <c r="Y937" s="139">
        <f t="shared" si="159"/>
        <v>-1.1832716792248359E-2</v>
      </c>
      <c r="Z937" s="139">
        <f t="shared" si="160"/>
        <v>-1.1832716792248359E-2</v>
      </c>
      <c r="AA937" s="139">
        <f t="shared" si="161"/>
        <v>1.4001318668555629E-4</v>
      </c>
      <c r="AB937" s="144">
        <f t="shared" si="162"/>
        <v>7.3084747340889322</v>
      </c>
      <c r="AC937" s="144">
        <f t="shared" si="163"/>
        <v>-4.3008342144481883E-2</v>
      </c>
      <c r="AD937" s="144">
        <f t="shared" si="164"/>
        <v>-4.4285393286146002E-2</v>
      </c>
      <c r="AE937" s="144">
        <f t="shared" si="165"/>
        <v>-3.4460911193428576E-2</v>
      </c>
    </row>
    <row r="938" spans="1:31">
      <c r="A938" s="88">
        <v>45331</v>
      </c>
      <c r="B938" s="132">
        <v>46796069.75</v>
      </c>
      <c r="D938" s="67">
        <f t="shared" si="145"/>
        <v>46796069.75</v>
      </c>
      <c r="E938" s="67">
        <f t="shared" si="167"/>
        <v>47476839.770000003</v>
      </c>
      <c r="F938" s="67">
        <f t="shared" si="146"/>
        <v>-111792.24000000209</v>
      </c>
      <c r="G938" s="70">
        <f t="shared" si="157"/>
        <v>-2.3832303425774209E-3</v>
      </c>
      <c r="H938" s="70"/>
      <c r="I938" s="70"/>
      <c r="J938" s="67">
        <f t="shared" si="168"/>
        <v>-680770.02000000328</v>
      </c>
      <c r="K938" s="70">
        <f t="shared" si="169"/>
        <v>-1.4338991881051366E-2</v>
      </c>
      <c r="L938" s="70">
        <f t="shared" si="149"/>
        <v>0.99761676965742263</v>
      </c>
      <c r="M938" s="70">
        <f>PRODUCT($L$2:L938)-1</f>
        <v>8.4641210063091998E-2</v>
      </c>
      <c r="N938" s="70">
        <f>PRODUCT($L$909:L938)-1</f>
        <v>-0.14290151783278771</v>
      </c>
      <c r="O938" s="70">
        <f>AVERAGE($G$909:G938)*252</f>
        <v>-1.2375447709378844</v>
      </c>
      <c r="P938" s="70">
        <f>STDEV($G$909:G938)*252^0.5</f>
        <v>0.33220789008527513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-3.7252118564077947</v>
      </c>
      <c r="X938" s="142">
        <f t="shared" si="166"/>
        <v>1.7857142857142857E-4</v>
      </c>
      <c r="Y938" s="139">
        <f t="shared" si="159"/>
        <v>-2.5618017711488495E-3</v>
      </c>
      <c r="Z938" s="139">
        <f t="shared" si="160"/>
        <v>-2.5618017711488495E-3</v>
      </c>
      <c r="AA938" s="139">
        <f t="shared" si="161"/>
        <v>6.562828314661382E-6</v>
      </c>
      <c r="AB938" s="144">
        <f t="shared" si="162"/>
        <v>7.2751634950647759</v>
      </c>
      <c r="AC938" s="144">
        <f t="shared" si="163"/>
        <v>-3.9332957659297368E-2</v>
      </c>
      <c r="AD938" s="144">
        <f t="shared" si="164"/>
        <v>-4.4379966408865039E-2</v>
      </c>
      <c r="AE938" s="144">
        <f t="shared" si="165"/>
        <v>-3.4349524825431549E-2</v>
      </c>
    </row>
    <row r="939" spans="1:31">
      <c r="A939" s="88">
        <v>45334</v>
      </c>
      <c r="B939" s="132">
        <v>47189777.920000002</v>
      </c>
      <c r="D939" s="67">
        <f t="shared" ref="D939:D1002" si="170">B939</f>
        <v>47189777.920000002</v>
      </c>
      <c r="E939" s="67">
        <f t="shared" si="167"/>
        <v>47476839.770000003</v>
      </c>
      <c r="F939" s="67">
        <f t="shared" si="146"/>
        <v>393708.17000000179</v>
      </c>
      <c r="G939" s="70">
        <f t="shared" si="157"/>
        <v>8.4132742792999583E-3</v>
      </c>
      <c r="H939" s="70"/>
      <c r="I939" s="70"/>
      <c r="J939" s="67">
        <f t="shared" si="168"/>
        <v>-287061.85000000149</v>
      </c>
      <c r="K939" s="70">
        <f t="shared" si="169"/>
        <v>-6.0463554733353186E-3</v>
      </c>
      <c r="L939" s="70">
        <f t="shared" si="149"/>
        <v>1.0084132742792999</v>
      </c>
      <c r="M939" s="70">
        <f>PRODUCT($L$2:L939)-1</f>
        <v>9.3766594057984598E-2</v>
      </c>
      <c r="N939" s="70">
        <f>PRODUCT($L$909:L939)-1</f>
        <v>-0.13569051321794323</v>
      </c>
      <c r="O939" s="70">
        <f>AVERAGE($G$909:G939)*252</f>
        <v>-1.1292321938629979</v>
      </c>
      <c r="P939" s="70">
        <f>STDEV($G$909:G939)*252^0.5</f>
        <v>0.32882597364241806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-3.4341332022967928</v>
      </c>
      <c r="X939" s="142">
        <f t="shared" si="166"/>
        <v>1.7857142857142857E-4</v>
      </c>
      <c r="Y939" s="139">
        <f t="shared" si="159"/>
        <v>8.2347028507285293E-3</v>
      </c>
      <c r="Z939" s="139">
        <f t="shared" si="160"/>
        <v>0</v>
      </c>
      <c r="AA939" s="139">
        <f t="shared" si="161"/>
        <v>0</v>
      </c>
      <c r="AB939" s="144">
        <f t="shared" si="162"/>
        <v>7.2081966927853829</v>
      </c>
      <c r="AC939" s="144">
        <f t="shared" si="163"/>
        <v>-3.9249892213154267E-2</v>
      </c>
      <c r="AD939" s="144">
        <f t="shared" si="164"/>
        <v>-4.4357774643023415E-2</v>
      </c>
      <c r="AE939" s="144">
        <f t="shared" si="165"/>
        <v>-3.4303076467168521E-2</v>
      </c>
    </row>
    <row r="940" spans="1:31">
      <c r="A940" s="88">
        <v>45335</v>
      </c>
      <c r="B940" s="132">
        <v>46141381.909999996</v>
      </c>
      <c r="D940" s="67">
        <f t="shared" si="170"/>
        <v>46141381.909999996</v>
      </c>
      <c r="E940" s="67">
        <f t="shared" si="167"/>
        <v>47476839.770000003</v>
      </c>
      <c r="F940" s="67">
        <f t="shared" ref="F940:F1008" si="171">B940-C940-D939</f>
        <v>-1048396.0100000054</v>
      </c>
      <c r="G940" s="70">
        <f t="shared" si="157"/>
        <v>-2.2216591308764636E-2</v>
      </c>
      <c r="H940" s="70"/>
      <c r="I940" s="70"/>
      <c r="J940" s="67">
        <f t="shared" si="168"/>
        <v>-1335457.8600000069</v>
      </c>
      <c r="K940" s="70">
        <f t="shared" si="169"/>
        <v>-2.8128617373641362E-2</v>
      </c>
      <c r="L940" s="70">
        <f t="shared" si="149"/>
        <v>0.97778340869123537</v>
      </c>
      <c r="M940" s="70">
        <f>PRODUCT($L$2:L940)-1</f>
        <v>6.9466828650618817E-2</v>
      </c>
      <c r="N940" s="70">
        <f>PRODUCT($L$909:L940)-1</f>
        <v>-0.15489252385006824</v>
      </c>
      <c r="O940" s="70">
        <f>AVERAGE($G$909:G940)*252</f>
        <v>-1.2688993443613006</v>
      </c>
      <c r="P940" s="70">
        <f>STDEV($G$909:G940)*252^0.5</f>
        <v>0.32728525319939772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-3.8770440524193948</v>
      </c>
      <c r="X940" s="142">
        <f t="shared" si="166"/>
        <v>1.7857142857142857E-4</v>
      </c>
      <c r="Y940" s="139">
        <f t="shared" si="159"/>
        <v>-2.2395162737336063E-2</v>
      </c>
      <c r="Z940" s="139">
        <f t="shared" si="160"/>
        <v>-2.2395162737336063E-2</v>
      </c>
      <c r="AA940" s="139">
        <f t="shared" si="161"/>
        <v>5.0154331403176567E-4</v>
      </c>
      <c r="AB940" s="144">
        <f t="shared" si="162"/>
        <v>7.087494794921108</v>
      </c>
      <c r="AC940" s="144">
        <f t="shared" si="163"/>
        <v>-3.3278646237620425E-2</v>
      </c>
      <c r="AD940" s="144">
        <f t="shared" si="164"/>
        <v>-4.4896954279518168E-2</v>
      </c>
      <c r="AE940" s="144">
        <f t="shared" si="165"/>
        <v>-3.4433626642004368E-2</v>
      </c>
    </row>
    <row r="941" spans="1:31">
      <c r="A941" s="88">
        <v>45336</v>
      </c>
      <c r="B941" s="132">
        <v>47085244.189999998</v>
      </c>
      <c r="D941" s="67">
        <f t="shared" si="170"/>
        <v>47085244.189999998</v>
      </c>
      <c r="E941" s="67">
        <f t="shared" si="167"/>
        <v>47476839.770000003</v>
      </c>
      <c r="F941" s="67">
        <f t="shared" si="171"/>
        <v>943862.28000000119</v>
      </c>
      <c r="G941" s="70">
        <f t="shared" si="157"/>
        <v>2.0455873684950093E-2</v>
      </c>
      <c r="H941" s="70"/>
      <c r="I941" s="70"/>
      <c r="J941" s="67">
        <f t="shared" si="168"/>
        <v>-391595.58000000566</v>
      </c>
      <c r="K941" s="70">
        <f t="shared" si="169"/>
        <v>-8.2481391326187925E-3</v>
      </c>
      <c r="L941" s="70">
        <f t="shared" si="149"/>
        <v>1.0204558736849501</v>
      </c>
      <c r="M941" s="70">
        <f>PRODUCT($L$2:L941)-1</f>
        <v>9.1343707007740083E-2</v>
      </c>
      <c r="N941" s="70">
        <f>PRODUCT($L$909:L941)-1</f>
        <v>-0.13760511206773829</v>
      </c>
      <c r="O941" s="70">
        <f>AVERAGE($G$909:G941)*252</f>
        <v>-1.0742393591198243</v>
      </c>
      <c r="P941" s="70">
        <f>STDEV($G$909:G941)*252^0.5</f>
        <v>0.32974291151199664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-3.2578088007837023</v>
      </c>
      <c r="X941" s="142">
        <f t="shared" si="166"/>
        <v>1.7857142857142857E-4</v>
      </c>
      <c r="Y941" s="139">
        <f t="shared" si="159"/>
        <v>2.0277302256378665E-2</v>
      </c>
      <c r="Z941" s="139">
        <f t="shared" si="160"/>
        <v>0</v>
      </c>
      <c r="AA941" s="139">
        <f t="shared" si="161"/>
        <v>0</v>
      </c>
      <c r="AB941" s="144">
        <f t="shared" si="162"/>
        <v>7.3407929021246643</v>
      </c>
      <c r="AC941" s="144">
        <f t="shared" si="163"/>
        <v>-2.57253892339976E-2</v>
      </c>
      <c r="AD941" s="144">
        <f t="shared" si="164"/>
        <v>-4.4865922700585557E-2</v>
      </c>
      <c r="AE941" s="144">
        <f t="shared" si="165"/>
        <v>-3.4388688164335095E-2</v>
      </c>
    </row>
    <row r="942" spans="1:31">
      <c r="A942" s="88">
        <v>45337</v>
      </c>
      <c r="B942" s="132">
        <v>47621747.439999998</v>
      </c>
      <c r="D942" s="67">
        <f t="shared" si="170"/>
        <v>47621747.439999998</v>
      </c>
      <c r="E942" s="67">
        <f t="shared" si="167"/>
        <v>47476839.770000003</v>
      </c>
      <c r="F942" s="67">
        <f t="shared" si="171"/>
        <v>536503.25</v>
      </c>
      <c r="G942" s="70">
        <f t="shared" si="157"/>
        <v>1.1394296859438248E-2</v>
      </c>
      <c r="H942" s="70"/>
      <c r="I942" s="70"/>
      <c r="J942" s="67">
        <f t="shared" si="168"/>
        <v>144907.66999999434</v>
      </c>
      <c r="K942" s="70">
        <f t="shared" si="169"/>
        <v>3.0521759810044902E-3</v>
      </c>
      <c r="L942" s="70">
        <f t="shared" si="149"/>
        <v>1.0113942968594383</v>
      </c>
      <c r="M942" s="70">
        <f>PRODUCT($L$2:L942)-1</f>
        <v>0.10377880118106608</v>
      </c>
      <c r="N942" s="70">
        <f>PRODUCT($L$909:L942)-1</f>
        <v>-0.12777872870457607</v>
      </c>
      <c r="O942" s="70">
        <f>AVERAGE($G$909:G942)*252</f>
        <v>-0.95819223654046359</v>
      </c>
      <c r="P942" s="70">
        <f>STDEV($G$909:G942)*252^0.5</f>
        <v>0.32749426687184202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-2.9258290402849463</v>
      </c>
      <c r="X942" s="142">
        <f t="shared" si="166"/>
        <v>1.7857142857142857E-4</v>
      </c>
      <c r="Y942" s="139">
        <f t="shared" si="159"/>
        <v>1.1215725430866819E-2</v>
      </c>
      <c r="Z942" s="139">
        <f t="shared" si="160"/>
        <v>0</v>
      </c>
      <c r="AA942" s="139">
        <f t="shared" si="161"/>
        <v>0</v>
      </c>
      <c r="AB942" s="144">
        <f t="shared" si="162"/>
        <v>7.6155613453960092</v>
      </c>
      <c r="AC942" s="144">
        <f t="shared" si="163"/>
        <v>-2.5170650822305851E-2</v>
      </c>
      <c r="AD942" s="144">
        <f t="shared" si="164"/>
        <v>-4.4655142246051084E-2</v>
      </c>
      <c r="AE942" s="144">
        <f t="shared" si="165"/>
        <v>-3.4300817721575366E-2</v>
      </c>
    </row>
    <row r="943" spans="1:31">
      <c r="A943" s="88">
        <v>45338</v>
      </c>
      <c r="B943" s="132">
        <v>47680147.380000003</v>
      </c>
      <c r="D943" s="67">
        <f t="shared" si="170"/>
        <v>47680147.380000003</v>
      </c>
      <c r="E943" s="67">
        <f t="shared" si="167"/>
        <v>47476839.770000003</v>
      </c>
      <c r="F943" s="67">
        <f t="shared" si="171"/>
        <v>58399.940000005066</v>
      </c>
      <c r="G943" s="70">
        <f t="shared" si="157"/>
        <v>1.2263292117447983E-3</v>
      </c>
      <c r="H943" s="70"/>
      <c r="I943" s="70"/>
      <c r="J943" s="67">
        <f t="shared" si="168"/>
        <v>203307.6099999994</v>
      </c>
      <c r="K943" s="70">
        <f t="shared" si="169"/>
        <v>4.2822481653141953E-3</v>
      </c>
      <c r="L943" s="70">
        <f t="shared" si="149"/>
        <v>1.0012263292117447</v>
      </c>
      <c r="M943" s="70">
        <f>PRODUCT($L$2:L943)-1</f>
        <v>0.10513239736825897</v>
      </c>
      <c r="N943" s="70">
        <f>PRODUCT($L$909:L943)-1</f>
        <v>-0.12670909828048138</v>
      </c>
      <c r="O943" s="70">
        <f>AVERAGE($G$909:G943)*252</f>
        <v>-0.92198574517188792</v>
      </c>
      <c r="P943" s="70">
        <f>STDEV($G$909:G943)*252^0.5</f>
        <v>0.32292426438327049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-2.8551144861558213</v>
      </c>
      <c r="X943" s="142">
        <f t="shared" si="166"/>
        <v>1.7857142857142857E-4</v>
      </c>
      <c r="Y943" s="139">
        <f t="shared" si="159"/>
        <v>1.0477577831733698E-3</v>
      </c>
      <c r="Z943" s="139">
        <f t="shared" si="160"/>
        <v>0</v>
      </c>
      <c r="AA943" s="139">
        <f t="shared" si="161"/>
        <v>0</v>
      </c>
      <c r="AB943" s="144">
        <f t="shared" si="162"/>
        <v>7.8414768963923409</v>
      </c>
      <c r="AC943" s="144">
        <f t="shared" si="163"/>
        <v>-2.5157497927653337E-2</v>
      </c>
      <c r="AD943" s="144">
        <f t="shared" si="164"/>
        <v>-4.4273237042183979E-2</v>
      </c>
      <c r="AE943" s="144">
        <f t="shared" si="165"/>
        <v>-3.4252372247605113E-2</v>
      </c>
    </row>
    <row r="944" spans="1:31">
      <c r="A944" s="88">
        <v>45342</v>
      </c>
      <c r="B944" s="132">
        <v>47393133.289999999</v>
      </c>
      <c r="D944" s="67">
        <f t="shared" si="170"/>
        <v>47393133.289999999</v>
      </c>
      <c r="E944" s="67">
        <f t="shared" si="167"/>
        <v>47476839.770000003</v>
      </c>
      <c r="F944" s="67">
        <f t="shared" si="171"/>
        <v>-287014.09000000358</v>
      </c>
      <c r="G944" s="70">
        <f t="shared" si="157"/>
        <v>-6.0195722071193719E-3</v>
      </c>
      <c r="H944" s="70"/>
      <c r="I944" s="70"/>
      <c r="J944" s="67">
        <f t="shared" si="168"/>
        <v>-83706.480000004172</v>
      </c>
      <c r="K944" s="70">
        <f t="shared" si="169"/>
        <v>-1.7631013438450527E-3</v>
      </c>
      <c r="L944" s="70">
        <f t="shared" si="149"/>
        <v>0.99398042779288065</v>
      </c>
      <c r="M944" s="70">
        <f>PRODUCT($L$2:L944)-1</f>
        <v>9.8479973103873908E-2</v>
      </c>
      <c r="N944" s="70">
        <f>PRODUCT($L$909:L944)-1</f>
        <v>-0.13196593592120243</v>
      </c>
      <c r="O944" s="70">
        <f>AVERAGE($G$909:G944)*252</f>
        <v>-0.93851203547806006</v>
      </c>
      <c r="P944" s="70">
        <f>STDEV($G$909:G944)*252^0.5</f>
        <v>0.3183389177451611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-2.9481536286096328</v>
      </c>
      <c r="X944" s="142">
        <f t="shared" si="166"/>
        <v>1.7857142857142857E-4</v>
      </c>
      <c r="Y944" s="139">
        <f t="shared" si="159"/>
        <v>-6.1981436356908009E-3</v>
      </c>
      <c r="Z944" s="139">
        <f t="shared" si="160"/>
        <v>-6.1981436356908009E-3</v>
      </c>
      <c r="AA944" s="139">
        <f t="shared" si="161"/>
        <v>3.8416984528654382E-5</v>
      </c>
      <c r="AB944" s="144">
        <f t="shared" si="162"/>
        <v>7.4896561397993464</v>
      </c>
      <c r="AC944" s="144">
        <f t="shared" si="163"/>
        <v>-2.4756503762033349E-2</v>
      </c>
      <c r="AD944" s="144">
        <f t="shared" si="164"/>
        <v>-4.4498759130745164E-2</v>
      </c>
      <c r="AE944" s="144">
        <f t="shared" si="165"/>
        <v>-3.4198453224184147E-2</v>
      </c>
    </row>
    <row r="945" spans="1:31">
      <c r="A945" s="88">
        <v>45343</v>
      </c>
      <c r="B945" s="78">
        <v>46880552.270000003</v>
      </c>
      <c r="D945" s="67">
        <f t="shared" si="170"/>
        <v>46880552.270000003</v>
      </c>
      <c r="E945" s="67">
        <f t="shared" si="167"/>
        <v>47476839.770000003</v>
      </c>
      <c r="F945" s="67">
        <f t="shared" si="171"/>
        <v>-512581.01999999583</v>
      </c>
      <c r="G945" s="70">
        <f t="shared" si="157"/>
        <v>-1.0815512383692744E-2</v>
      </c>
      <c r="H945" s="70"/>
      <c r="I945" s="70"/>
      <c r="J945" s="67">
        <f t="shared" si="168"/>
        <v>-596287.5</v>
      </c>
      <c r="K945" s="70">
        <f t="shared" si="169"/>
        <v>-1.2559544883119722E-2</v>
      </c>
      <c r="L945" s="70">
        <f t="shared" si="149"/>
        <v>0.98918448761630728</v>
      </c>
      <c r="M945" s="70">
        <f>PRODUCT($L$2:L945)-1</f>
        <v>8.6599349351530464E-2</v>
      </c>
      <c r="N945" s="70">
        <f>PRODUCT($L$909:L945)-1</f>
        <v>-0.14135416909071374</v>
      </c>
      <c r="O945" s="70">
        <f>AVERAGE($G$909:G945)*252</f>
        <v>-0.986809253997317</v>
      </c>
      <c r="P945" s="70">
        <f>STDEV($G$909:G945)*252^0.5</f>
        <v>0.3144314931174923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-3.1383919091990577</v>
      </c>
      <c r="X945" s="142">
        <f t="shared" si="166"/>
        <v>1.7857142857142857E-4</v>
      </c>
      <c r="Y945" s="139">
        <f t="shared" si="159"/>
        <v>-1.0994083812264173E-2</v>
      </c>
      <c r="Z945" s="139">
        <f t="shared" si="160"/>
        <v>-1.0994083812264173E-2</v>
      </c>
      <c r="AA945" s="139">
        <f t="shared" si="161"/>
        <v>1.2086987887108912E-4</v>
      </c>
      <c r="AB945" s="144">
        <f t="shared" si="162"/>
        <v>6.7222828983030976</v>
      </c>
      <c r="AC945" s="144">
        <f t="shared" si="163"/>
        <v>-2.4727960370556593E-2</v>
      </c>
      <c r="AD945" s="144">
        <f t="shared" si="164"/>
        <v>-4.457966518776315E-2</v>
      </c>
      <c r="AE945" s="144">
        <f t="shared" si="165"/>
        <v>-3.4229719140280571E-2</v>
      </c>
    </row>
    <row r="946" spans="1:31">
      <c r="A946" s="88">
        <v>45344</v>
      </c>
      <c r="B946" s="78">
        <v>47876243.700000003</v>
      </c>
      <c r="D946" s="67">
        <f t="shared" si="170"/>
        <v>47876243.700000003</v>
      </c>
      <c r="E946" s="67">
        <f t="shared" si="167"/>
        <v>47476839.770000003</v>
      </c>
      <c r="F946" s="67">
        <f t="shared" si="171"/>
        <v>995691.4299999997</v>
      </c>
      <c r="G946" s="70">
        <f t="shared" si="157"/>
        <v>2.1238901458871393E-2</v>
      </c>
      <c r="H946" s="70"/>
      <c r="I946" s="70"/>
      <c r="J946" s="67">
        <f t="shared" si="168"/>
        <v>399403.9299999997</v>
      </c>
      <c r="K946" s="70">
        <f t="shared" si="169"/>
        <v>8.4126056396107707E-3</v>
      </c>
      <c r="L946" s="70">
        <f t="shared" si="149"/>
        <v>1.0212389014588714</v>
      </c>
      <c r="M946" s="70">
        <f>PRODUCT($L$2:L946)-1</f>
        <v>0.10967752585768142</v>
      </c>
      <c r="N946" s="70">
        <f>PRODUCT($L$909:L946)-1</f>
        <v>-0.12311747489996061</v>
      </c>
      <c r="O946" s="70">
        <f>AVERAGE($G$909:G946)*252</f>
        <v>-0.81999313763855641</v>
      </c>
      <c r="P946" s="70">
        <f>STDEV($G$909:G946)*252^0.5</f>
        <v>0.31684587146729443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-2.5879874458872285</v>
      </c>
      <c r="X946" s="142">
        <f t="shared" si="166"/>
        <v>1.7857142857142857E-4</v>
      </c>
      <c r="Y946" s="139">
        <f t="shared" si="159"/>
        <v>2.1060330030299966E-2</v>
      </c>
      <c r="Z946" s="139">
        <f t="shared" si="160"/>
        <v>0</v>
      </c>
      <c r="AA946" s="139">
        <f t="shared" si="161"/>
        <v>0</v>
      </c>
      <c r="AB946" s="144">
        <f t="shared" si="162"/>
        <v>7.0699109506263582</v>
      </c>
      <c r="AC946" s="144">
        <f t="shared" si="163"/>
        <v>-2.5065122172830325E-2</v>
      </c>
      <c r="AD946" s="144">
        <f t="shared" si="164"/>
        <v>-4.39378170789433E-2</v>
      </c>
      <c r="AE946" s="144">
        <f t="shared" si="165"/>
        <v>-3.4213638628025574E-2</v>
      </c>
    </row>
    <row r="947" spans="1:31">
      <c r="A947" s="88">
        <v>45345</v>
      </c>
      <c r="B947" s="78">
        <v>47835194.93</v>
      </c>
      <c r="D947" s="67">
        <f t="shared" si="170"/>
        <v>47835194.93</v>
      </c>
      <c r="E947" s="67">
        <f t="shared" si="167"/>
        <v>47476839.770000003</v>
      </c>
      <c r="F947" s="67">
        <f t="shared" si="171"/>
        <v>-41048.770000003278</v>
      </c>
      <c r="G947" s="70">
        <f t="shared" si="157"/>
        <v>-8.5739328793673253E-4</v>
      </c>
      <c r="H947" s="70"/>
      <c r="I947" s="70"/>
      <c r="J947" s="67">
        <f t="shared" si="168"/>
        <v>358355.15999999642</v>
      </c>
      <c r="K947" s="70">
        <f t="shared" si="169"/>
        <v>7.5479994400644568E-3</v>
      </c>
      <c r="L947" s="70">
        <f t="shared" si="149"/>
        <v>0.99914260671206323</v>
      </c>
      <c r="M947" s="70">
        <f>PRODUCT($L$2:L947)-1</f>
        <v>0.10872609579523673</v>
      </c>
      <c r="N947" s="70">
        <f>PRODUCT($L$909:L947)-1</f>
        <v>-0.12386930809129038</v>
      </c>
      <c r="O947" s="70">
        <f>AVERAGE($G$909:G947)*252</f>
        <v>-0.80450775227756921</v>
      </c>
      <c r="P947" s="70">
        <f>STDEV($G$909:G947)*252^0.5</f>
        <v>0.31270839651405635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-2.5727091477104174</v>
      </c>
      <c r="X947" s="142">
        <f t="shared" si="166"/>
        <v>1.7857142857142857E-4</v>
      </c>
      <c r="Y947" s="139">
        <f t="shared" si="159"/>
        <v>-1.0359647165081611E-3</v>
      </c>
      <c r="Z947" s="139">
        <f t="shared" si="160"/>
        <v>-1.0359647165081611E-3</v>
      </c>
      <c r="AA947" s="139">
        <f t="shared" si="161"/>
        <v>1.0732228938498346E-6</v>
      </c>
      <c r="AB947" s="144">
        <f t="shared" si="162"/>
        <v>7.5022754139599259</v>
      </c>
      <c r="AC947" s="144">
        <f t="shared" si="163"/>
        <v>-2.4726856680261897E-2</v>
      </c>
      <c r="AD947" s="144">
        <f t="shared" si="164"/>
        <v>-4.3593014479564741E-2</v>
      </c>
      <c r="AE947" s="144">
        <f t="shared" si="165"/>
        <v>-3.4235765175048873E-2</v>
      </c>
    </row>
    <row r="948" spans="1:31">
      <c r="A948" s="88">
        <v>45348</v>
      </c>
      <c r="B948" s="78">
        <v>47332227.159999996</v>
      </c>
      <c r="D948" s="67">
        <f t="shared" si="170"/>
        <v>47332227.159999996</v>
      </c>
      <c r="E948" s="67">
        <f t="shared" si="167"/>
        <v>47476839.770000003</v>
      </c>
      <c r="F948" s="67">
        <f t="shared" si="171"/>
        <v>-502967.77000000328</v>
      </c>
      <c r="G948" s="70">
        <f t="shared" si="157"/>
        <v>-1.0514596433358848E-2</v>
      </c>
      <c r="H948" s="70"/>
      <c r="I948" s="70"/>
      <c r="J948" s="67">
        <f t="shared" si="168"/>
        <v>-144612.61000000685</v>
      </c>
      <c r="K948" s="70">
        <f t="shared" si="169"/>
        <v>-3.0459611612858595E-3</v>
      </c>
      <c r="L948" s="70">
        <f t="shared" si="149"/>
        <v>0.98948540356664116</v>
      </c>
      <c r="M948" s="70">
        <f>PRODUCT($L$2:L948)-1</f>
        <v>9.7068288342816222E-2</v>
      </c>
      <c r="N948" s="70">
        <f>PRODUCT($L$909:L948)-1</f>
        <v>-0.13308146873958993</v>
      </c>
      <c r="O948" s="70">
        <f>AVERAGE($G$909:G948)*252</f>
        <v>-0.85063701600079067</v>
      </c>
      <c r="P948" s="70">
        <f>STDEV($G$909:G948)*252^0.5</f>
        <v>0.30921991748216432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-2.7509127579075012</v>
      </c>
      <c r="X948" s="142">
        <f t="shared" si="166"/>
        <v>1.7857142857142857E-4</v>
      </c>
      <c r="Y948" s="139">
        <f t="shared" si="159"/>
        <v>-1.0693167861930277E-2</v>
      </c>
      <c r="Z948" s="139">
        <f t="shared" si="160"/>
        <v>-1.0693167861930277E-2</v>
      </c>
      <c r="AA948" s="139">
        <f t="shared" si="161"/>
        <v>1.1434383892341854E-4</v>
      </c>
      <c r="AB948" s="144">
        <f t="shared" si="162"/>
        <v>7.2730704338732703</v>
      </c>
      <c r="AC948" s="144">
        <f t="shared" si="163"/>
        <v>-2.5058743211175113E-2</v>
      </c>
      <c r="AD948" s="144">
        <f t="shared" si="164"/>
        <v>-4.3068407453423128E-2</v>
      </c>
      <c r="AE948" s="144">
        <f t="shared" si="165"/>
        <v>-3.4109024688180091E-2</v>
      </c>
    </row>
    <row r="949" spans="1:31">
      <c r="A949" s="88">
        <v>45349</v>
      </c>
      <c r="B949" s="78">
        <v>47229623.490000002</v>
      </c>
      <c r="D949" s="67">
        <f t="shared" si="170"/>
        <v>47229623.490000002</v>
      </c>
      <c r="E949" s="67">
        <f t="shared" si="167"/>
        <v>47476839.770000003</v>
      </c>
      <c r="F949" s="67">
        <f t="shared" si="171"/>
        <v>-102603.66999999434</v>
      </c>
      <c r="G949" s="70">
        <f t="shared" si="157"/>
        <v>-2.1677338286482258E-3</v>
      </c>
      <c r="H949" s="70"/>
      <c r="I949" s="70"/>
      <c r="J949" s="67">
        <f t="shared" si="168"/>
        <v>-247216.28000000119</v>
      </c>
      <c r="K949" s="70">
        <f t="shared" si="169"/>
        <v>-5.2070921568839745E-3</v>
      </c>
      <c r="L949" s="70">
        <f t="shared" si="149"/>
        <v>0.99783226617135179</v>
      </c>
      <c r="M949" s="70">
        <f>PRODUCT($L$2:L949)-1</f>
        <v>9.4690136301838201E-2</v>
      </c>
      <c r="N949" s="70">
        <f>PRODUCT($L$909:L949)-1</f>
        <v>-0.13496071736648518</v>
      </c>
      <c r="O949" s="70">
        <f>AVERAGE($G$909:G949)*252</f>
        <v>-0.84321340402075573</v>
      </c>
      <c r="P949" s="70">
        <f>STDEV($G$909:G949)*252^0.5</f>
        <v>0.30534488655522174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-2.7615114617885053</v>
      </c>
      <c r="X949" s="142">
        <f t="shared" si="166"/>
        <v>1.7857142857142857E-4</v>
      </c>
      <c r="Y949" s="139">
        <f t="shared" si="159"/>
        <v>-2.3463052572196543E-3</v>
      </c>
      <c r="Z949" s="139">
        <f t="shared" si="160"/>
        <v>-2.3463052572196543E-3</v>
      </c>
      <c r="AA949" s="139">
        <f t="shared" si="161"/>
        <v>5.5051483600565887E-6</v>
      </c>
      <c r="AB949" s="144">
        <f t="shared" si="162"/>
        <v>7.7918859733422332</v>
      </c>
      <c r="AC949" s="144">
        <f t="shared" si="163"/>
        <v>-2.5117370859437698E-2</v>
      </c>
      <c r="AD949" s="144">
        <f t="shared" si="164"/>
        <v>-4.3140185934181223E-2</v>
      </c>
      <c r="AE949" s="144">
        <f t="shared" si="165"/>
        <v>-3.4050306733572781E-2</v>
      </c>
    </row>
    <row r="950" spans="1:31">
      <c r="A950" s="88">
        <v>45350</v>
      </c>
      <c r="B950" s="78">
        <v>46894324.420000002</v>
      </c>
      <c r="D950" s="67">
        <f t="shared" si="170"/>
        <v>46894324.420000002</v>
      </c>
      <c r="E950" s="67">
        <f t="shared" si="167"/>
        <v>47476839.770000003</v>
      </c>
      <c r="F950" s="67">
        <f t="shared" si="171"/>
        <v>-335299.0700000003</v>
      </c>
      <c r="G950" s="70">
        <f t="shared" si="157"/>
        <v>-7.0993381954652605E-3</v>
      </c>
      <c r="H950" s="70"/>
      <c r="I950" s="70"/>
      <c r="J950" s="67">
        <f t="shared" si="168"/>
        <v>-582515.35000000149</v>
      </c>
      <c r="K950" s="70">
        <f t="shared" si="169"/>
        <v>-1.2269463444112616E-2</v>
      </c>
      <c r="L950" s="70">
        <f t="shared" si="149"/>
        <v>0.99290066180453473</v>
      </c>
      <c r="M950" s="70">
        <f>PRODUCT($L$2:L950)-1</f>
        <v>8.6918560804991385E-2</v>
      </c>
      <c r="N950" s="70">
        <f>PRODUCT($L$909:L950)-1</f>
        <v>-0.14110192378626318</v>
      </c>
      <c r="O950" s="70">
        <f>AVERAGE($G$909:G950)*252</f>
        <v>-0.86573292357400555</v>
      </c>
      <c r="P950" s="70">
        <f>STDEV($G$909:G950)*252^0.5</f>
        <v>0.30173827172968326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-2.8691518600251853</v>
      </c>
      <c r="X950" s="142">
        <f t="shared" si="166"/>
        <v>1.7857142857142857E-4</v>
      </c>
      <c r="Y950" s="139">
        <f t="shared" si="159"/>
        <v>-7.2779096240366895E-3</v>
      </c>
      <c r="Z950" s="139">
        <f t="shared" si="160"/>
        <v>-7.2779096240366895E-3</v>
      </c>
      <c r="AA950" s="139">
        <f t="shared" si="161"/>
        <v>5.2967968495645867E-5</v>
      </c>
      <c r="AB950" s="144">
        <f t="shared" si="162"/>
        <v>7.9425277899413675</v>
      </c>
      <c r="AC950" s="144">
        <f t="shared" si="163"/>
        <v>-2.3961769531758881E-2</v>
      </c>
      <c r="AD950" s="144">
        <f t="shared" si="164"/>
        <v>-4.3398343232328482E-2</v>
      </c>
      <c r="AE950" s="144">
        <f t="shared" si="165"/>
        <v>-3.4093085777552094E-2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70"/>
        <v>47170258.159999996</v>
      </c>
      <c r="E951" s="80">
        <f t="shared" si="167"/>
        <v>47476839.770000003</v>
      </c>
      <c r="F951" s="80">
        <f t="shared" si="171"/>
        <v>275933.73999999464</v>
      </c>
      <c r="G951" s="81">
        <f t="shared" si="157"/>
        <v>5.8841606828290592E-3</v>
      </c>
      <c r="H951" s="81"/>
      <c r="I951" s="81"/>
      <c r="J951" s="80">
        <f t="shared" si="168"/>
        <v>-306581.61000000685</v>
      </c>
      <c r="K951" s="81">
        <f t="shared" si="169"/>
        <v>-6.4574982556808713E-3</v>
      </c>
      <c r="L951" s="81">
        <f t="shared" si="149"/>
        <v>1.005884160682829</v>
      </c>
      <c r="M951" s="81">
        <f>PRODUCT($L$2:L951)-1</f>
        <v>9.331416426591721E-2</v>
      </c>
      <c r="N951" s="81">
        <f>PRODUCT($L$909:L951)-1</f>
        <v>-0.13604802949564876</v>
      </c>
      <c r="O951" s="81">
        <f>AVERAGE($G$909:G951)*252</f>
        <v>-0.81111568134965828</v>
      </c>
      <c r="P951" s="81">
        <f>STDEV($G$909:G951)*252^0.5</f>
        <v>0.29897697974682674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6">
        <f t="shared" si="175"/>
        <v>-2.7129703498794786</v>
      </c>
      <c r="X951" s="143">
        <f t="shared" si="166"/>
        <v>1.7857142857142857E-4</v>
      </c>
      <c r="Y951" s="140">
        <f t="shared" si="159"/>
        <v>5.7055892542576302E-3</v>
      </c>
      <c r="Z951" s="140">
        <f t="shared" si="160"/>
        <v>0</v>
      </c>
      <c r="AA951" s="140">
        <f t="shared" si="161"/>
        <v>0</v>
      </c>
      <c r="AB951" s="145">
        <f t="shared" si="162"/>
        <v>8.0375268061156611</v>
      </c>
      <c r="AC951" s="145">
        <f t="shared" si="163"/>
        <v>-2.3100089929129767E-2</v>
      </c>
      <c r="AD951" s="145">
        <f t="shared" si="164"/>
        <v>-4.2049335632119475E-2</v>
      </c>
      <c r="AE951" s="145">
        <f t="shared" si="165"/>
        <v>-3.4086958385689745E-2</v>
      </c>
    </row>
    <row r="952" spans="1:31">
      <c r="A952" s="88">
        <v>45352</v>
      </c>
      <c r="B952" s="78">
        <v>48906863.399999999</v>
      </c>
      <c r="D952" s="67">
        <f t="shared" si="170"/>
        <v>48906863.399999999</v>
      </c>
      <c r="E952" s="67">
        <f t="shared" si="167"/>
        <v>47170258.159999996</v>
      </c>
      <c r="F952" s="67">
        <f t="shared" si="171"/>
        <v>1736605.2400000021</v>
      </c>
      <c r="G952" s="70">
        <f t="shared" si="157"/>
        <v>3.6815682333335827E-2</v>
      </c>
      <c r="H952" s="70"/>
      <c r="I952" s="70"/>
      <c r="J952" s="67">
        <f t="shared" si="168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0.13356527122806772</v>
      </c>
      <c r="N952" s="70">
        <f>PRODUCT($L$909:L952)-1</f>
        <v>-0.10424104819830105</v>
      </c>
      <c r="O952" s="70">
        <f>AVERAGE($G$909:G952)*252</f>
        <v>-0.58182778068260632</v>
      </c>
      <c r="P952" s="70">
        <f>STDEV($G$909:G952)*252^0.5</f>
        <v>0.3106249571274064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-1.8730876812450166</v>
      </c>
      <c r="X952" s="142">
        <f t="shared" si="166"/>
        <v>1.7857142857142857E-4</v>
      </c>
      <c r="Y952" s="139">
        <f t="shared" si="159"/>
        <v>3.6637110904764396E-2</v>
      </c>
      <c r="Z952" s="139">
        <f t="shared" si="160"/>
        <v>0</v>
      </c>
      <c r="AA952" s="139">
        <f t="shared" si="161"/>
        <v>0</v>
      </c>
      <c r="AB952" s="144">
        <f t="shared" si="162"/>
        <v>8.2709848585503956</v>
      </c>
      <c r="AC952" s="144">
        <f t="shared" si="163"/>
        <v>-2.4426475305641376E-2</v>
      </c>
      <c r="AD952" s="144">
        <f t="shared" si="164"/>
        <v>-4.0902527913364295E-2</v>
      </c>
      <c r="AE952" s="144">
        <f t="shared" si="165"/>
        <v>-3.4116242192085096E-2</v>
      </c>
    </row>
    <row r="953" spans="1:31">
      <c r="A953" s="88">
        <v>45355</v>
      </c>
      <c r="B953" s="78">
        <v>49379483.840000004</v>
      </c>
      <c r="D953" s="67">
        <f t="shared" si="170"/>
        <v>49379483.840000004</v>
      </c>
      <c r="E953" s="67">
        <f t="shared" si="167"/>
        <v>47170258.159999996</v>
      </c>
      <c r="F953" s="67">
        <f t="shared" si="171"/>
        <v>472620.44000000507</v>
      </c>
      <c r="G953" s="70">
        <f t="shared" si="157"/>
        <v>9.6636833185259046E-3</v>
      </c>
      <c r="H953" s="70"/>
      <c r="I953" s="70"/>
      <c r="J953" s="67">
        <f t="shared" si="168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0.14451968703009466</v>
      </c>
      <c r="N953" s="70">
        <f>PRODUCT($L$909:L953)-1</f>
        <v>-9.558471735835472E-2</v>
      </c>
      <c r="O953" s="70">
        <f>AVERAGE($G$909:G953)*252</f>
        <v>-0.51478164786146996</v>
      </c>
      <c r="P953" s="70">
        <f>STDEV($G$909:G953)*252^0.5</f>
        <v>0.30837910014465381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-1.6693143200041678</v>
      </c>
      <c r="X953" s="142">
        <f t="shared" si="166"/>
        <v>1.7857142857142857E-4</v>
      </c>
      <c r="Y953" s="139">
        <f t="shared" si="159"/>
        <v>9.4851118899544756E-3</v>
      </c>
      <c r="Z953" s="139">
        <f t="shared" si="160"/>
        <v>0</v>
      </c>
      <c r="AA953" s="139">
        <f t="shared" si="161"/>
        <v>0</v>
      </c>
      <c r="AB953" s="144">
        <f t="shared" si="162"/>
        <v>8.4286336949501575</v>
      </c>
      <c r="AC953" s="144">
        <f t="shared" si="163"/>
        <v>-2.4100445551275169E-2</v>
      </c>
      <c r="AD953" s="144">
        <f t="shared" si="164"/>
        <v>-4.0899272981719699E-2</v>
      </c>
      <c r="AE953" s="144">
        <f t="shared" si="165"/>
        <v>-3.4078212993322657E-2</v>
      </c>
    </row>
    <row r="954" spans="1:31">
      <c r="A954" s="88">
        <v>45356</v>
      </c>
      <c r="B954" s="78">
        <v>48483921.960000001</v>
      </c>
      <c r="D954" s="67">
        <f t="shared" si="170"/>
        <v>48483921.960000001</v>
      </c>
      <c r="E954" s="67">
        <f t="shared" si="167"/>
        <v>47170258.159999996</v>
      </c>
      <c r="F954" s="67">
        <f t="shared" si="171"/>
        <v>-895561.88000000268</v>
      </c>
      <c r="G954" s="70">
        <f t="shared" si="157"/>
        <v>-1.8136315132450818E-2</v>
      </c>
      <c r="H954" s="70"/>
      <c r="I954" s="70"/>
      <c r="J954" s="67">
        <f t="shared" si="168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0.12376231731082288</v>
      </c>
      <c r="N954" s="70">
        <f>PRODUCT($L$909:L954)-1</f>
        <v>-0.11198747793494823</v>
      </c>
      <c r="O954" s="70">
        <f>AVERAGE($G$909:G954)*252</f>
        <v>-0.60294620798138598</v>
      </c>
      <c r="P954" s="70">
        <f>STDEV($G$909:G954)*252^0.5</f>
        <v>0.30725114634252987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-1.962388798736032</v>
      </c>
      <c r="X954" s="142">
        <f t="shared" si="166"/>
        <v>1.7857142857142857E-4</v>
      </c>
      <c r="Y954" s="139">
        <f t="shared" si="159"/>
        <v>-1.8314886561022245E-2</v>
      </c>
      <c r="Z954" s="139">
        <f t="shared" si="160"/>
        <v>-1.8314886561022245E-2</v>
      </c>
      <c r="AA954" s="139">
        <f t="shared" si="161"/>
        <v>3.3543506974311322E-4</v>
      </c>
      <c r="AB954" s="144">
        <f t="shared" si="162"/>
        <v>7.3700248921603491</v>
      </c>
      <c r="AC954" s="144">
        <f t="shared" si="163"/>
        <v>-2.5505757200251902E-2</v>
      </c>
      <c r="AD954" s="144">
        <f t="shared" si="164"/>
        <v>-4.1428815042173217E-2</v>
      </c>
      <c r="AE954" s="144">
        <f t="shared" si="165"/>
        <v>-3.400871284008733E-2</v>
      </c>
    </row>
    <row r="955" spans="1:31">
      <c r="A955" s="88">
        <v>45357</v>
      </c>
      <c r="B955" s="78">
        <v>49791704.299999997</v>
      </c>
      <c r="D955" s="67">
        <f t="shared" si="170"/>
        <v>49791704.299999997</v>
      </c>
      <c r="E955" s="67">
        <f t="shared" si="167"/>
        <v>47170258.159999996</v>
      </c>
      <c r="F955" s="67">
        <f t="shared" si="171"/>
        <v>1307782.3399999961</v>
      </c>
      <c r="G955" s="70">
        <f t="shared" si="157"/>
        <v>2.6973526215122143E-2</v>
      </c>
      <c r="H955" s="70"/>
      <c r="I955" s="70"/>
      <c r="J955" s="67">
        <f t="shared" si="168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0.15407414963637267</v>
      </c>
      <c r="N955" s="70">
        <f>PRODUCT($L$909:L955)-1</f>
        <v>-8.8034648891669898E-2</v>
      </c>
      <c r="O955" s="70">
        <f>AVERAGE($G$909:G955)*252</f>
        <v>-0.4454935523602761</v>
      </c>
      <c r="P955" s="70">
        <f>STDEV($G$909:G955)*252^0.5</f>
        <v>0.31140777676763293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-1.4305794061549582</v>
      </c>
      <c r="X955" s="142">
        <f t="shared" si="166"/>
        <v>1.7857142857142857E-4</v>
      </c>
      <c r="Y955" s="139">
        <f t="shared" si="159"/>
        <v>2.6794954786550716E-2</v>
      </c>
      <c r="Z955" s="139">
        <f t="shared" si="160"/>
        <v>0</v>
      </c>
      <c r="AA955" s="139">
        <f t="shared" si="161"/>
        <v>0</v>
      </c>
      <c r="AB955" s="144">
        <f t="shared" si="162"/>
        <v>8.0679809063228962</v>
      </c>
      <c r="AC955" s="144">
        <f t="shared" si="163"/>
        <v>-2.5936156029040709E-2</v>
      </c>
      <c r="AD955" s="144">
        <f t="shared" si="164"/>
        <v>-4.1401486484653499E-2</v>
      </c>
      <c r="AE955" s="144">
        <f t="shared" si="165"/>
        <v>-3.3971073754801739E-2</v>
      </c>
    </row>
    <row r="956" spans="1:31">
      <c r="A956" s="88">
        <v>45358</v>
      </c>
      <c r="B956" s="78">
        <v>51137138.759999998</v>
      </c>
      <c r="D956" s="67">
        <f t="shared" si="170"/>
        <v>51137138.759999998</v>
      </c>
      <c r="E956" s="67">
        <f t="shared" si="167"/>
        <v>47170258.159999996</v>
      </c>
      <c r="F956" s="67">
        <f t="shared" si="171"/>
        <v>1345434.4600000009</v>
      </c>
      <c r="G956" s="70">
        <f t="shared" si="157"/>
        <v>2.7021257434644608E-2</v>
      </c>
      <c r="H956" s="70"/>
      <c r="I956" s="70"/>
      <c r="J956" s="67">
        <f t="shared" si="168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0.18525868433236581</v>
      </c>
      <c r="N956" s="70">
        <f>PRODUCT($L$909:L956)-1</f>
        <v>-6.3392198367895558E-2</v>
      </c>
      <c r="O956" s="70">
        <f>AVERAGE($G$909:G956)*252</f>
        <v>-0.29435083515421945</v>
      </c>
      <c r="P956" s="70">
        <f>STDEV($G$909:G956)*252^0.5</f>
        <v>0.31505994806927273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-0.93426929369486234</v>
      </c>
      <c r="X956" s="142">
        <f t="shared" si="166"/>
        <v>1.7857142857142857E-4</v>
      </c>
      <c r="Y956" s="139">
        <f t="shared" si="159"/>
        <v>2.6842686006073181E-2</v>
      </c>
      <c r="Z956" s="139">
        <f t="shared" si="160"/>
        <v>0</v>
      </c>
      <c r="AA956" s="139">
        <f t="shared" si="161"/>
        <v>0</v>
      </c>
      <c r="AB956" s="144">
        <f t="shared" si="162"/>
        <v>8.532043964431713</v>
      </c>
      <c r="AC956" s="144">
        <f t="shared" si="163"/>
        <v>-2.5849781583641724E-2</v>
      </c>
      <c r="AD956" s="144">
        <f t="shared" si="164"/>
        <v>-4.1350333847908191E-2</v>
      </c>
      <c r="AE956" s="144">
        <f t="shared" si="165"/>
        <v>-3.3927744980410741E-2</v>
      </c>
    </row>
    <row r="957" spans="1:31">
      <c r="A957" s="88">
        <v>45359</v>
      </c>
      <c r="B957" s="78">
        <v>50236332.710000001</v>
      </c>
      <c r="D957" s="67">
        <f t="shared" si="170"/>
        <v>50236332.710000001</v>
      </c>
      <c r="E957" s="67">
        <f t="shared" si="167"/>
        <v>47170258.159999996</v>
      </c>
      <c r="F957" s="67">
        <f t="shared" si="171"/>
        <v>-900806.04999999702</v>
      </c>
      <c r="G957" s="70">
        <f t="shared" si="157"/>
        <v>-1.7615495740340811E-2</v>
      </c>
      <c r="H957" s="70"/>
      <c r="I957" s="70"/>
      <c r="J957" s="67">
        <f t="shared" si="168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0.16437976502730711</v>
      </c>
      <c r="N957" s="70">
        <f>PRODUCT($L$909:L957)-1</f>
        <v>-7.9891009107915911E-2</v>
      </c>
      <c r="O957" s="70">
        <f>AVERAGE($G$909:G957)*252</f>
        <v>-0.37893765334629426</v>
      </c>
      <c r="P957" s="70">
        <f>STDEV($G$909:G957)*252^0.5</f>
        <v>0.31398412831931383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-1.2068688165056687</v>
      </c>
      <c r="X957" s="142">
        <f t="shared" si="166"/>
        <v>1.7857142857142857E-4</v>
      </c>
      <c r="Y957" s="139">
        <f t="shared" si="159"/>
        <v>-1.7794067168912239E-2</v>
      </c>
      <c r="Z957" s="139">
        <f t="shared" si="160"/>
        <v>-1.7794067168912239E-2</v>
      </c>
      <c r="AA957" s="139">
        <f t="shared" si="161"/>
        <v>3.1662882641176043E-4</v>
      </c>
      <c r="AB957" s="144">
        <f t="shared" si="162"/>
        <v>8.1189098723051405</v>
      </c>
      <c r="AC957" s="144">
        <f t="shared" si="163"/>
        <v>-2.657394399852795E-2</v>
      </c>
      <c r="AD957" s="144">
        <f t="shared" si="164"/>
        <v>-4.1781242278165896E-2</v>
      </c>
      <c r="AE957" s="144">
        <f t="shared" si="165"/>
        <v>-3.401623776591825E-2</v>
      </c>
    </row>
    <row r="958" spans="1:31">
      <c r="A958" s="88">
        <v>45362</v>
      </c>
      <c r="B958" s="78">
        <v>48904590.479999997</v>
      </c>
      <c r="D958" s="67">
        <f t="shared" si="170"/>
        <v>48904590.479999997</v>
      </c>
      <c r="E958" s="67">
        <f t="shared" si="167"/>
        <v>47170258.159999996</v>
      </c>
      <c r="F958" s="67">
        <f t="shared" si="171"/>
        <v>-1331742.2300000042</v>
      </c>
      <c r="G958" s="70">
        <f t="shared" si="157"/>
        <v>-2.6509543156499334E-2</v>
      </c>
      <c r="H958" s="70"/>
      <c r="I958" s="70"/>
      <c r="J958" s="67">
        <f t="shared" si="168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0.13351258939576116</v>
      </c>
      <c r="N958" s="70">
        <f>PRODUCT($L$909:L958)-1</f>
        <v>-0.10428267811065262</v>
      </c>
      <c r="O958" s="70">
        <f>AVERAGE($G$909:G958)*252</f>
        <v>-0.50496699778812515</v>
      </c>
      <c r="P958" s="70">
        <f>STDEV($G$909:G958)*252^0.5</f>
        <v>0.31579350907765413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-1.5990417259144898</v>
      </c>
      <c r="X958" s="142">
        <f t="shared" si="166"/>
        <v>1.7857142857142857E-4</v>
      </c>
      <c r="Y958" s="139">
        <f t="shared" si="159"/>
        <v>-2.6688114585070762E-2</v>
      </c>
      <c r="Z958" s="139">
        <f t="shared" si="160"/>
        <v>-2.6688114585070762E-2</v>
      </c>
      <c r="AA958" s="139">
        <f t="shared" si="161"/>
        <v>7.1225546010586667E-4</v>
      </c>
      <c r="AB958" s="144">
        <f t="shared" si="162"/>
        <v>7.7301521893291065</v>
      </c>
      <c r="AC958" s="144">
        <f t="shared" si="163"/>
        <v>-2.8483151606661983E-2</v>
      </c>
      <c r="AD958" s="144">
        <f t="shared" si="164"/>
        <v>-4.2520366353033898E-2</v>
      </c>
      <c r="AE958" s="144">
        <f t="shared" si="165"/>
        <v>-3.4189464732131088E-2</v>
      </c>
    </row>
    <row r="959" spans="1:31">
      <c r="A959" s="88">
        <v>45363</v>
      </c>
      <c r="B959" s="78">
        <v>50430912.140000001</v>
      </c>
      <c r="D959" s="67">
        <f t="shared" si="170"/>
        <v>50430912.140000001</v>
      </c>
      <c r="E959" s="67">
        <f t="shared" si="167"/>
        <v>47170258.159999996</v>
      </c>
      <c r="F959" s="67">
        <f t="shared" si="171"/>
        <v>1526321.6600000039</v>
      </c>
      <c r="G959" s="70">
        <f t="shared" si="157"/>
        <v>3.1210192029400754E-2</v>
      </c>
      <c r="H959" s="70"/>
      <c r="I959" s="70"/>
      <c r="J959" s="67">
        <f t="shared" si="168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0.16888973497854609</v>
      </c>
      <c r="N959" s="70">
        <f>PRODUCT($L$909:L959)-1</f>
        <v>-7.6327168490425534E-2</v>
      </c>
      <c r="O959" s="70">
        <f>AVERAGE($G$909:G959)*252</f>
        <v>-0.34085061760778945</v>
      </c>
      <c r="P959" s="70">
        <f>STDEV($G$909:G959)*252^0.5</f>
        <v>0.32121954459782115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-1.0611141922716663</v>
      </c>
      <c r="X959" s="142">
        <f t="shared" si="166"/>
        <v>1.7857142857142857E-4</v>
      </c>
      <c r="Y959" s="139">
        <f t="shared" si="159"/>
        <v>3.1031620600829327E-2</v>
      </c>
      <c r="Z959" s="139">
        <f t="shared" si="160"/>
        <v>0</v>
      </c>
      <c r="AA959" s="139">
        <f t="shared" si="161"/>
        <v>0</v>
      </c>
      <c r="AB959" s="144">
        <f t="shared" si="162"/>
        <v>7.8646247337609614</v>
      </c>
      <c r="AC959" s="144">
        <f t="shared" si="163"/>
        <v>-2.8606967758754029E-2</v>
      </c>
      <c r="AD959" s="144">
        <f t="shared" si="164"/>
        <v>-4.2492961258872967E-2</v>
      </c>
      <c r="AE959" s="144">
        <f t="shared" si="165"/>
        <v>-3.4065423607055362E-2</v>
      </c>
    </row>
    <row r="960" spans="1:31">
      <c r="A960" s="88">
        <v>45364</v>
      </c>
      <c r="B960" s="78">
        <v>49284299.43</v>
      </c>
      <c r="D960" s="67">
        <f t="shared" si="170"/>
        <v>49284299.43</v>
      </c>
      <c r="E960" s="67">
        <f t="shared" si="167"/>
        <v>47170258.159999996</v>
      </c>
      <c r="F960" s="67">
        <f t="shared" si="171"/>
        <v>-1146612.7100000009</v>
      </c>
      <c r="G960" s="70">
        <f t="shared" si="157"/>
        <v>-2.2736307184310248E-2</v>
      </c>
      <c r="H960" s="70"/>
      <c r="I960" s="70"/>
      <c r="J960" s="67">
        <f t="shared" si="168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0.14231349889948675</v>
      </c>
      <c r="N960" s="70">
        <f>PRODUCT($L$909:L960)-1</f>
        <v>-9.7328077725428952E-2</v>
      </c>
      <c r="O960" s="70">
        <f>AVERAGE($G$909:G960)*252</f>
        <v>-0.44447944054698929</v>
      </c>
      <c r="P960" s="70">
        <f>STDEV($G$909:G960)*252^0.5</f>
        <v>0.3215195013257503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-1.3824338452698117</v>
      </c>
      <c r="X960" s="142">
        <f t="shared" si="166"/>
        <v>1.7857142857142857E-4</v>
      </c>
      <c r="Y960" s="139">
        <f t="shared" si="159"/>
        <v>-2.2914878612881676E-2</v>
      </c>
      <c r="Z960" s="139">
        <f t="shared" si="160"/>
        <v>-2.2914878612881676E-2</v>
      </c>
      <c r="AA960" s="139">
        <f t="shared" si="161"/>
        <v>5.2509166184310202E-4</v>
      </c>
      <c r="AB960" s="144">
        <f t="shared" si="162"/>
        <v>7.1598901992869814</v>
      </c>
      <c r="AC960" s="144">
        <f t="shared" si="163"/>
        <v>-3.00713058321685E-2</v>
      </c>
      <c r="AD960" s="144">
        <f t="shared" si="164"/>
        <v>-4.3112160645418986E-2</v>
      </c>
      <c r="AE960" s="144">
        <f t="shared" si="165"/>
        <v>-3.4206562701232325E-2</v>
      </c>
    </row>
    <row r="961" spans="1:31">
      <c r="A961" s="88">
        <v>45365</v>
      </c>
      <c r="B961" s="78">
        <v>48450129.340000004</v>
      </c>
      <c r="D961" s="67">
        <f t="shared" si="170"/>
        <v>48450129.340000004</v>
      </c>
      <c r="E961" s="67">
        <f t="shared" si="167"/>
        <v>47170258.159999996</v>
      </c>
      <c r="F961" s="67">
        <f t="shared" si="171"/>
        <v>-834170.08999999613</v>
      </c>
      <c r="G961" s="70">
        <f t="shared" si="157"/>
        <v>-1.6925676120947877E-2</v>
      </c>
      <c r="H961" s="70"/>
      <c r="I961" s="70"/>
      <c r="J961" s="67">
        <f t="shared" si="168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0.1229790705885272</v>
      </c>
      <c r="N961" s="70">
        <f>PRODUCT($L$909:L961)-1</f>
        <v>-0.11260641032532182</v>
      </c>
      <c r="O961" s="70">
        <f>AVERAGE($G$909:G961)*252</f>
        <v>-0.51656983567777948</v>
      </c>
      <c r="P961" s="70">
        <f>STDEV($G$909:G961)*252^0.5</f>
        <v>0.32012472275830495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-1.6136518017941124</v>
      </c>
      <c r="X961" s="142">
        <f t="shared" si="166"/>
        <v>1.7857142857142857E-4</v>
      </c>
      <c r="Y961" s="139">
        <f t="shared" si="159"/>
        <v>-1.7104247549519305E-2</v>
      </c>
      <c r="Z961" s="139">
        <f t="shared" si="160"/>
        <v>-1.7104247549519305E-2</v>
      </c>
      <c r="AA961" s="139">
        <f t="shared" si="161"/>
        <v>2.9255528423523713E-4</v>
      </c>
      <c r="AB961" s="144">
        <f t="shared" si="162"/>
        <v>7.2968528202664693</v>
      </c>
      <c r="AC961" s="144">
        <f t="shared" si="163"/>
        <v>-2.8763898320379094E-2</v>
      </c>
      <c r="AD961" s="144">
        <f t="shared" si="164"/>
        <v>-4.3471559508991849E-2</v>
      </c>
      <c r="AE961" s="144">
        <f t="shared" si="165"/>
        <v>-3.4302915020284493E-2</v>
      </c>
    </row>
    <row r="962" spans="1:31">
      <c r="A962" s="88">
        <v>45366</v>
      </c>
      <c r="B962" s="78">
        <v>47620728.399999999</v>
      </c>
      <c r="D962" s="67">
        <f t="shared" si="170"/>
        <v>47620728.399999999</v>
      </c>
      <c r="E962" s="67">
        <f t="shared" si="167"/>
        <v>47170258.159999996</v>
      </c>
      <c r="F962" s="67">
        <f t="shared" si="171"/>
        <v>-829400.94000000507</v>
      </c>
      <c r="G962" s="70">
        <f t="shared" si="157"/>
        <v>-1.7118652752806149E-2</v>
      </c>
      <c r="H962" s="70"/>
      <c r="I962" s="70"/>
      <c r="J962" s="67">
        <f t="shared" si="168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0.10375518183045318</v>
      </c>
      <c r="N962" s="70">
        <f>PRODUCT($L$909:L962)-1</f>
        <v>-0.12779739304202875</v>
      </c>
      <c r="O962" s="70">
        <f>AVERAGE($G$909:G962)*252</f>
        <v>-0.58689077378943444</v>
      </c>
      <c r="P962" s="70">
        <f>STDEV($G$909:G962)*252^0.5</f>
        <v>0.31875681402095718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-1.8411865973501931</v>
      </c>
      <c r="X962" s="142">
        <f t="shared" si="166"/>
        <v>1.7857142857142857E-4</v>
      </c>
      <c r="Y962" s="139">
        <f t="shared" si="159"/>
        <v>-1.7297224181377576E-2</v>
      </c>
      <c r="Z962" s="139">
        <f t="shared" si="160"/>
        <v>-1.7297224181377576E-2</v>
      </c>
      <c r="AA962" s="139">
        <f t="shared" si="161"/>
        <v>2.9919396438083317E-4</v>
      </c>
      <c r="AB962" s="144">
        <f t="shared" si="162"/>
        <v>7.1286014275056182</v>
      </c>
      <c r="AC962" s="144">
        <f t="shared" si="163"/>
        <v>-2.9951526999944453E-2</v>
      </c>
      <c r="AD962" s="144">
        <f t="shared" si="164"/>
        <v>-4.3433763850921903E-2</v>
      </c>
      <c r="AE962" s="144">
        <f t="shared" si="165"/>
        <v>-3.4387279618321963E-2</v>
      </c>
    </row>
    <row r="963" spans="1:31">
      <c r="A963" s="88">
        <v>45369</v>
      </c>
      <c r="B963" s="78">
        <v>48230813.75</v>
      </c>
      <c r="D963" s="67">
        <f t="shared" si="170"/>
        <v>48230813.75</v>
      </c>
      <c r="E963" s="67">
        <f t="shared" si="167"/>
        <v>47170258.159999996</v>
      </c>
      <c r="F963" s="67">
        <f t="shared" si="171"/>
        <v>610085.35000000149</v>
      </c>
      <c r="G963" s="70">
        <f t="shared" si="157"/>
        <v>1.2811340155813356E-2</v>
      </c>
      <c r="H963" s="70"/>
      <c r="I963" s="70"/>
      <c r="J963" s="67">
        <f t="shared" si="168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0.11789576491362475</v>
      </c>
      <c r="N963" s="70">
        <f>PRODUCT($L$909:L963)-1</f>
        <v>-0.116623308759503</v>
      </c>
      <c r="O963" s="70">
        <f>AVERAGE($G$909:G963)*252</f>
        <v>-0.51752080118844535</v>
      </c>
      <c r="P963" s="70">
        <f>STDEV($G$909:G963)*252^0.5</f>
        <v>0.31745014705264979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-1.6302427514787492</v>
      </c>
      <c r="X963" s="142">
        <f t="shared" si="166"/>
        <v>1.7857142857142857E-4</v>
      </c>
      <c r="Y963" s="139">
        <f t="shared" si="159"/>
        <v>1.2632768727241927E-2</v>
      </c>
      <c r="Z963" s="139">
        <f t="shared" si="160"/>
        <v>0</v>
      </c>
      <c r="AA963" s="139">
        <f t="shared" si="161"/>
        <v>0</v>
      </c>
      <c r="AB963" s="144">
        <f t="shared" si="162"/>
        <v>7.0332947614042833</v>
      </c>
      <c r="AC963" s="144">
        <f t="shared" si="163"/>
        <v>-2.9607355214012247E-2</v>
      </c>
      <c r="AD963" s="144">
        <f t="shared" si="164"/>
        <v>-4.326878787482559E-2</v>
      </c>
      <c r="AE963" s="144">
        <f t="shared" si="165"/>
        <v>-3.4350923197150753E-2</v>
      </c>
    </row>
    <row r="964" spans="1:31">
      <c r="A964" s="88">
        <v>45370</v>
      </c>
      <c r="B964" s="78">
        <v>48570528.859999999</v>
      </c>
      <c r="D964" s="67">
        <f t="shared" si="170"/>
        <v>48570528.859999999</v>
      </c>
      <c r="E964" s="67">
        <f t="shared" si="167"/>
        <v>47170258.159999996</v>
      </c>
      <c r="F964" s="67">
        <f t="shared" si="171"/>
        <v>339715.1099999994</v>
      </c>
      <c r="G964" s="70">
        <f t="shared" si="157"/>
        <v>7.0435284745739837E-3</v>
      </c>
      <c r="H964" s="70"/>
      <c r="I964" s="70"/>
      <c r="J964" s="67">
        <f t="shared" si="168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0.12576969556539952</v>
      </c>
      <c r="N964" s="70">
        <f>PRODUCT($L$909:L964)-1</f>
        <v>-0.11040121988097562</v>
      </c>
      <c r="O964" s="70">
        <f>AVERAGE($G$909:G964)*252</f>
        <v>-0.47658348017449731</v>
      </c>
      <c r="P964" s="70">
        <f>STDEV($G$909:G964)*252^0.5</f>
        <v>0.31514241980822832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-1.5122796875917552</v>
      </c>
      <c r="X964" s="142">
        <f t="shared" si="166"/>
        <v>1.7857142857142857E-4</v>
      </c>
      <c r="Y964" s="139">
        <f t="shared" si="159"/>
        <v>6.8649570460025547E-3</v>
      </c>
      <c r="Z964" s="139">
        <f t="shared" si="160"/>
        <v>0</v>
      </c>
      <c r="AA964" s="139">
        <f t="shared" si="161"/>
        <v>0</v>
      </c>
      <c r="AB964" s="144">
        <f t="shared" si="162"/>
        <v>6.9588138385332519</v>
      </c>
      <c r="AC964" s="144">
        <f t="shared" si="163"/>
        <v>-2.700095854111486E-2</v>
      </c>
      <c r="AD964" s="144">
        <f t="shared" si="164"/>
        <v>-4.3110763661838983E-2</v>
      </c>
      <c r="AE964" s="144">
        <f t="shared" si="165"/>
        <v>-3.4350867307734373E-2</v>
      </c>
    </row>
    <row r="965" spans="1:31">
      <c r="A965" s="88">
        <v>45371</v>
      </c>
      <c r="B965" s="78">
        <v>50644289.619999997</v>
      </c>
      <c r="D965" s="67">
        <f t="shared" si="170"/>
        <v>50644289.619999997</v>
      </c>
      <c r="E965" s="67">
        <f t="shared" si="167"/>
        <v>47170258.159999996</v>
      </c>
      <c r="F965" s="67">
        <f t="shared" si="171"/>
        <v>2073760.7599999979</v>
      </c>
      <c r="G965" s="70">
        <f t="shared" si="157"/>
        <v>4.269586534619417E-2</v>
      </c>
      <c r="H965" s="70"/>
      <c r="I965" s="70"/>
      <c r="J965" s="67">
        <f t="shared" si="168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0.17383540689808585</v>
      </c>
      <c r="N965" s="70">
        <f>PRODUCT($L$909:L965)-1</f>
        <v>-7.2419030152875097E-2</v>
      </c>
      <c r="O965" s="70">
        <f>AVERAGE($G$909:G965)*252</f>
        <v>-0.27946169864089332</v>
      </c>
      <c r="P965" s="70">
        <f>STDEV($G$909:G965)*252^0.5</f>
        <v>0.32608334789878585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-0.85702536005498942</v>
      </c>
      <c r="X965" s="142">
        <f t="shared" si="166"/>
        <v>1.7857142857142857E-4</v>
      </c>
      <c r="Y965" s="139">
        <f t="shared" si="159"/>
        <v>4.2517293917622739E-2</v>
      </c>
      <c r="Z965" s="139">
        <f t="shared" si="160"/>
        <v>0</v>
      </c>
      <c r="AA965" s="139">
        <f t="shared" si="161"/>
        <v>0</v>
      </c>
      <c r="AB965" s="144">
        <f t="shared" si="162"/>
        <v>7.2926222450583467</v>
      </c>
      <c r="AC965" s="144">
        <f t="shared" si="163"/>
        <v>-2.8420243206887151E-2</v>
      </c>
      <c r="AD965" s="144">
        <f t="shared" si="164"/>
        <v>-4.3181513406710073E-2</v>
      </c>
      <c r="AE965" s="144">
        <f t="shared" si="165"/>
        <v>-3.443239559543701E-2</v>
      </c>
    </row>
    <row r="966" spans="1:31">
      <c r="A966" s="88">
        <v>45372</v>
      </c>
      <c r="B966" s="78">
        <v>52077532</v>
      </c>
      <c r="D966" s="67">
        <f t="shared" si="170"/>
        <v>52077532</v>
      </c>
      <c r="E966" s="67">
        <f t="shared" si="167"/>
        <v>47170258.159999996</v>
      </c>
      <c r="F966" s="67">
        <f t="shared" si="171"/>
        <v>1433242.3800000027</v>
      </c>
      <c r="G966" s="70">
        <f t="shared" si="157"/>
        <v>2.8300177389278636E-2</v>
      </c>
      <c r="H966" s="70"/>
      <c r="I966" s="70"/>
      <c r="J966" s="67">
        <f t="shared" si="168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0.20705515713911771</v>
      </c>
      <c r="N966" s="70">
        <f>PRODUCT($L$909:L966)-1</f>
        <v>-4.6168324163282426E-2</v>
      </c>
      <c r="O966" s="70">
        <f>AVERAGE($G$909:G966)*252</f>
        <v>-0.15168400207642593</v>
      </c>
      <c r="P966" s="70">
        <f>STDEV($G$909:G966)*252^0.5</f>
        <v>0.32897224623587806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-0.46108449515727906</v>
      </c>
      <c r="X966" s="142">
        <f t="shared" si="166"/>
        <v>1.7857142857142857E-4</v>
      </c>
      <c r="Y966" s="139">
        <f t="shared" si="159"/>
        <v>2.8121605960707209E-2</v>
      </c>
      <c r="Z966" s="139">
        <f t="shared" si="160"/>
        <v>0</v>
      </c>
      <c r="AA966" s="139">
        <f t="shared" si="161"/>
        <v>0</v>
      </c>
      <c r="AB966" s="144">
        <f t="shared" si="162"/>
        <v>7.6957924493295948</v>
      </c>
      <c r="AC966" s="144">
        <f t="shared" si="163"/>
        <v>-2.8602395987518788E-2</v>
      </c>
      <c r="AD966" s="144">
        <f t="shared" si="164"/>
        <v>-4.305471545374108E-2</v>
      </c>
      <c r="AE966" s="144">
        <f t="shared" si="165"/>
        <v>-3.4452121314406899E-2</v>
      </c>
    </row>
    <row r="967" spans="1:31">
      <c r="A967" s="88">
        <v>45373</v>
      </c>
      <c r="B967" s="78">
        <v>51833231.240000002</v>
      </c>
      <c r="D967" s="67">
        <f t="shared" si="170"/>
        <v>51833231.240000002</v>
      </c>
      <c r="E967" s="67">
        <f t="shared" si="167"/>
        <v>47170258.159999996</v>
      </c>
      <c r="F967" s="67">
        <f t="shared" si="171"/>
        <v>-244300.75999999791</v>
      </c>
      <c r="G967" s="70">
        <f t="shared" si="157"/>
        <v>-4.6910971126665124E-3</v>
      </c>
      <c r="H967" s="70"/>
      <c r="I967" s="70"/>
      <c r="J967" s="67">
        <f t="shared" si="168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0.20139274417663322</v>
      </c>
      <c r="N967" s="70">
        <f>PRODUCT($L$909:L967)-1</f>
        <v>-5.0642841183769827E-2</v>
      </c>
      <c r="O967" s="70">
        <f>AVERAGE($G$909:G967)*252</f>
        <v>-0.16914963716651973</v>
      </c>
      <c r="P967" s="70">
        <f>STDEV($G$909:G967)*252^0.5</f>
        <v>0.32623342803577293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-0.51849265780320875</v>
      </c>
      <c r="X967" s="142">
        <f t="shared" si="166"/>
        <v>1.7857142857142857E-4</v>
      </c>
      <c r="Y967" s="139">
        <f t="shared" si="159"/>
        <v>-4.8696685412379414E-3</v>
      </c>
      <c r="Z967" s="139">
        <f t="shared" si="160"/>
        <v>-4.8696685412379414E-3</v>
      </c>
      <c r="AA967" s="139">
        <f t="shared" si="161"/>
        <v>2.3713671701522459E-5</v>
      </c>
      <c r="AB967" s="144">
        <f t="shared" si="162"/>
        <v>7.5511291925768518</v>
      </c>
      <c r="AC967" s="144">
        <f t="shared" si="163"/>
        <v>-2.8133710414750619E-2</v>
      </c>
      <c r="AD967" s="144">
        <f t="shared" si="164"/>
        <v>-4.3139217363988416E-2</v>
      </c>
      <c r="AE967" s="144">
        <f t="shared" si="165"/>
        <v>-3.4384948462852817E-2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70"/>
        <v>54501565.909999996</v>
      </c>
      <c r="E968" s="67">
        <f t="shared" si="167"/>
        <v>47170258.159999996</v>
      </c>
      <c r="F968" s="67">
        <f t="shared" si="171"/>
        <v>-245665.33000000566</v>
      </c>
      <c r="G968" s="70">
        <f t="shared" si="157"/>
        <v>-4.48726491615735E-3</v>
      </c>
      <c r="H968" s="70"/>
      <c r="I968" s="70"/>
      <c r="J968" s="67">
        <f t="shared" si="168"/>
        <v>4417307.75</v>
      </c>
      <c r="K968" s="70">
        <f t="shared" si="176"/>
        <v>9.3923243433138737E-2</v>
      </c>
      <c r="L968" s="70">
        <f t="shared" si="177"/>
        <v>0.99551273508384264</v>
      </c>
      <c r="M968" s="70">
        <f>PRODUCT($L$2:L968)-1</f>
        <v>0.19600177666516339</v>
      </c>
      <c r="N968" s="70">
        <f>PRODUCT($L$909:L968)-1</f>
        <v>-5.4902858255428733E-2</v>
      </c>
      <c r="O968" s="70">
        <f>AVERAGE($G$909:G968)*252</f>
        <v>-0.18517698919493861</v>
      </c>
      <c r="P968" s="70">
        <f>STDEV($G$909:G968)*252^0.5</f>
        <v>0.32355145168382865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-0.57232625052751041</v>
      </c>
      <c r="X968" s="142">
        <f t="shared" si="166"/>
        <v>1.7857142857142857E-4</v>
      </c>
      <c r="Y968" s="139">
        <f t="shared" si="159"/>
        <v>-4.665836344728779E-3</v>
      </c>
      <c r="Z968" s="139">
        <f t="shared" si="160"/>
        <v>-4.665836344728779E-3</v>
      </c>
      <c r="AA968" s="139">
        <f t="shared" si="161"/>
        <v>2.1770028795792014E-5</v>
      </c>
      <c r="AB968" s="144">
        <f t="shared" si="162"/>
        <v>7.5041517557121695</v>
      </c>
      <c r="AC968" s="144">
        <f t="shared" si="163"/>
        <v>-2.8246688372999006E-2</v>
      </c>
      <c r="AD968" s="144">
        <f t="shared" si="164"/>
        <v>-4.3226782730445265E-2</v>
      </c>
      <c r="AE968" s="144">
        <f t="shared" si="165"/>
        <v>-3.4357089482526255E-2</v>
      </c>
    </row>
    <row r="969" spans="1:31">
      <c r="A969" s="88">
        <v>45377</v>
      </c>
      <c r="B969" s="78">
        <v>53988282.090000004</v>
      </c>
      <c r="D969" s="67">
        <f t="shared" si="170"/>
        <v>53988282.090000004</v>
      </c>
      <c r="E969" s="67">
        <f t="shared" si="167"/>
        <v>47170258.159999996</v>
      </c>
      <c r="F969" s="67">
        <f t="shared" si="171"/>
        <v>-513283.81999999285</v>
      </c>
      <c r="G969" s="70">
        <f t="shared" si="157"/>
        <v>-9.4177811486663189E-3</v>
      </c>
      <c r="H969" s="70"/>
      <c r="I969" s="70"/>
      <c r="J969" s="67">
        <f t="shared" si="168"/>
        <v>3904023.9300000072</v>
      </c>
      <c r="K969" s="70">
        <f t="shared" si="176"/>
        <v>8.3620913733046143E-2</v>
      </c>
      <c r="L969" s="70">
        <f t="shared" si="177"/>
        <v>0.99058221885133368</v>
      </c>
      <c r="M969" s="70">
        <f>PRODUCT($L$2:L969)-1</f>
        <v>0.18473809367911476</v>
      </c>
      <c r="N969" s="70">
        <f>PRODUCT($L$909:L969)-1</f>
        <v>-6.3803576300609177E-2</v>
      </c>
      <c r="O969" s="70">
        <f>AVERAGE($G$909:G969)*252</f>
        <v>-0.22104754428131526</v>
      </c>
      <c r="P969" s="70">
        <f>STDEV($G$909:G969)*252^0.5</f>
        <v>0.32132887383033482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-0.6879168424747002</v>
      </c>
      <c r="X969" s="142">
        <f t="shared" si="166"/>
        <v>1.7857142857142857E-4</v>
      </c>
      <c r="Y969" s="139">
        <f t="shared" si="159"/>
        <v>-9.5963525772377479E-3</v>
      </c>
      <c r="Z969" s="139">
        <f t="shared" si="160"/>
        <v>-9.5963525772377479E-3</v>
      </c>
      <c r="AA969" s="139">
        <f t="shared" si="161"/>
        <v>9.2089982786657562E-5</v>
      </c>
      <c r="AB969" s="144">
        <f t="shared" si="162"/>
        <v>7.1227853383044888</v>
      </c>
      <c r="AC969" s="144">
        <f t="shared" si="163"/>
        <v>-2.9031904464147905E-2</v>
      </c>
      <c r="AD969" s="144">
        <f t="shared" si="164"/>
        <v>-4.3515658212846836E-2</v>
      </c>
      <c r="AE969" s="144">
        <f t="shared" si="165"/>
        <v>-3.439773968711729E-2</v>
      </c>
    </row>
    <row r="970" spans="1:31">
      <c r="A970" s="88">
        <v>45378</v>
      </c>
      <c r="B970" s="78">
        <v>54592656.039999999</v>
      </c>
      <c r="D970" s="67">
        <f t="shared" si="170"/>
        <v>54592656.039999999</v>
      </c>
      <c r="E970" s="67">
        <f t="shared" si="167"/>
        <v>47170258.159999996</v>
      </c>
      <c r="F970" s="67">
        <f t="shared" si="171"/>
        <v>604373.94999999553</v>
      </c>
      <c r="G970" s="70">
        <f t="shared" si="157"/>
        <v>1.1194539381573337E-2</v>
      </c>
      <c r="H970" s="70"/>
      <c r="I970" s="70"/>
      <c r="J970" s="67">
        <f t="shared" si="168"/>
        <v>4508397.8800000027</v>
      </c>
      <c r="K970" s="70">
        <f t="shared" si="176"/>
        <v>9.575155072652719E-2</v>
      </c>
      <c r="L970" s="70">
        <f t="shared" si="177"/>
        <v>1.0111945393815733</v>
      </c>
      <c r="M970" s="70">
        <f>PRODUCT($L$2:L970)-1</f>
        <v>0.19800069092565575</v>
      </c>
      <c r="N970" s="70">
        <f>PRODUCT($L$909:L970)-1</f>
        <v>-5.3323288566618277E-2</v>
      </c>
      <c r="O970" s="70">
        <f>AVERAGE($G$909:G970)*252</f>
        <v>-0.17198187543554433</v>
      </c>
      <c r="P970" s="70">
        <f>STDEV($G$909:G970)*252^0.5</f>
        <v>0.31961209619231207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-0.53809563994743814</v>
      </c>
      <c r="X970" s="142">
        <f t="shared" si="166"/>
        <v>1.7857142857142857E-4</v>
      </c>
      <c r="Y970" s="139">
        <f t="shared" si="159"/>
        <v>1.1015967953001908E-2</v>
      </c>
      <c r="Z970" s="139">
        <f t="shared" si="160"/>
        <v>0</v>
      </c>
      <c r="AA970" s="139">
        <f t="shared" si="161"/>
        <v>0</v>
      </c>
      <c r="AB970" s="144">
        <f t="shared" si="162"/>
        <v>7.3991181869889182</v>
      </c>
      <c r="AC970" s="144">
        <f t="shared" si="163"/>
        <v>-2.703426959507757E-2</v>
      </c>
      <c r="AD970" s="144">
        <f t="shared" si="164"/>
        <v>-4.3373738736132726E-2</v>
      </c>
      <c r="AE970" s="144">
        <f t="shared" si="165"/>
        <v>-3.4320493896335569E-2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70"/>
        <v>54958718.710000001</v>
      </c>
      <c r="E971" s="80">
        <f t="shared" si="167"/>
        <v>47170258.159999996</v>
      </c>
      <c r="F971" s="80">
        <f t="shared" si="171"/>
        <v>366062.67000000179</v>
      </c>
      <c r="G971" s="81">
        <f t="shared" si="157"/>
        <v>6.705346406516436E-3</v>
      </c>
      <c r="H971" s="81"/>
      <c r="I971" s="81"/>
      <c r="J971" s="80">
        <f t="shared" si="168"/>
        <v>4874460.5500000045</v>
      </c>
      <c r="K971" s="81">
        <f t="shared" si="176"/>
        <v>0.1030989444496262</v>
      </c>
      <c r="L971" s="81">
        <f t="shared" si="177"/>
        <v>1.0067053464065165</v>
      </c>
      <c r="M971" s="81">
        <f>PRODUCT($L$2:L971)-1</f>
        <v>0.20603370055355841</v>
      </c>
      <c r="N971" s="81">
        <f>PRODUCT($L$909:L971)-1</f>
        <v>-4.6975493281475544E-2</v>
      </c>
      <c r="O971" s="81">
        <f>AVERAGE($G$909:G971)*252</f>
        <v>-0.14243061877081914</v>
      </c>
      <c r="P971" s="81">
        <f>STDEV($G$909:G971)*252^0.5</f>
        <v>0.31736824047665235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6">
        <f t="shared" si="175"/>
        <v>-0.44878661631959121</v>
      </c>
      <c r="X971" s="143">
        <f t="shared" si="166"/>
        <v>1.7857142857142857E-4</v>
      </c>
      <c r="Y971" s="140">
        <f t="shared" si="159"/>
        <v>6.526774977945007E-3</v>
      </c>
      <c r="Z971" s="140">
        <f t="shared" si="160"/>
        <v>0</v>
      </c>
      <c r="AA971" s="140">
        <f t="shared" si="161"/>
        <v>0</v>
      </c>
      <c r="AB971" s="145">
        <f t="shared" si="162"/>
        <v>7.6053836970719706</v>
      </c>
      <c r="AC971" s="145">
        <f t="shared" si="163"/>
        <v>-2.7082253228669514E-2</v>
      </c>
      <c r="AD971" s="145">
        <f t="shared" si="164"/>
        <v>-4.340327931306287E-2</v>
      </c>
      <c r="AE971" s="145">
        <f t="shared" si="165"/>
        <v>-3.42689558598651E-2</v>
      </c>
    </row>
    <row r="972" spans="1:31">
      <c r="A972" s="88">
        <v>45383</v>
      </c>
      <c r="B972" s="78">
        <v>54694013.359999999</v>
      </c>
      <c r="D972" s="67">
        <f t="shared" si="170"/>
        <v>54694013.359999999</v>
      </c>
      <c r="E972" s="67">
        <f t="shared" si="167"/>
        <v>54958718.710000001</v>
      </c>
      <c r="F972" s="67">
        <f t="shared" si="171"/>
        <v>-264705.35000000149</v>
      </c>
      <c r="G972" s="70">
        <f t="shared" si="157"/>
        <v>-4.8164396152823169E-3</v>
      </c>
      <c r="H972" s="70"/>
      <c r="I972" s="70"/>
      <c r="J972" s="67">
        <f t="shared" si="168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0.2002249120608468</v>
      </c>
      <c r="N972" s="70">
        <f>PRODUCT($L$909:L972)-1</f>
        <v>-5.1565678269969495E-2</v>
      </c>
      <c r="O972" s="70">
        <f>AVERAGE($G$909:G972)*252</f>
        <v>-0.15916987133769922</v>
      </c>
      <c r="P972" s="70">
        <f>STDEV($G$909:G972)*252^0.5</f>
        <v>0.31495236337068733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-0.50537760578847335</v>
      </c>
      <c r="X972" s="142">
        <f t="shared" si="166"/>
        <v>1.7857142857142857E-4</v>
      </c>
      <c r="Y972" s="139">
        <f t="shared" si="159"/>
        <v>-4.9950110438537459E-3</v>
      </c>
      <c r="Z972" s="139">
        <f t="shared" si="160"/>
        <v>-4.9950110438537459E-3</v>
      </c>
      <c r="AA972" s="139">
        <f t="shared" si="161"/>
        <v>2.4950135328220889E-5</v>
      </c>
      <c r="AB972" s="144">
        <f t="shared" si="162"/>
        <v>7.7509667410819247</v>
      </c>
      <c r="AC972" s="144">
        <f t="shared" si="163"/>
        <v>-2.761979785647781E-2</v>
      </c>
      <c r="AD972" s="144">
        <f t="shared" si="164"/>
        <v>-4.3484699562964024E-2</v>
      </c>
      <c r="AE972" s="144">
        <f t="shared" si="165"/>
        <v>-3.4127072769029682E-2</v>
      </c>
    </row>
    <row r="973" spans="1:31">
      <c r="A973" s="88">
        <v>45384</v>
      </c>
      <c r="B973" s="78">
        <v>53680468.049999997</v>
      </c>
      <c r="D973" s="67">
        <f t="shared" si="170"/>
        <v>53680468.049999997</v>
      </c>
      <c r="E973" s="67">
        <f t="shared" si="167"/>
        <v>54958718.710000001</v>
      </c>
      <c r="F973" s="67">
        <f t="shared" si="171"/>
        <v>-1013545.3100000024</v>
      </c>
      <c r="G973" s="70">
        <f t="shared" si="157"/>
        <v>-1.8531192862530913E-2</v>
      </c>
      <c r="H973" s="70"/>
      <c r="I973" s="70"/>
      <c r="J973" s="67">
        <f t="shared" si="168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0.17798331273703316</v>
      </c>
      <c r="N973" s="70">
        <f>PRODUCT($L$909:L973)-1</f>
        <v>-6.9141297603392382E-2</v>
      </c>
      <c r="O973" s="70">
        <f>AVERAGE($G$909:G973)*252</f>
        <v>-0.22856511333800827</v>
      </c>
      <c r="P973" s="70">
        <f>STDEV($G$909:G973)*252^0.5</f>
        <v>0.31446337496862387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-0.72684176133647915</v>
      </c>
      <c r="X973" s="142">
        <f t="shared" si="166"/>
        <v>1.7857142857142857E-4</v>
      </c>
      <c r="Y973" s="139">
        <f t="shared" si="159"/>
        <v>-1.870976429110234E-2</v>
      </c>
      <c r="Z973" s="139">
        <f t="shared" si="160"/>
        <v>-1.870976429110234E-2</v>
      </c>
      <c r="AA973" s="139">
        <f t="shared" si="161"/>
        <v>3.5005527982860825E-4</v>
      </c>
      <c r="AB973" s="144">
        <f t="shared" si="162"/>
        <v>7.5584171585675586</v>
      </c>
      <c r="AC973" s="144">
        <f t="shared" si="163"/>
        <v>-2.895117022843352E-2</v>
      </c>
      <c r="AD973" s="144">
        <f t="shared" si="164"/>
        <v>-4.3807768464203915E-2</v>
      </c>
      <c r="AE973" s="144">
        <f t="shared" si="165"/>
        <v>-3.416641983465956E-2</v>
      </c>
    </row>
    <row r="974" spans="1:31">
      <c r="A974" s="88">
        <v>45385</v>
      </c>
      <c r="B974" s="78">
        <v>54398508.520000003</v>
      </c>
      <c r="D974" s="67">
        <f t="shared" si="170"/>
        <v>54398508.520000003</v>
      </c>
      <c r="E974" s="67">
        <f t="shared" si="167"/>
        <v>54958718.710000001</v>
      </c>
      <c r="F974" s="67">
        <f t="shared" si="171"/>
        <v>718040.47000000626</v>
      </c>
      <c r="G974" s="70">
        <f t="shared" ref="G974:G1037" si="186">F974/(B973+C974)</f>
        <v>1.3376196148871066E-2</v>
      </c>
      <c r="H974" s="70"/>
      <c r="I974" s="70"/>
      <c r="J974" s="67">
        <f t="shared" si="168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0.19374024858830063</v>
      </c>
      <c r="N974" s="70">
        <f>PRODUCT($L$909:L974)-1</f>
        <v>-5.6689949013251861E-2</v>
      </c>
      <c r="O974" s="70">
        <f>AVERAGE($G$909:G974)*252</f>
        <v>-0.1740292566281065</v>
      </c>
      <c r="P974" s="70">
        <f>STDEV($G$909:G974)*252^0.5</f>
        <v>0.31328073515500404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-0.55550577197797002</v>
      </c>
      <c r="X974" s="142">
        <f t="shared" si="166"/>
        <v>1.7857142857142857E-4</v>
      </c>
      <c r="Y974" s="139">
        <f t="shared" ref="Y974:Y1015" si="187">G974-X974</f>
        <v>1.3197624720299637E-2</v>
      </c>
      <c r="Z974" s="139">
        <f t="shared" ref="Z974:Z1015" si="188">IF(Y974&lt;0,Y974,0)</f>
        <v>0</v>
      </c>
      <c r="AA974" s="139">
        <f t="shared" ref="AA974:AA1015" si="189">Z974^2</f>
        <v>0</v>
      </c>
      <c r="AB974" s="144">
        <f t="shared" ref="AB974:AB1007" si="190">AVERAGE(Y723:Y974)/AVERAGE(AA723:AA974)</f>
        <v>7.3430664963218009</v>
      </c>
      <c r="AC974" s="144">
        <f t="shared" ref="AC974:AC1007" si="191">AVERAGE(G945:G974)-_xlfn.NORM.S.INV(0.95)*_xlfn.STDEV.S(G945:G974)</f>
        <v>-2.8365479293128711E-2</v>
      </c>
      <c r="AD974" s="144">
        <f t="shared" ref="AD974:AD1007" si="192">AVERAGE(G885:G974)-_xlfn.NORM.S.INV(0.95)*_xlfn.STDEV.S(G885:G974)</f>
        <v>-4.3731008606058573E-2</v>
      </c>
      <c r="AE974" s="144">
        <f t="shared" ref="AE974:AE1007" si="193">AVERAGE(G610:G974)-_xlfn.NORM.S.INV(0.95)*_xlfn.STDEV.S(G610:G974)</f>
        <v>-3.4164630509780865E-2</v>
      </c>
    </row>
    <row r="975" spans="1:31">
      <c r="A975" s="88">
        <v>45386</v>
      </c>
      <c r="B975" s="78">
        <v>51227159.189999998</v>
      </c>
      <c r="D975" s="67">
        <f t="shared" si="170"/>
        <v>51227159.189999998</v>
      </c>
      <c r="E975" s="67">
        <f t="shared" si="167"/>
        <v>54958718.710000001</v>
      </c>
      <c r="F975" s="67">
        <f t="shared" si="171"/>
        <v>-3171349.3300000057</v>
      </c>
      <c r="G975" s="70">
        <f t="shared" si="186"/>
        <v>-5.8298461047586188E-2</v>
      </c>
      <c r="H975" s="70"/>
      <c r="I975" s="70"/>
      <c r="J975" s="67">
        <f t="shared" si="168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0.12414702920503973</v>
      </c>
      <c r="N975" s="70">
        <f>PRODUCT($L$909:L975)-1</f>
        <v>-0.1116834732764993</v>
      </c>
      <c r="O975" s="70">
        <f>AVERAGE($G$909:G975)*252</f>
        <v>-0.39070362867830971</v>
      </c>
      <c r="P975" s="70">
        <f>STDEV($G$909:G975)*252^0.5</f>
        <v>0.33036332286656128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-1.1826483196989781</v>
      </c>
      <c r="X975" s="142">
        <f t="shared" si="166"/>
        <v>1.7857142857142857E-4</v>
      </c>
      <c r="Y975" s="139">
        <f t="shared" si="187"/>
        <v>-5.8477032476157619E-2</v>
      </c>
      <c r="Z975" s="139">
        <f t="shared" si="188"/>
        <v>-5.8477032476157619E-2</v>
      </c>
      <c r="AA975" s="139">
        <f t="shared" si="189"/>
        <v>3.4195633272175929E-3</v>
      </c>
      <c r="AB975" s="144">
        <f t="shared" si="190"/>
        <v>6.2852670122333523</v>
      </c>
      <c r="AC975" s="144">
        <f t="shared" si="191"/>
        <v>-3.4770729954548447E-2</v>
      </c>
      <c r="AD975" s="144">
        <f t="shared" si="192"/>
        <v>-4.5667560584865291E-2</v>
      </c>
      <c r="AE975" s="144">
        <f t="shared" si="193"/>
        <v>-3.4709009995509264E-2</v>
      </c>
    </row>
    <row r="976" spans="1:31">
      <c r="A976" s="88">
        <v>45387</v>
      </c>
      <c r="B976" s="78">
        <v>53255987.509999998</v>
      </c>
      <c r="D976" s="67">
        <f t="shared" si="170"/>
        <v>53255987.509999998</v>
      </c>
      <c r="E976" s="67">
        <f t="shared" si="167"/>
        <v>54958718.710000001</v>
      </c>
      <c r="F976" s="67">
        <f t="shared" si="171"/>
        <v>2028828.3200000003</v>
      </c>
      <c r="G976" s="70">
        <f t="shared" si="186"/>
        <v>3.9604544778193473E-2</v>
      </c>
      <c r="H976" s="70"/>
      <c r="I976" s="70"/>
      <c r="J976" s="67">
        <f t="shared" si="168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0.16866836056046375</v>
      </c>
      <c r="N976" s="70">
        <f>PRODUCT($L$909:L976)-1</f>
        <v>-7.6502101616669149E-2</v>
      </c>
      <c r="O976" s="70">
        <f>AVERAGE($G$909:G976)*252</f>
        <v>-0.23818820349032344</v>
      </c>
      <c r="P976" s="70">
        <f>STDEV($G$909:G976)*252^0.5</f>
        <v>0.33732437890395733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-0.70611025584409404</v>
      </c>
      <c r="X976" s="142">
        <f t="shared" ref="X976:X1072" si="194">4.5%/252</f>
        <v>1.7857142857142857E-4</v>
      </c>
      <c r="Y976" s="139">
        <f t="shared" si="187"/>
        <v>3.9425973349622043E-2</v>
      </c>
      <c r="Z976" s="139">
        <f t="shared" si="188"/>
        <v>0</v>
      </c>
      <c r="AA976" s="139">
        <f t="shared" si="189"/>
        <v>0</v>
      </c>
      <c r="AB976" s="144">
        <f t="shared" si="190"/>
        <v>7.2229281837669195</v>
      </c>
      <c r="AC976" s="144">
        <f t="shared" si="191"/>
        <v>-3.5496830718287374E-2</v>
      </c>
      <c r="AD976" s="144">
        <f t="shared" si="192"/>
        <v>-4.5540676501265316E-2</v>
      </c>
      <c r="AE976" s="144">
        <f t="shared" si="193"/>
        <v>-3.4762022712718388E-2</v>
      </c>
    </row>
    <row r="977" spans="1:31">
      <c r="A977" s="88">
        <v>45390</v>
      </c>
      <c r="B977" s="78">
        <v>53410125.670000002</v>
      </c>
      <c r="D977" s="67">
        <f t="shared" si="170"/>
        <v>53410125.670000002</v>
      </c>
      <c r="E977" s="67">
        <f t="shared" si="167"/>
        <v>54958718.710000001</v>
      </c>
      <c r="F977" s="67">
        <f t="shared" si="171"/>
        <v>154138.16000000387</v>
      </c>
      <c r="G977" s="70">
        <f t="shared" si="186"/>
        <v>2.8942878952542377E-3</v>
      </c>
      <c r="H977" s="70"/>
      <c r="I977" s="70"/>
      <c r="J977" s="67">
        <f t="shared" si="168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0.17205082325000043</v>
      </c>
      <c r="N977" s="70">
        <f>PRODUCT($L$909:L977)-1</f>
        <v>-7.3829232828085511E-2</v>
      </c>
      <c r="O977" s="70">
        <f>AVERAGE($G$909:G977)*252</f>
        <v>-0.22416575779330325</v>
      </c>
      <c r="P977" s="70">
        <f>STDEV($G$909:G977)*252^0.5</f>
        <v>0.33491525259913418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-0.66932083879025683</v>
      </c>
      <c r="X977" s="142">
        <f t="shared" si="194"/>
        <v>1.7857142857142857E-4</v>
      </c>
      <c r="Y977" s="139">
        <f t="shared" si="187"/>
        <v>2.7157164666828091E-3</v>
      </c>
      <c r="Z977" s="139">
        <f t="shared" si="188"/>
        <v>0</v>
      </c>
      <c r="AA977" s="139">
        <f t="shared" si="189"/>
        <v>0</v>
      </c>
      <c r="AB977" s="144">
        <f t="shared" si="190"/>
        <v>7.2068607546341541</v>
      </c>
      <c r="AC977" s="144">
        <f t="shared" si="191"/>
        <v>-3.5362216186990786E-2</v>
      </c>
      <c r="AD977" s="144">
        <f t="shared" si="192"/>
        <v>-4.5454571681222578E-2</v>
      </c>
      <c r="AE977" s="144">
        <f t="shared" si="193"/>
        <v>-3.4633552515122304E-2</v>
      </c>
    </row>
    <row r="978" spans="1:31">
      <c r="A978" s="88">
        <v>45391</v>
      </c>
      <c r="B978" s="78">
        <v>53587856.920000002</v>
      </c>
      <c r="D978" s="67">
        <f t="shared" si="170"/>
        <v>53587856.920000002</v>
      </c>
      <c r="E978" s="67">
        <f t="shared" si="167"/>
        <v>54958718.710000001</v>
      </c>
      <c r="F978" s="67">
        <f t="shared" si="171"/>
        <v>177731.25</v>
      </c>
      <c r="G978" s="70">
        <f t="shared" si="186"/>
        <v>3.3276695714616169E-3</v>
      </c>
      <c r="H978" s="70"/>
      <c r="I978" s="70"/>
      <c r="J978" s="67">
        <f t="shared" si="168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0.17595102111073602</v>
      </c>
      <c r="N978" s="70">
        <f>PRODUCT($L$909:L978)-1</f>
        <v>-7.0747242548190203E-2</v>
      </c>
      <c r="O978" s="70">
        <f>AVERAGE($G$909:G978)*252</f>
        <v>-0.20898377936756568</v>
      </c>
      <c r="P978" s="70">
        <f>STDEV($G$909:G978)*252^0.5</f>
        <v>0.33257574421392561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-0.62837949851549968</v>
      </c>
      <c r="X978" s="142">
        <f t="shared" si="194"/>
        <v>1.7857142857142857E-4</v>
      </c>
      <c r="Y978" s="139">
        <f t="shared" si="187"/>
        <v>3.1490981428901883E-3</v>
      </c>
      <c r="Z978" s="139">
        <f t="shared" si="188"/>
        <v>0</v>
      </c>
      <c r="AA978" s="139">
        <f t="shared" si="189"/>
        <v>0</v>
      </c>
      <c r="AB978" s="144">
        <f t="shared" si="190"/>
        <v>7.4386156816973497</v>
      </c>
      <c r="AC978" s="144">
        <f t="shared" si="191"/>
        <v>-3.4695903100082359E-2</v>
      </c>
      <c r="AD978" s="144">
        <f t="shared" si="192"/>
        <v>-4.5397373382733058E-2</v>
      </c>
      <c r="AE978" s="144">
        <f t="shared" si="193"/>
        <v>-3.4453801691752058E-2</v>
      </c>
    </row>
    <row r="979" spans="1:31">
      <c r="A979" s="88">
        <v>45392</v>
      </c>
      <c r="B979" s="78">
        <v>51021853.770000003</v>
      </c>
      <c r="D979" s="67">
        <f t="shared" si="170"/>
        <v>51021853.770000003</v>
      </c>
      <c r="E979" s="67">
        <f t="shared" si="167"/>
        <v>54958718.710000001</v>
      </c>
      <c r="F979" s="67">
        <f t="shared" si="171"/>
        <v>-2566003.1499999985</v>
      </c>
      <c r="G979" s="70">
        <f t="shared" si="186"/>
        <v>-4.788404122655477E-2</v>
      </c>
      <c r="H979" s="70"/>
      <c r="I979" s="70"/>
      <c r="J979" s="67">
        <f t="shared" si="168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0.11964173393546029</v>
      </c>
      <c r="N979" s="70">
        <f>PRODUCT($L$909:L979)-1</f>
        <v>-0.11524361989590237</v>
      </c>
      <c r="O979" s="70">
        <f>AVERAGE($G$909:G979)*252</f>
        <v>-0.37599497105382246</v>
      </c>
      <c r="P979" s="70">
        <f>STDEV($G$909:G979)*252^0.5</f>
        <v>0.34188477485157942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-1.099771030216397</v>
      </c>
      <c r="X979" s="142">
        <f t="shared" si="194"/>
        <v>1.7857142857142857E-4</v>
      </c>
      <c r="Y979" s="139">
        <f t="shared" si="187"/>
        <v>-4.8062612655126201E-2</v>
      </c>
      <c r="Z979" s="139">
        <f t="shared" si="188"/>
        <v>-4.8062612655126201E-2</v>
      </c>
      <c r="AA979" s="139">
        <f t="shared" si="189"/>
        <v>2.310014735236697E-3</v>
      </c>
      <c r="AB979" s="144">
        <f t="shared" si="190"/>
        <v>6.3196416034837641</v>
      </c>
      <c r="AC979" s="144">
        <f t="shared" si="191"/>
        <v>-3.9173702405739502E-2</v>
      </c>
      <c r="AD979" s="144">
        <f t="shared" si="192"/>
        <v>-4.6163051008487277E-2</v>
      </c>
      <c r="AE979" s="144">
        <f t="shared" si="193"/>
        <v>-3.4856060477286933E-2</v>
      </c>
    </row>
    <row r="980" spans="1:31">
      <c r="A980" s="88">
        <v>45393</v>
      </c>
      <c r="B980" s="78">
        <v>54085413.049999997</v>
      </c>
      <c r="D980" s="67">
        <f t="shared" si="170"/>
        <v>54085413.049999997</v>
      </c>
      <c r="E980" s="67">
        <f t="shared" si="167"/>
        <v>54958718.710000001</v>
      </c>
      <c r="F980" s="67">
        <f t="shared" si="171"/>
        <v>3063559.2799999937</v>
      </c>
      <c r="G980" s="70">
        <f t="shared" si="186"/>
        <v>6.0044060606071419E-2</v>
      </c>
      <c r="H980" s="70"/>
      <c r="I980" s="70"/>
      <c r="J980" s="67">
        <f t="shared" si="168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0.18686957006496807</v>
      </c>
      <c r="N980" s="70">
        <f>PRODUCT($L$909:L980)-1</f>
        <v>-6.2119254187323558E-2</v>
      </c>
      <c r="O980" s="70">
        <f>AVERAGE($G$909:G980)*252</f>
        <v>-0.16061860655682497</v>
      </c>
      <c r="P980" s="70">
        <f>STDEV($G$909:G980)*252^0.5</f>
        <v>0.35845829779543281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-0.44808170865244634</v>
      </c>
      <c r="X980" s="142">
        <f t="shared" si="194"/>
        <v>1.7857142857142857E-4</v>
      </c>
      <c r="Y980" s="139">
        <f t="shared" si="187"/>
        <v>5.9865489177499988E-2</v>
      </c>
      <c r="Z980" s="139">
        <f t="shared" si="188"/>
        <v>0</v>
      </c>
      <c r="AA980" s="139">
        <f t="shared" si="189"/>
        <v>0</v>
      </c>
      <c r="AB980" s="144">
        <f t="shared" si="190"/>
        <v>7.3662090398241382</v>
      </c>
      <c r="AC980" s="144">
        <f t="shared" si="191"/>
        <v>-4.055918543368401E-2</v>
      </c>
      <c r="AD980" s="144">
        <f t="shared" si="192"/>
        <v>-4.6624959657927248E-2</v>
      </c>
      <c r="AE980" s="144">
        <f t="shared" si="193"/>
        <v>-3.5005367909009683E-2</v>
      </c>
    </row>
    <row r="981" spans="1:31">
      <c r="A981" s="88">
        <v>45394</v>
      </c>
      <c r="B981" s="78">
        <v>49126001.969999999</v>
      </c>
      <c r="D981" s="67">
        <f t="shared" si="170"/>
        <v>49126001.969999999</v>
      </c>
      <c r="E981" s="67">
        <f t="shared" si="167"/>
        <v>54958718.710000001</v>
      </c>
      <c r="F981" s="67">
        <f t="shared" si="171"/>
        <v>-4959411.0799999982</v>
      </c>
      <c r="G981" s="70">
        <f t="shared" si="186"/>
        <v>-9.169590838504281E-2</v>
      </c>
      <c r="H981" s="70"/>
      <c r="I981" s="70"/>
      <c r="J981" s="67">
        <f t="shared" si="168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7.8038486703295495E-2</v>
      </c>
      <c r="N981" s="70">
        <f>PRODUCT($L$909:L981)-1</f>
        <v>-0.14811908113145833</v>
      </c>
      <c r="O981" s="70">
        <f>AVERAGE($G$909:G981)*252</f>
        <v>-0.47495765185098893</v>
      </c>
      <c r="P981" s="70">
        <f>STDEV($G$909:G981)*252^0.5</f>
        <v>0.39412052418761923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-1.2051076325699992</v>
      </c>
      <c r="X981" s="142">
        <f t="shared" si="194"/>
        <v>1.7857142857142857E-4</v>
      </c>
      <c r="Y981" s="139">
        <f t="shared" si="187"/>
        <v>-9.187447981361424E-2</v>
      </c>
      <c r="Z981" s="139">
        <f t="shared" si="188"/>
        <v>-9.187447981361424E-2</v>
      </c>
      <c r="AA981" s="139">
        <f t="shared" si="189"/>
        <v>8.440920041022211E-3</v>
      </c>
      <c r="AB981" s="144">
        <f t="shared" si="190"/>
        <v>4.9614243023207605</v>
      </c>
      <c r="AC981" s="144">
        <f t="shared" si="191"/>
        <v>-5.2252558762864797E-2</v>
      </c>
      <c r="AD981" s="144">
        <f t="shared" si="192"/>
        <v>-5.0005629448752732E-2</v>
      </c>
      <c r="AE981" s="144">
        <f t="shared" si="193"/>
        <v>-3.6150483226117081E-2</v>
      </c>
    </row>
    <row r="982" spans="1:31">
      <c r="A982" s="88">
        <v>45397</v>
      </c>
      <c r="B982" s="78">
        <v>46705599.299999997</v>
      </c>
      <c r="D982" s="67">
        <f t="shared" si="170"/>
        <v>46705599.299999997</v>
      </c>
      <c r="E982" s="67">
        <f t="shared" ref="E982:E1008" si="195">IF(MONTH(A982)=MONTH(A981),E981,D981)</f>
        <v>54958718.710000001</v>
      </c>
      <c r="F982" s="67">
        <f t="shared" si="171"/>
        <v>-2420402.6700000018</v>
      </c>
      <c r="G982" s="70">
        <f t="shared" si="186"/>
        <v>-4.9269278446027021E-2</v>
      </c>
      <c r="H982" s="70"/>
      <c r="I982" s="70"/>
      <c r="J982" s="67">
        <f t="shared" ref="J982:J1008" si="196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2.4924308326377265E-2</v>
      </c>
      <c r="N982" s="70">
        <f>PRODUCT($L$909:L982)-1</f>
        <v>-0.19009063932604986</v>
      </c>
      <c r="O982" s="70">
        <f>AVERAGE($G$909:G982)*252</f>
        <v>-0.63632117234487839</v>
      </c>
      <c r="P982" s="70">
        <f>STDEV($G$909:G982)*252^0.5</f>
        <v>0.40106021960269816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-1.5865975762324085</v>
      </c>
      <c r="X982" s="142">
        <f t="shared" si="194"/>
        <v>1.7857142857142857E-4</v>
      </c>
      <c r="Y982" s="139">
        <f t="shared" si="187"/>
        <v>-4.9447849874598451E-2</v>
      </c>
      <c r="Z982" s="139">
        <f t="shared" si="188"/>
        <v>-4.9447849874598451E-2</v>
      </c>
      <c r="AA982" s="139">
        <f t="shared" si="189"/>
        <v>2.4450898572208261E-3</v>
      </c>
      <c r="AB982" s="144">
        <f t="shared" si="190"/>
        <v>4.1883179758519153</v>
      </c>
      <c r="AC982" s="144">
        <f t="shared" si="191"/>
        <v>-5.5857233502453835E-2</v>
      </c>
      <c r="AD982" s="144">
        <f t="shared" si="192"/>
        <v>-5.1397624566527529E-2</v>
      </c>
      <c r="AE982" s="144">
        <f t="shared" si="193"/>
        <v>-3.6481845293825498E-2</v>
      </c>
    </row>
    <row r="983" spans="1:31">
      <c r="A983" s="88">
        <v>45398</v>
      </c>
      <c r="B983" s="78">
        <v>45847393.68</v>
      </c>
      <c r="D983" s="67">
        <f t="shared" si="170"/>
        <v>45847393.68</v>
      </c>
      <c r="E983" s="67">
        <f t="shared" si="195"/>
        <v>54958718.710000001</v>
      </c>
      <c r="F983" s="67">
        <f t="shared" si="171"/>
        <v>-858205.61999999732</v>
      </c>
      <c r="G983" s="70">
        <f t="shared" si="186"/>
        <v>-1.8374790878660181E-2</v>
      </c>
      <c r="H983" s="70"/>
      <c r="I983" s="70"/>
      <c r="J983" s="67">
        <f t="shared" si="196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6.0915384944246753E-3</v>
      </c>
      <c r="N983" s="70">
        <f>PRODUCT($L$909:L983)-1</f>
        <v>-0.20497255445910312</v>
      </c>
      <c r="O983" s="70">
        <f>AVERAGE($G$909:G983)*252</f>
        <v>-0.68957618739924487</v>
      </c>
      <c r="P983" s="70">
        <f>STDEV($G$909:G983)*252^0.5</f>
        <v>0.39939922000361494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-1.7265336356766134</v>
      </c>
      <c r="X983" s="142">
        <f t="shared" si="194"/>
        <v>1.7857142857142857E-4</v>
      </c>
      <c r="Y983" s="139">
        <f t="shared" si="187"/>
        <v>-1.8553362307231609E-2</v>
      </c>
      <c r="Z983" s="139">
        <f t="shared" si="188"/>
        <v>-1.8553362307231609E-2</v>
      </c>
      <c r="AA983" s="139">
        <f t="shared" si="189"/>
        <v>3.442272529034026E-4</v>
      </c>
      <c r="AB983" s="144">
        <f t="shared" si="190"/>
        <v>4.0873669150234333</v>
      </c>
      <c r="AC983" s="144">
        <f t="shared" si="191"/>
        <v>-5.6843435625902015E-2</v>
      </c>
      <c r="AD983" s="144">
        <f t="shared" si="192"/>
        <v>-5.1797918158373903E-2</v>
      </c>
      <c r="AE983" s="144">
        <f t="shared" si="193"/>
        <v>-3.6553219344110301E-2</v>
      </c>
    </row>
    <row r="984" spans="1:31">
      <c r="A984" s="88">
        <v>45399</v>
      </c>
      <c r="B984" s="78">
        <v>42944863.299999997</v>
      </c>
      <c r="D984" s="67">
        <f t="shared" si="170"/>
        <v>42944863.299999997</v>
      </c>
      <c r="E984" s="67">
        <f t="shared" si="195"/>
        <v>54958718.710000001</v>
      </c>
      <c r="F984" s="67">
        <f t="shared" si="171"/>
        <v>-2902530.3800000027</v>
      </c>
      <c r="G984" s="70">
        <f t="shared" si="186"/>
        <v>-6.3308514334723745E-2</v>
      </c>
      <c r="H984" s="70"/>
      <c r="I984" s="70"/>
      <c r="J984" s="67">
        <f t="shared" si="196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-5.7602622092393863E-2</v>
      </c>
      <c r="N984" s="70">
        <f>PRODUCT($L$909:L984)-1</f>
        <v>-0.25530456089162779</v>
      </c>
      <c r="O984" s="70">
        <f>AVERAGE($G$909:G984)*252</f>
        <v>-0.89042052193807553</v>
      </c>
      <c r="P984" s="70">
        <f>STDEV($G$909:G984)*252^0.5</f>
        <v>0.41177465974613098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-2.1623975659090857</v>
      </c>
      <c r="X984" s="142">
        <f t="shared" si="194"/>
        <v>1.7857142857142857E-4</v>
      </c>
      <c r="Y984" s="139">
        <f t="shared" si="187"/>
        <v>-6.3487085763295176E-2</v>
      </c>
      <c r="Z984" s="139">
        <f t="shared" si="188"/>
        <v>-6.3487085763295176E-2</v>
      </c>
      <c r="AA984" s="139">
        <f t="shared" si="189"/>
        <v>4.0306100587159969E-3</v>
      </c>
      <c r="AB984" s="144">
        <f t="shared" si="190"/>
        <v>2.546551048808753</v>
      </c>
      <c r="AC984" s="144">
        <f t="shared" si="191"/>
        <v>-6.1149555649550581E-2</v>
      </c>
      <c r="AD984" s="144">
        <f t="shared" si="192"/>
        <v>-5.3774140974888682E-2</v>
      </c>
      <c r="AE984" s="144">
        <f t="shared" si="193"/>
        <v>-3.7134891239468545E-2</v>
      </c>
    </row>
    <row r="985" spans="1:31">
      <c r="A985" s="88">
        <v>45400</v>
      </c>
      <c r="B985" s="78">
        <v>42064797.170000002</v>
      </c>
      <c r="D985" s="67">
        <f t="shared" si="170"/>
        <v>42064797.170000002</v>
      </c>
      <c r="E985" s="67">
        <f t="shared" si="195"/>
        <v>54958718.710000001</v>
      </c>
      <c r="F985" s="67">
        <f t="shared" si="171"/>
        <v>-880066.12999999523</v>
      </c>
      <c r="G985" s="70">
        <f t="shared" si="186"/>
        <v>-2.0492931223278461E-2</v>
      </c>
      <c r="H985" s="70"/>
      <c r="I985" s="70"/>
      <c r="J985" s="67">
        <f t="shared" si="196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-7.6915106742852402E-2</v>
      </c>
      <c r="N985" s="70">
        <f>PRODUCT($L$909:L985)-1</f>
        <v>-0.27056555330756482</v>
      </c>
      <c r="O985" s="70">
        <f>AVERAGE($G$909:G985)*252</f>
        <v>-0.94592439396831052</v>
      </c>
      <c r="P985" s="70">
        <f>STDEV($G$909:G985)*252^0.5</f>
        <v>0.41020562898428048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-2.305976142527677</v>
      </c>
      <c r="X985" s="142">
        <f t="shared" si="194"/>
        <v>1.7857142857142857E-4</v>
      </c>
      <c r="Y985" s="139">
        <f t="shared" si="187"/>
        <v>-2.0671502651849888E-2</v>
      </c>
      <c r="Z985" s="139">
        <f t="shared" si="188"/>
        <v>-2.0671502651849888E-2</v>
      </c>
      <c r="AA985" s="139">
        <f t="shared" si="189"/>
        <v>4.2731102188543697E-4</v>
      </c>
      <c r="AB985" s="144">
        <f t="shared" si="190"/>
        <v>1.9177825992943811</v>
      </c>
      <c r="AC985" s="144">
        <f t="shared" si="191"/>
        <v>-6.1988541073957626E-2</v>
      </c>
      <c r="AD985" s="144">
        <f t="shared" si="192"/>
        <v>-5.4158915470241535E-2</v>
      </c>
      <c r="AE985" s="144">
        <f t="shared" si="193"/>
        <v>-3.718783652727492E-2</v>
      </c>
    </row>
    <row r="986" spans="1:31">
      <c r="A986" s="88">
        <v>45401</v>
      </c>
      <c r="B986" s="78">
        <v>38769186.829999998</v>
      </c>
      <c r="D986" s="67">
        <f t="shared" si="170"/>
        <v>38769186.829999998</v>
      </c>
      <c r="E986" s="67">
        <f t="shared" si="195"/>
        <v>54958718.710000001</v>
      </c>
      <c r="F986" s="67">
        <f t="shared" si="171"/>
        <v>-3295610.3400000036</v>
      </c>
      <c r="G986" s="70">
        <f t="shared" si="186"/>
        <v>-7.8346041386605919E-2</v>
      </c>
      <c r="H986" s="70"/>
      <c r="I986" s="70"/>
      <c r="J986" s="67">
        <f t="shared" si="196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-0.14923515399332765</v>
      </c>
      <c r="N986" s="70">
        <f>PRODUCT($L$909:L986)-1</f>
        <v>-0.32771385465694636</v>
      </c>
      <c r="O986" s="70">
        <f>AVERAGE($G$909:G986)*252</f>
        <v>-1.186915138012623</v>
      </c>
      <c r="P986" s="70">
        <f>STDEV($G$909:G986)*252^0.5</f>
        <v>0.42902147068650887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-2.7665634918302637</v>
      </c>
      <c r="X986" s="142">
        <f t="shared" si="194"/>
        <v>1.7857142857142857E-4</v>
      </c>
      <c r="Y986" s="139">
        <f t="shared" si="187"/>
        <v>-7.852461281517735E-2</v>
      </c>
      <c r="Z986" s="139">
        <f t="shared" si="188"/>
        <v>-7.852461281517735E-2</v>
      </c>
      <c r="AA986" s="139">
        <f t="shared" si="189"/>
        <v>6.166114817773515E-3</v>
      </c>
      <c r="AB986" s="144">
        <f t="shared" si="190"/>
        <v>1.1824098929639331</v>
      </c>
      <c r="AC986" s="144">
        <f t="shared" si="191"/>
        <v>-6.8460335126606042E-2</v>
      </c>
      <c r="AD986" s="144">
        <f t="shared" si="192"/>
        <v>-5.2456531724612024E-2</v>
      </c>
      <c r="AE986" s="144">
        <f t="shared" si="193"/>
        <v>-3.8029542342505981E-2</v>
      </c>
    </row>
    <row r="987" spans="1:31">
      <c r="A987" s="88">
        <v>45404</v>
      </c>
      <c r="B987" s="78">
        <v>40992184.68</v>
      </c>
      <c r="D987" s="67">
        <f t="shared" si="170"/>
        <v>40992184.68</v>
      </c>
      <c r="E987" s="67">
        <f t="shared" si="195"/>
        <v>54958718.710000001</v>
      </c>
      <c r="F987" s="67">
        <f t="shared" si="171"/>
        <v>2222997.8500000015</v>
      </c>
      <c r="G987" s="70">
        <f t="shared" si="186"/>
        <v>5.733929524360884E-2</v>
      </c>
      <c r="H987" s="70"/>
      <c r="I987" s="70"/>
      <c r="J987" s="67">
        <f t="shared" si="196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-0.10045289730526763</v>
      </c>
      <c r="N987" s="70">
        <f>PRODUCT($L$909:L987)-1</f>
        <v>-0.28916544088093321</v>
      </c>
      <c r="O987" s="70">
        <f>AVERAGE($G$909:G987)*252</f>
        <v>-0.98898580207082509</v>
      </c>
      <c r="P987" s="70">
        <f>STDEV($G$909:G987)*252^0.5</f>
        <v>0.44043280771419357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-2.2454862234345621</v>
      </c>
      <c r="X987" s="142">
        <f t="shared" si="194"/>
        <v>1.7857142857142857E-4</v>
      </c>
      <c r="Y987" s="139">
        <f t="shared" si="187"/>
        <v>5.7160723815037409E-2</v>
      </c>
      <c r="Z987" s="139">
        <f t="shared" si="188"/>
        <v>0</v>
      </c>
      <c r="AA987" s="139">
        <f t="shared" si="189"/>
        <v>0</v>
      </c>
      <c r="AB987" s="144">
        <f t="shared" si="190"/>
        <v>1.726767846885541</v>
      </c>
      <c r="AC987" s="144">
        <f t="shared" si="191"/>
        <v>-6.9353031414008212E-2</v>
      </c>
      <c r="AD987" s="144">
        <f t="shared" si="192"/>
        <v>-5.250496444562601E-2</v>
      </c>
      <c r="AE987" s="144">
        <f t="shared" si="193"/>
        <v>-3.8201871384124661E-2</v>
      </c>
    </row>
    <row r="988" spans="1:31">
      <c r="A988" s="88">
        <v>45405</v>
      </c>
      <c r="B988" s="78">
        <v>43830529.549999997</v>
      </c>
      <c r="D988" s="67">
        <f t="shared" si="170"/>
        <v>43830529.549999997</v>
      </c>
      <c r="E988" s="67">
        <f t="shared" si="195"/>
        <v>54958718.710000001</v>
      </c>
      <c r="F988" s="67">
        <f t="shared" si="171"/>
        <v>2838344.8699999973</v>
      </c>
      <c r="G988" s="70">
        <f t="shared" si="186"/>
        <v>6.9241122232375676E-2</v>
      </c>
      <c r="H988" s="70"/>
      <c r="I988" s="70"/>
      <c r="J988" s="67">
        <f t="shared" si="196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-3.8167246413802314E-2</v>
      </c>
      <c r="N988" s="70">
        <f>PRODUCT($L$909:L988)-1</f>
        <v>-0.23994645828597305</v>
      </c>
      <c r="O988" s="70">
        <f>AVERAGE($G$909:G988)*252</f>
        <v>-0.75851394451295628</v>
      </c>
      <c r="P988" s="70">
        <f>STDEV($G$909:G988)*252^0.5</f>
        <v>0.45649559618722052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-1.6616018880538561</v>
      </c>
      <c r="X988" s="142">
        <f t="shared" si="194"/>
        <v>1.7857142857142857E-4</v>
      </c>
      <c r="Y988" s="139">
        <f t="shared" si="187"/>
        <v>6.9062550803804246E-2</v>
      </c>
      <c r="Z988" s="139">
        <f t="shared" si="188"/>
        <v>0</v>
      </c>
      <c r="AA988" s="139">
        <f t="shared" si="189"/>
        <v>0</v>
      </c>
      <c r="AB988" s="144">
        <f t="shared" si="190"/>
        <v>2.7054532947772607</v>
      </c>
      <c r="AC988" s="144">
        <f t="shared" si="191"/>
        <v>-7.0055671145387702E-2</v>
      </c>
      <c r="AD988" s="144">
        <f t="shared" si="192"/>
        <v>-5.311951643158197E-2</v>
      </c>
      <c r="AE988" s="144">
        <f t="shared" si="193"/>
        <v>-3.8471415047082777E-2</v>
      </c>
    </row>
    <row r="989" spans="1:31">
      <c r="A989" s="88">
        <v>45406</v>
      </c>
      <c r="B989" s="78">
        <v>44070358.350000001</v>
      </c>
      <c r="D989" s="67">
        <f t="shared" si="170"/>
        <v>44070358.350000001</v>
      </c>
      <c r="E989" s="67">
        <f t="shared" si="195"/>
        <v>54958718.710000001</v>
      </c>
      <c r="F989" s="67">
        <f t="shared" si="171"/>
        <v>239828.80000000447</v>
      </c>
      <c r="G989" s="70">
        <f t="shared" si="186"/>
        <v>5.4717294648794516E-3</v>
      </c>
      <c r="H989" s="70"/>
      <c r="I989" s="70"/>
      <c r="J989" s="67">
        <f t="shared" si="196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-3.2904357795718653E-2</v>
      </c>
      <c r="N989" s="70">
        <f>PRODUCT($L$909:L989)-1</f>
        <v>-0.23578765092689047</v>
      </c>
      <c r="O989" s="70">
        <f>AVERAGE($G$909:G989)*252</f>
        <v>-0.73212641649243071</v>
      </c>
      <c r="P989" s="70">
        <f>STDEV($G$909:G989)*252^0.5</f>
        <v>0.45388014685754785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-1.6130390843515163</v>
      </c>
      <c r="X989" s="142">
        <f t="shared" si="194"/>
        <v>1.7857142857142857E-4</v>
      </c>
      <c r="Y989" s="139">
        <f t="shared" si="187"/>
        <v>5.2931580363080226E-3</v>
      </c>
      <c r="Z989" s="139">
        <f t="shared" si="188"/>
        <v>0</v>
      </c>
      <c r="AA989" s="139">
        <f t="shared" si="189"/>
        <v>0</v>
      </c>
      <c r="AB989" s="144">
        <f t="shared" si="190"/>
        <v>2.7986634590765682</v>
      </c>
      <c r="AC989" s="144">
        <f t="shared" si="191"/>
        <v>-7.0046201533957603E-2</v>
      </c>
      <c r="AD989" s="144">
        <f t="shared" si="192"/>
        <v>-5.3133996871414534E-2</v>
      </c>
      <c r="AE989" s="144">
        <f t="shared" si="193"/>
        <v>-3.8436940690089405E-2</v>
      </c>
    </row>
    <row r="990" spans="1:31">
      <c r="A990" s="88">
        <v>45407</v>
      </c>
      <c r="B990" s="78">
        <v>44821425.310000002</v>
      </c>
      <c r="D990" s="67">
        <f t="shared" si="170"/>
        <v>44821425.310000002</v>
      </c>
      <c r="E990" s="67">
        <f t="shared" si="195"/>
        <v>54958718.710000001</v>
      </c>
      <c r="F990" s="67">
        <f t="shared" si="171"/>
        <v>751066.96000000089</v>
      </c>
      <c r="G990" s="70">
        <f t="shared" si="186"/>
        <v>1.7042451845640617E-2</v>
      </c>
      <c r="H990" s="70"/>
      <c r="I990" s="70"/>
      <c r="J990" s="67">
        <f t="shared" si="196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-1.6422676883323217E-2</v>
      </c>
      <c r="N990" s="70">
        <f>PRODUCT($L$909:L990)-1</f>
        <v>-0.22276359876796803</v>
      </c>
      <c r="O990" s="70">
        <f>AVERAGE($G$909:G990)*252</f>
        <v>-0.67082368135104209</v>
      </c>
      <c r="P990" s="70">
        <f>STDEV($G$909:G990)*252^0.5</f>
        <v>0.45242318531629538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-1.4827349771697926</v>
      </c>
      <c r="X990" s="142">
        <f t="shared" si="194"/>
        <v>1.7857142857142857E-4</v>
      </c>
      <c r="Y990" s="139">
        <f t="shared" si="187"/>
        <v>1.6863880417069189E-2</v>
      </c>
      <c r="Z990" s="139">
        <f t="shared" si="188"/>
        <v>0</v>
      </c>
      <c r="AA990" s="139">
        <f t="shared" si="189"/>
        <v>0</v>
      </c>
      <c r="AB990" s="144">
        <f t="shared" si="190"/>
        <v>2.8128725332789912</v>
      </c>
      <c r="AC990" s="144">
        <f t="shared" si="191"/>
        <v>-6.8837217483881871E-2</v>
      </c>
      <c r="AD990" s="144">
        <f t="shared" si="192"/>
        <v>-5.2654408874793966E-2</v>
      </c>
      <c r="AE990" s="144">
        <f t="shared" si="193"/>
        <v>-3.8335554461258407E-2</v>
      </c>
    </row>
    <row r="991" spans="1:31">
      <c r="A991" s="88">
        <v>45408</v>
      </c>
      <c r="B991" s="78">
        <v>47991336.32</v>
      </c>
      <c r="D991" s="67">
        <f t="shared" si="170"/>
        <v>47991336.32</v>
      </c>
      <c r="E991" s="67">
        <f t="shared" si="195"/>
        <v>54958718.710000001</v>
      </c>
      <c r="F991" s="67">
        <f t="shared" si="171"/>
        <v>3169911.0099999979</v>
      </c>
      <c r="G991" s="70">
        <f t="shared" si="186"/>
        <v>7.0723119313494176E-2</v>
      </c>
      <c r="H991" s="70"/>
      <c r="I991" s="70"/>
      <c r="J991" s="67">
        <f t="shared" si="196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5.3138979493504879E-2</v>
      </c>
      <c r="N991" s="70">
        <f>PRODUCT($L$909:L991)-1</f>
        <v>-0.16779501602884417</v>
      </c>
      <c r="O991" s="70">
        <f>AVERAGE($G$909:G991)*252</f>
        <v>-0.44801585305764963</v>
      </c>
      <c r="P991" s="70">
        <f>STDEV($G$909:G991)*252^0.5</f>
        <v>0.46748405069491988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-0.95835537574312835</v>
      </c>
      <c r="X991" s="142">
        <f t="shared" si="194"/>
        <v>1.7857142857142857E-4</v>
      </c>
      <c r="Y991" s="139">
        <f t="shared" si="187"/>
        <v>7.0544547884922745E-2</v>
      </c>
      <c r="Z991" s="139">
        <f t="shared" si="188"/>
        <v>0</v>
      </c>
      <c r="AA991" s="139">
        <f t="shared" si="189"/>
        <v>0</v>
      </c>
      <c r="AB991" s="144">
        <f t="shared" si="190"/>
        <v>3.8419496654307861</v>
      </c>
      <c r="AC991" s="144">
        <f t="shared" si="191"/>
        <v>-6.9565443247971953E-2</v>
      </c>
      <c r="AD991" s="144">
        <f t="shared" si="192"/>
        <v>-5.0384843375066699E-2</v>
      </c>
      <c r="AE991" s="144">
        <f t="shared" si="193"/>
        <v>-3.8580945131677036E-2</v>
      </c>
    </row>
    <row r="992" spans="1:31">
      <c r="A992" s="88">
        <v>45411</v>
      </c>
      <c r="B992" s="78">
        <v>48790788.32</v>
      </c>
      <c r="D992" s="67">
        <f t="shared" si="170"/>
        <v>48790788.32</v>
      </c>
      <c r="E992" s="67">
        <f t="shared" si="195"/>
        <v>54958718.710000001</v>
      </c>
      <c r="F992" s="67">
        <f t="shared" si="171"/>
        <v>799452</v>
      </c>
      <c r="G992" s="70">
        <f t="shared" si="186"/>
        <v>1.6658256704280078E-2</v>
      </c>
      <c r="H992" s="70"/>
      <c r="I992" s="70"/>
      <c r="J992" s="67">
        <f t="shared" si="196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7.0682438959191352E-2</v>
      </c>
      <c r="N992" s="70">
        <f>PRODUCT($L$909:L992)-1</f>
        <v>-0.15393193177527131</v>
      </c>
      <c r="O992" s="70">
        <f>AVERAGE($G$909:G992)*252</f>
        <v>-0.39270756088459924</v>
      </c>
      <c r="P992" s="70">
        <f>STDEV($G$909:G992)*252^0.5</f>
        <v>0.46575527753387402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-0.84316287936434153</v>
      </c>
      <c r="X992" s="142">
        <f t="shared" si="194"/>
        <v>1.7857142857142857E-4</v>
      </c>
      <c r="Y992" s="139">
        <f t="shared" si="187"/>
        <v>1.6479685275708651E-2</v>
      </c>
      <c r="Z992" s="139">
        <f t="shared" si="188"/>
        <v>0</v>
      </c>
      <c r="AA992" s="139">
        <f t="shared" si="189"/>
        <v>0</v>
      </c>
      <c r="AB992" s="144">
        <f t="shared" si="190"/>
        <v>4.111431780187166</v>
      </c>
      <c r="AC992" s="144">
        <f t="shared" si="191"/>
        <v>-6.8462810714514349E-2</v>
      </c>
      <c r="AD992" s="144">
        <f t="shared" si="192"/>
        <v>-4.966289297704117E-2</v>
      </c>
      <c r="AE992" s="144">
        <f t="shared" si="193"/>
        <v>-3.8523598668963155E-2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70"/>
        <v>45196322.469999999</v>
      </c>
      <c r="E993" s="80">
        <f t="shared" si="195"/>
        <v>54958718.710000001</v>
      </c>
      <c r="F993" s="80">
        <f t="shared" si="171"/>
        <v>-3594465.8500000015</v>
      </c>
      <c r="G993" s="81">
        <f t="shared" si="186"/>
        <v>-7.3670993516753269E-2</v>
      </c>
      <c r="H993" s="81"/>
      <c r="I993" s="81"/>
      <c r="J993" s="80">
        <f t="shared" si="196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-8.1958000598727487E-3</v>
      </c>
      <c r="N993" s="81">
        <f>PRODUCT($L$909:L993)-1</f>
        <v>-0.2162626069441872</v>
      </c>
      <c r="O993" s="81">
        <f>AVERAGE($G$909:G993)*252</f>
        <v>-0.60650029977091946</v>
      </c>
      <c r="P993" s="81">
        <f>STDEV($G$909:G993)*252^0.5</f>
        <v>0.47933564370906984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6">
        <f t="shared" si="185"/>
        <v>-1.2652935531308653</v>
      </c>
      <c r="X993" s="143">
        <f t="shared" si="194"/>
        <v>1.7857142857142857E-4</v>
      </c>
      <c r="Y993" s="140">
        <f t="shared" si="187"/>
        <v>-7.38495649453247E-2</v>
      </c>
      <c r="Z993" s="140">
        <f t="shared" si="188"/>
        <v>-7.38495649453247E-2</v>
      </c>
      <c r="AA993" s="140">
        <f t="shared" si="189"/>
        <v>5.4537582426137307E-3</v>
      </c>
      <c r="AB993" s="145">
        <f t="shared" si="190"/>
        <v>2.6700044132661098</v>
      </c>
      <c r="AC993" s="145">
        <f t="shared" si="191"/>
        <v>-7.4669286951549632E-2</v>
      </c>
      <c r="AD993" s="145">
        <f t="shared" si="192"/>
        <v>-5.2154621001149794E-2</v>
      </c>
      <c r="AE993" s="145">
        <f t="shared" si="193"/>
        <v>-3.9263289610507686E-2</v>
      </c>
    </row>
    <row r="994" spans="1:31">
      <c r="A994" s="88">
        <v>45413</v>
      </c>
      <c r="B994" s="78">
        <v>43019740.469999999</v>
      </c>
      <c r="D994" s="67">
        <f t="shared" si="170"/>
        <v>43019740.469999999</v>
      </c>
      <c r="E994" s="67">
        <f t="shared" si="195"/>
        <v>45196322.469999999</v>
      </c>
      <c r="F994" s="67">
        <f t="shared" si="171"/>
        <v>-2176582</v>
      </c>
      <c r="G994" s="70">
        <f t="shared" si="186"/>
        <v>-4.8158387254731878E-2</v>
      </c>
      <c r="H994" s="70"/>
      <c r="I994" s="70"/>
      <c r="J994" s="67">
        <f t="shared" si="196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-5.59594908014589E-2</v>
      </c>
      <c r="N994" s="70">
        <f>PRODUCT($L$909:L994)-1</f>
        <v>-0.25400613582498299</v>
      </c>
      <c r="O994" s="70">
        <f>AVERAGE($G$909:G994)*252</f>
        <v>-0.74056324498512316</v>
      </c>
      <c r="P994" s="70">
        <f>STDEV($G$909:G994)*252^0.5</f>
        <v>0.48290078570187062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-1.5335722510965764</v>
      </c>
      <c r="X994" s="142">
        <f t="shared" si="194"/>
        <v>1.7857142857142857E-4</v>
      </c>
      <c r="Y994" s="139">
        <f t="shared" si="187"/>
        <v>-4.8336958683303309E-2</v>
      </c>
      <c r="Z994" s="139">
        <f t="shared" si="188"/>
        <v>-4.8336958683303309E-2</v>
      </c>
      <c r="AA994" s="139">
        <f t="shared" si="189"/>
        <v>2.3364615747513712E-3</v>
      </c>
      <c r="AB994" s="144">
        <f t="shared" si="190"/>
        <v>1.9467877285359056</v>
      </c>
      <c r="AC994" s="144">
        <f t="shared" si="191"/>
        <v>-7.769213386891527E-2</v>
      </c>
      <c r="AD994" s="144">
        <f t="shared" si="192"/>
        <v>-5.331863113177035E-2</v>
      </c>
      <c r="AE994" s="144">
        <f t="shared" si="193"/>
        <v>-3.9621341269821003E-2</v>
      </c>
    </row>
    <row r="995" spans="1:31">
      <c r="A995" s="88">
        <v>45414</v>
      </c>
      <c r="B995" s="78">
        <v>45778333.640000001</v>
      </c>
      <c r="D995" s="151">
        <f t="shared" si="170"/>
        <v>45778333.640000001</v>
      </c>
      <c r="E995" s="67">
        <f t="shared" si="195"/>
        <v>45196322.469999999</v>
      </c>
      <c r="F995" s="67">
        <f t="shared" si="171"/>
        <v>2758593.1700000018</v>
      </c>
      <c r="G995" s="70">
        <f t="shared" si="186"/>
        <v>6.4123891494039076E-2</v>
      </c>
      <c r="H995" s="70"/>
      <c r="I995" s="70"/>
      <c r="J995" s="67">
        <f t="shared" si="196"/>
        <v>582011.17000000179</v>
      </c>
      <c r="K995" s="70">
        <f t="shared" ref="K995:K1007" si="197">(1+K994)*(1+G995)-1</f>
        <v>1.2877401040456649E-2</v>
      </c>
      <c r="L995" s="70">
        <f t="shared" si="177"/>
        <v>1.064123891494039</v>
      </c>
      <c r="M995" s="70">
        <f>PRODUCT($L$2:L995)-1</f>
        <v>4.5760603763655983E-3</v>
      </c>
      <c r="N995" s="70">
        <f>PRODUCT($L$909:L995)-1</f>
        <v>-0.20617010622340537</v>
      </c>
      <c r="O995" s="70">
        <f>AVERAGE($G$909:G995)*252</f>
        <v>-0.54631285531290519</v>
      </c>
      <c r="P995" s="70">
        <f>STDEV($G$909:G995)*252^0.5</f>
        <v>0.49346586837038481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-1.1070934999355508</v>
      </c>
      <c r="X995" s="142">
        <f t="shared" si="194"/>
        <v>1.7857142857142857E-4</v>
      </c>
      <c r="Y995" s="139">
        <f t="shared" si="187"/>
        <v>6.3945320065467645E-2</v>
      </c>
      <c r="Z995" s="139">
        <f t="shared" si="188"/>
        <v>0</v>
      </c>
      <c r="AA995" s="139">
        <f t="shared" si="189"/>
        <v>0</v>
      </c>
      <c r="AB995" s="144">
        <f t="shared" si="190"/>
        <v>2.8270048347504266</v>
      </c>
      <c r="AC995" s="144">
        <f t="shared" si="191"/>
        <v>-7.8552134960679657E-2</v>
      </c>
      <c r="AD995" s="144">
        <f t="shared" si="192"/>
        <v>-5.3763220714873446E-2</v>
      </c>
      <c r="AE995" s="144">
        <f t="shared" si="193"/>
        <v>-3.9720557262720266E-2</v>
      </c>
    </row>
    <row r="996" spans="1:31">
      <c r="A996" s="88">
        <v>45415</v>
      </c>
      <c r="B996" s="78">
        <v>49014173.869999997</v>
      </c>
      <c r="D996" s="67">
        <f t="shared" si="170"/>
        <v>49014173.869999997</v>
      </c>
      <c r="E996" s="67">
        <f t="shared" si="195"/>
        <v>45196322.469999999</v>
      </c>
      <c r="F996" s="67">
        <f t="shared" si="171"/>
        <v>3235840.2299999967</v>
      </c>
      <c r="G996" s="70">
        <f t="shared" si="186"/>
        <v>7.0684971966139848E-2</v>
      </c>
      <c r="H996" s="70"/>
      <c r="I996" s="70"/>
      <c r="J996" s="67">
        <f t="shared" si="196"/>
        <v>3817851.3999999985</v>
      </c>
      <c r="K996" s="70">
        <f t="shared" si="197"/>
        <v>8.4472611738137804E-2</v>
      </c>
      <c r="L996" s="70">
        <f t="shared" si="177"/>
        <v>1.0706849719661398</v>
      </c>
      <c r="M996" s="70">
        <f>PRODUCT($L$2:L996)-1</f>
        <v>7.5584491041924107E-2</v>
      </c>
      <c r="N996" s="70">
        <f>PRODUCT($L$909:L996)-1</f>
        <v>-0.15005826243592302</v>
      </c>
      <c r="O996" s="70">
        <f>AVERAGE($G$909:G996)*252</f>
        <v>-0.33768869859949441</v>
      </c>
      <c r="P996" s="70">
        <f>STDEV($G$909:G996)*252^0.5</f>
        <v>0.5058739812673998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-0.66753521846183983</v>
      </c>
      <c r="X996" s="142">
        <f t="shared" si="194"/>
        <v>1.7857142857142857E-4</v>
      </c>
      <c r="Y996" s="139">
        <f t="shared" si="187"/>
        <v>7.0506400537568417E-2</v>
      </c>
      <c r="Z996" s="139">
        <f t="shared" si="188"/>
        <v>0</v>
      </c>
      <c r="AA996" s="139">
        <f t="shared" si="189"/>
        <v>0</v>
      </c>
      <c r="AB996" s="144">
        <f t="shared" si="190"/>
        <v>3.6706846698165965</v>
      </c>
      <c r="AC996" s="144">
        <f t="shared" si="191"/>
        <v>-7.9904052739164885E-2</v>
      </c>
      <c r="AD996" s="144">
        <f t="shared" si="192"/>
        <v>-5.4468708833735696E-2</v>
      </c>
      <c r="AE996" s="144">
        <f t="shared" si="193"/>
        <v>-3.9919206581560202E-2</v>
      </c>
    </row>
    <row r="997" spans="1:31">
      <c r="A997" s="88">
        <v>45418</v>
      </c>
      <c r="B997" s="78">
        <v>51602916.840000004</v>
      </c>
      <c r="D997" s="67">
        <f t="shared" si="170"/>
        <v>51602916.840000004</v>
      </c>
      <c r="E997" s="67">
        <f t="shared" si="195"/>
        <v>45196322.469999999</v>
      </c>
      <c r="F997" s="67">
        <f t="shared" si="171"/>
        <v>2588742.9700000063</v>
      </c>
      <c r="G997" s="70">
        <f t="shared" si="186"/>
        <v>5.2816211426231809E-2</v>
      </c>
      <c r="H997" s="70"/>
      <c r="I997" s="70"/>
      <c r="J997" s="67">
        <f t="shared" si="196"/>
        <v>6406594.3700000048</v>
      </c>
      <c r="K997" s="70">
        <f t="shared" si="197"/>
        <v>0.1417503464856571</v>
      </c>
      <c r="L997" s="70">
        <f t="shared" si="177"/>
        <v>1.0528162114262318</v>
      </c>
      <c r="M997" s="70">
        <f>PRODUCT($L$2:L997)-1</f>
        <v>0.13239278892757023</v>
      </c>
      <c r="N997" s="70">
        <f>PRODUCT($L$909:L997)-1</f>
        <v>-0.1051675599247599</v>
      </c>
      <c r="O997" s="70">
        <f>AVERAGE($G$909:G997)*252</f>
        <v>-0.18434741794769768</v>
      </c>
      <c r="P997" s="70">
        <f>STDEV($G$909:G997)*252^0.5</f>
        <v>0.51117983339203876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-0.36063124150345005</v>
      </c>
      <c r="X997" s="142">
        <f t="shared" si="194"/>
        <v>1.7857142857142857E-4</v>
      </c>
      <c r="Y997" s="139">
        <f t="shared" si="187"/>
        <v>5.2637639997660378E-2</v>
      </c>
      <c r="Z997" s="139">
        <f t="shared" si="188"/>
        <v>0</v>
      </c>
      <c r="AA997" s="139">
        <f t="shared" si="189"/>
        <v>0</v>
      </c>
      <c r="AB997" s="144">
        <f t="shared" si="190"/>
        <v>4.3933710547666598</v>
      </c>
      <c r="AC997" s="144">
        <f t="shared" si="191"/>
        <v>-7.9766050683019105E-2</v>
      </c>
      <c r="AD997" s="144">
        <f t="shared" si="192"/>
        <v>-5.4509748825463819E-2</v>
      </c>
      <c r="AE997" s="144">
        <f t="shared" si="193"/>
        <v>-4.0021896809877333E-2</v>
      </c>
    </row>
    <row r="998" spans="1:31">
      <c r="A998" s="88">
        <v>45419</v>
      </c>
      <c r="B998" s="78">
        <v>50913463.380000003</v>
      </c>
      <c r="D998" s="67">
        <f t="shared" si="170"/>
        <v>50913463.380000003</v>
      </c>
      <c r="E998" s="67">
        <f t="shared" si="195"/>
        <v>45196322.469999999</v>
      </c>
      <c r="F998" s="67">
        <f t="shared" si="171"/>
        <v>-689453.46000000089</v>
      </c>
      <c r="G998" s="70">
        <f t="shared" si="186"/>
        <v>-1.3360745907788898E-2</v>
      </c>
      <c r="H998" s="70"/>
      <c r="I998" s="70"/>
      <c r="J998" s="67">
        <f t="shared" si="196"/>
        <v>5717140.9100000039</v>
      </c>
      <c r="K998" s="70">
        <f t="shared" si="197"/>
        <v>0.12649571021613237</v>
      </c>
      <c r="L998" s="70">
        <f t="shared" si="177"/>
        <v>0.98663925409221109</v>
      </c>
      <c r="M998" s="70">
        <f>PRODUCT($L$2:L998)-1</f>
        <v>0.11726317660689656</v>
      </c>
      <c r="N998" s="70">
        <f>PRODUCT($L$909:L998)-1</f>
        <v>-0.11712318878665195</v>
      </c>
      <c r="O998" s="70">
        <f>AVERAGE($G$909:G998)*252</f>
        <v>-0.21970920184564327</v>
      </c>
      <c r="P998" s="70">
        <f>STDEV($G$909:G998)*252^0.5</f>
        <v>0.50873903346708516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-0.43187014833187204</v>
      </c>
      <c r="X998" s="142">
        <f t="shared" si="194"/>
        <v>1.7857142857142857E-4</v>
      </c>
      <c r="Y998" s="139">
        <f t="shared" si="187"/>
        <v>-1.3539317336360327E-2</v>
      </c>
      <c r="Z998" s="139">
        <f t="shared" si="188"/>
        <v>-1.3539317336360327E-2</v>
      </c>
      <c r="AA998" s="139">
        <f t="shared" si="189"/>
        <v>1.8331311393466731E-4</v>
      </c>
      <c r="AB998" s="144">
        <f t="shared" si="190"/>
        <v>4.0245470911833596</v>
      </c>
      <c r="AC998" s="144">
        <f t="shared" si="191"/>
        <v>-8.0144935060494582E-2</v>
      </c>
      <c r="AD998" s="144">
        <f t="shared" si="192"/>
        <v>-5.3585385469055613E-2</v>
      </c>
      <c r="AE998" s="144">
        <f t="shared" si="193"/>
        <v>-4.0092976179783746E-2</v>
      </c>
    </row>
    <row r="999" spans="1:31">
      <c r="A999" s="88">
        <v>45420</v>
      </c>
      <c r="B999" s="78">
        <v>50852301.509999998</v>
      </c>
      <c r="D999" s="67">
        <f t="shared" si="170"/>
        <v>50852301.509999998</v>
      </c>
      <c r="E999" s="67">
        <f t="shared" si="195"/>
        <v>45196322.469999999</v>
      </c>
      <c r="F999" s="67">
        <f t="shared" si="171"/>
        <v>-61161.870000004768</v>
      </c>
      <c r="G999" s="70">
        <f t="shared" si="186"/>
        <v>-1.2012906987590747E-3</v>
      </c>
      <c r="H999" s="70"/>
      <c r="I999" s="70"/>
      <c r="J999" s="67">
        <f t="shared" si="196"/>
        <v>5655979.0399999991</v>
      </c>
      <c r="K999" s="70">
        <f t="shared" si="197"/>
        <v>0.12514246139725782</v>
      </c>
      <c r="L999" s="70">
        <f t="shared" si="177"/>
        <v>0.99879870930124093</v>
      </c>
      <c r="M999" s="70">
        <f>PRODUCT($L$2:L999)-1</f>
        <v>0.11592101874477279</v>
      </c>
      <c r="N999" s="70">
        <f>PRODUCT($L$909:L999)-1</f>
        <v>-0.11818378048811262</v>
      </c>
      <c r="O999" s="70">
        <f>AVERAGE($G$909:G999)*252</f>
        <v>-0.22062146617796902</v>
      </c>
      <c r="P999" s="70">
        <f>STDEV($G$909:G999)*252^0.5</f>
        <v>0.5059051076893003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-0.43609258500205311</v>
      </c>
      <c r="X999" s="142">
        <f t="shared" si="194"/>
        <v>1.7857142857142857E-4</v>
      </c>
      <c r="Y999" s="139">
        <f t="shared" si="187"/>
        <v>-1.3798621273305033E-3</v>
      </c>
      <c r="Z999" s="139">
        <f t="shared" si="188"/>
        <v>-1.3798621273305033E-3</v>
      </c>
      <c r="AA999" s="139">
        <f t="shared" si="189"/>
        <v>1.904019490441062E-6</v>
      </c>
      <c r="AB999" s="144">
        <f t="shared" si="190"/>
        <v>3.7439414099952155</v>
      </c>
      <c r="AC999" s="144">
        <f t="shared" si="191"/>
        <v>-7.9829311317651655E-2</v>
      </c>
      <c r="AD999" s="144">
        <f t="shared" si="192"/>
        <v>-5.3595164783012746E-2</v>
      </c>
      <c r="AE999" s="144">
        <f t="shared" si="193"/>
        <v>-4.001483255660105E-2</v>
      </c>
    </row>
    <row r="1000" spans="1:31">
      <c r="A1000" s="88">
        <v>45421</v>
      </c>
      <c r="B1000" s="78">
        <v>51220956.68</v>
      </c>
      <c r="D1000" s="67">
        <f t="shared" si="170"/>
        <v>51220956.68</v>
      </c>
      <c r="E1000" s="67">
        <f t="shared" si="195"/>
        <v>45196322.469999999</v>
      </c>
      <c r="F1000" s="67">
        <f t="shared" si="171"/>
        <v>368655.17000000179</v>
      </c>
      <c r="G1000" s="70">
        <f t="shared" si="186"/>
        <v>7.249527731355611E-3</v>
      </c>
      <c r="H1000" s="70"/>
      <c r="I1000" s="70"/>
      <c r="J1000" s="67">
        <f t="shared" si="196"/>
        <v>6024634.2100000009</v>
      </c>
      <c r="K1000" s="70">
        <f t="shared" si="197"/>
        <v>0.13329921287288293</v>
      </c>
      <c r="L1000" s="70">
        <f t="shared" si="177"/>
        <v>1.0072495277313556</v>
      </c>
      <c r="M1000" s="70">
        <f>PRODUCT($L$2:L1000)-1</f>
        <v>0.12401091911616557</v>
      </c>
      <c r="N1000" s="70">
        <f>PRODUCT($L$909:L1000)-1</f>
        <v>-0.1117910293508021</v>
      </c>
      <c r="O1000" s="70">
        <f>AVERAGE($G$909:G1000)*252</f>
        <v>-0.19836600471623445</v>
      </c>
      <c r="P1000" s="70">
        <f>STDEV($G$909:G1000)*252^0.5</f>
        <v>0.50329740372532272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-0.3941327796407505</v>
      </c>
      <c r="X1000" s="142">
        <f t="shared" si="194"/>
        <v>1.7857142857142857E-4</v>
      </c>
      <c r="Y1000" s="139">
        <f t="shared" si="187"/>
        <v>7.070956302784182E-3</v>
      </c>
      <c r="Z1000" s="139">
        <f t="shared" si="188"/>
        <v>0</v>
      </c>
      <c r="AA1000" s="139">
        <f t="shared" si="189"/>
        <v>0</v>
      </c>
      <c r="AB1000" s="144">
        <f t="shared" si="190"/>
        <v>3.9087813780453144</v>
      </c>
      <c r="AC1000" s="144">
        <f t="shared" si="191"/>
        <v>-7.9913438873892823E-2</v>
      </c>
      <c r="AD1000" s="144">
        <f t="shared" si="192"/>
        <v>-5.1679060460990238E-2</v>
      </c>
      <c r="AE1000" s="144">
        <f t="shared" si="193"/>
        <v>-4.0018981020988623E-2</v>
      </c>
    </row>
    <row r="1001" spans="1:31">
      <c r="A1001" s="88">
        <v>45422</v>
      </c>
      <c r="B1001" s="78">
        <v>52543620.479999997</v>
      </c>
      <c r="D1001" s="67">
        <f t="shared" si="170"/>
        <v>52543620.479999997</v>
      </c>
      <c r="E1001" s="67">
        <f t="shared" si="195"/>
        <v>45196322.469999999</v>
      </c>
      <c r="F1001" s="67">
        <f t="shared" si="171"/>
        <v>1322663.799999997</v>
      </c>
      <c r="G1001" s="70">
        <f t="shared" si="186"/>
        <v>2.5822707847166219E-2</v>
      </c>
      <c r="H1001" s="70"/>
      <c r="I1001" s="70"/>
      <c r="J1001" s="67">
        <f t="shared" si="196"/>
        <v>7347298.0099999979</v>
      </c>
      <c r="K1001" s="70">
        <f t="shared" si="197"/>
        <v>0.16256406735032281</v>
      </c>
      <c r="L1001" s="70">
        <f t="shared" si="177"/>
        <v>1.0258227078471662</v>
      </c>
      <c r="M1001" s="70">
        <f>PRODUCT($L$2:L1001)-1</f>
        <v>0.15303592469752703</v>
      </c>
      <c r="N1001" s="70">
        <f>PRODUCT($L$909:L1001)-1</f>
        <v>-8.8855068594495656E-2</v>
      </c>
      <c r="O1001" s="70">
        <f>AVERAGE($G$909:G1001)*252</f>
        <v>-0.12626182856352344</v>
      </c>
      <c r="P1001" s="70">
        <f>STDEV($G$909:G1001)*252^0.5</f>
        <v>0.50246752018889207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-0.25128356259934564</v>
      </c>
      <c r="X1001" s="142">
        <f t="shared" si="194"/>
        <v>1.7857142857142857E-4</v>
      </c>
      <c r="Y1001" s="139">
        <f t="shared" si="187"/>
        <v>2.5644136418594792E-2</v>
      </c>
      <c r="Z1001" s="139">
        <f t="shared" si="188"/>
        <v>0</v>
      </c>
      <c r="AA1001" s="139">
        <f t="shared" si="189"/>
        <v>0</v>
      </c>
      <c r="AB1001" s="144">
        <f t="shared" si="190"/>
        <v>4.288702074333048</v>
      </c>
      <c r="AC1001" s="144">
        <f t="shared" si="191"/>
        <v>-7.9658353646636398E-2</v>
      </c>
      <c r="AD1001" s="144">
        <f t="shared" si="192"/>
        <v>-4.9831764356039684E-2</v>
      </c>
      <c r="AE1001" s="144">
        <f t="shared" si="193"/>
        <v>-4.0025772308014629E-2</v>
      </c>
    </row>
    <row r="1002" spans="1:31">
      <c r="A1002" s="88">
        <v>45425</v>
      </c>
      <c r="B1002" s="78">
        <v>52296576.380000003</v>
      </c>
      <c r="D1002" s="67">
        <f t="shared" si="170"/>
        <v>52296576.380000003</v>
      </c>
      <c r="E1002" s="67">
        <f t="shared" si="195"/>
        <v>45196322.469999999</v>
      </c>
      <c r="F1002" s="67">
        <f t="shared" si="171"/>
        <v>-247044.09999999404</v>
      </c>
      <c r="G1002" s="70">
        <f t="shared" si="186"/>
        <v>-4.7016954245478375E-3</v>
      </c>
      <c r="H1002" s="70"/>
      <c r="I1002" s="70"/>
      <c r="J1002" s="67">
        <f t="shared" si="196"/>
        <v>7100253.9100000039</v>
      </c>
      <c r="K1002" s="70">
        <f t="shared" si="197"/>
        <v>0.15709804519411819</v>
      </c>
      <c r="L1002" s="70">
        <f t="shared" si="177"/>
        <v>0.99529830457545221</v>
      </c>
      <c r="M1002" s="70">
        <f>PRODUCT($L$2:L1002)-1</f>
        <v>0.14761470096603735</v>
      </c>
      <c r="N1002" s="70">
        <f>PRODUCT($L$909:L1002)-1</f>
        <v>-9.3138994549584853E-2</v>
      </c>
      <c r="O1002" s="70">
        <f>AVERAGE($G$909:G1002)*252</f>
        <v>-0.13752316280206101</v>
      </c>
      <c r="P1002" s="70">
        <f>STDEV($G$909:G1002)*252^0.5</f>
        <v>0.49980610625840627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-0.27515302650376133</v>
      </c>
      <c r="X1002" s="142">
        <f t="shared" si="194"/>
        <v>1.7857142857142857E-4</v>
      </c>
      <c r="Y1002" s="139">
        <f t="shared" si="187"/>
        <v>-4.8802668531192665E-3</v>
      </c>
      <c r="Z1002" s="139">
        <f t="shared" si="188"/>
        <v>-4.8802668531192665E-3</v>
      </c>
      <c r="AA1002" s="139">
        <f t="shared" si="189"/>
        <v>2.3817004557654627E-5</v>
      </c>
      <c r="AB1002" s="144">
        <f t="shared" si="190"/>
        <v>4.6256182426353742</v>
      </c>
      <c r="AC1002" s="144">
        <f t="shared" si="191"/>
        <v>-7.9653935523654587E-2</v>
      </c>
      <c r="AD1002" s="144">
        <f t="shared" si="192"/>
        <v>-4.9768562766965535E-2</v>
      </c>
      <c r="AE1002" s="144">
        <f t="shared" si="193"/>
        <v>-3.9993164515149206E-2</v>
      </c>
    </row>
    <row r="1003" spans="1:31">
      <c r="A1003" s="88">
        <v>45426</v>
      </c>
      <c r="B1003" s="78">
        <v>53525324.399999999</v>
      </c>
      <c r="D1003" s="67">
        <f t="shared" ref="D1003:D1066" si="198">B1003</f>
        <v>53525324.399999999</v>
      </c>
      <c r="E1003" s="67">
        <f t="shared" si="195"/>
        <v>45196322.469999999</v>
      </c>
      <c r="F1003" s="67">
        <f t="shared" si="171"/>
        <v>1228748.0199999958</v>
      </c>
      <c r="G1003" s="70">
        <f t="shared" si="186"/>
        <v>2.3495764064393153E-2</v>
      </c>
      <c r="H1003" s="70"/>
      <c r="I1003" s="70"/>
      <c r="J1003" s="67">
        <f t="shared" si="196"/>
        <v>8329001.9299999997</v>
      </c>
      <c r="K1003" s="70">
        <f t="shared" si="197"/>
        <v>0.18428494786336969</v>
      </c>
      <c r="L1003" s="70">
        <f t="shared" si="177"/>
        <v>1.0234957640643931</v>
      </c>
      <c r="M1003" s="70">
        <f>PRODUCT($L$2:L1003)-1</f>
        <v>0.1745787852167644</v>
      </c>
      <c r="N1003" s="70">
        <f>PRODUCT($L$909:L1003)-1</f>
        <v>-7.1831602326323574E-2</v>
      </c>
      <c r="O1003" s="70">
        <f>AVERAGE($G$909:G1003)*252</f>
        <v>-7.3749944833333275E-2</v>
      </c>
      <c r="P1003" s="70">
        <f>STDEV($G$909:G1003)*252^0.5</f>
        <v>0.49868009276895664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-0.14789029259987393</v>
      </c>
      <c r="X1003" s="142">
        <f t="shared" si="194"/>
        <v>1.7857142857142857E-4</v>
      </c>
      <c r="Y1003" s="139">
        <f t="shared" si="187"/>
        <v>2.3317192635821726E-2</v>
      </c>
      <c r="Z1003" s="139">
        <f t="shared" si="188"/>
        <v>0</v>
      </c>
      <c r="AA1003" s="139">
        <f t="shared" si="189"/>
        <v>0</v>
      </c>
      <c r="AB1003" s="144">
        <f t="shared" si="190"/>
        <v>5.1007718225875376</v>
      </c>
      <c r="AC1003" s="144">
        <f t="shared" si="191"/>
        <v>-7.8359000298952555E-2</v>
      </c>
      <c r="AD1003" s="144">
        <f t="shared" si="192"/>
        <v>-4.9667452426845872E-2</v>
      </c>
      <c r="AE1003" s="144">
        <f t="shared" si="193"/>
        <v>-3.9715253581533827E-2</v>
      </c>
    </row>
    <row r="1004" spans="1:31">
      <c r="A1004" s="88">
        <v>45427</v>
      </c>
      <c r="B1004" s="78">
        <v>56275447.950000003</v>
      </c>
      <c r="D1004" s="67">
        <f t="shared" si="198"/>
        <v>56275447.950000003</v>
      </c>
      <c r="E1004" s="67">
        <f t="shared" si="195"/>
        <v>45196322.469999999</v>
      </c>
      <c r="F1004" s="67">
        <f t="shared" si="171"/>
        <v>2750123.5500000045</v>
      </c>
      <c r="G1004" s="70">
        <f t="shared" si="186"/>
        <v>5.1379857680974736E-2</v>
      </c>
      <c r="H1004" s="70"/>
      <c r="I1004" s="70"/>
      <c r="J1004" s="67">
        <f t="shared" si="196"/>
        <v>11079125.480000004</v>
      </c>
      <c r="K1004" s="70">
        <f t="shared" si="197"/>
        <v>0.24513333993831021</v>
      </c>
      <c r="L1004" s="70">
        <f t="shared" si="177"/>
        <v>1.0513798576809747</v>
      </c>
      <c r="M1004" s="70">
        <f>PRODUCT($L$2:L1004)-1</f>
        <v>0.23492847603629397</v>
      </c>
      <c r="N1004" s="70">
        <f>PRODUCT($L$909:L1004)-1</f>
        <v>-2.4142442149871712E-2</v>
      </c>
      <c r="O1004" s="70">
        <f>AVERAGE($G$909:G1004)*252</f>
        <v>6.1890410171239293E-2</v>
      </c>
      <c r="P1004" s="70">
        <f>STDEV($G$909:G1004)*252^0.5</f>
        <v>0.50306362404653238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0.12302700337068012</v>
      </c>
      <c r="X1004" s="142">
        <f t="shared" si="194"/>
        <v>1.7857142857142857E-4</v>
      </c>
      <c r="Y1004" s="139">
        <f t="shared" si="187"/>
        <v>5.1201286252403305E-2</v>
      </c>
      <c r="Z1004" s="139">
        <f t="shared" si="188"/>
        <v>0</v>
      </c>
      <c r="AA1004" s="139">
        <f t="shared" si="189"/>
        <v>0</v>
      </c>
      <c r="AB1004" s="144">
        <f t="shared" si="190"/>
        <v>5.3161668378987033</v>
      </c>
      <c r="AC1004" s="144">
        <f t="shared" si="191"/>
        <v>-7.845177426916991E-2</v>
      </c>
      <c r="AD1004" s="144">
        <f t="shared" si="192"/>
        <v>-4.9938724334250721E-2</v>
      </c>
      <c r="AE1004" s="144">
        <f t="shared" si="193"/>
        <v>-3.9702483234511157E-2</v>
      </c>
    </row>
    <row r="1005" spans="1:31">
      <c r="A1005" s="88">
        <v>45428</v>
      </c>
      <c r="B1005" s="78">
        <f>55642300.7</f>
        <v>55642300.700000003</v>
      </c>
      <c r="D1005" s="67">
        <f t="shared" si="198"/>
        <v>55642300.700000003</v>
      </c>
      <c r="E1005" s="67">
        <f t="shared" si="195"/>
        <v>45196322.469999999</v>
      </c>
      <c r="F1005" s="67">
        <f t="shared" si="171"/>
        <v>-633147.25</v>
      </c>
      <c r="G1005" s="70">
        <f t="shared" si="186"/>
        <v>-1.1250861131528319E-2</v>
      </c>
      <c r="H1005" s="70"/>
      <c r="I1005" s="70"/>
      <c r="J1005" s="67">
        <f t="shared" si="196"/>
        <v>10445978.230000004</v>
      </c>
      <c r="K1005" s="70">
        <f t="shared" si="197"/>
        <v>0.23112451764042818</v>
      </c>
      <c r="L1005" s="70">
        <f t="shared" si="177"/>
        <v>0.98874913886847171</v>
      </c>
      <c r="M1005" s="70">
        <f>PRODUCT($L$2:L1005)-1</f>
        <v>0.22103446724503972</v>
      </c>
      <c r="N1005" s="70">
        <f>PRODUCT($L$909:L1005)-1</f>
        <v>-3.5121680017395795E-2</v>
      </c>
      <c r="O1005" s="70">
        <f>AVERAGE($G$909:G1005)*252</f>
        <v>3.2023323415400366E-2</v>
      </c>
      <c r="P1005" s="70">
        <f>STDEV($G$909:G1005)*252^0.5</f>
        <v>0.50077959059989607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6.3946941961110768E-2</v>
      </c>
      <c r="X1005" s="142">
        <f t="shared" si="194"/>
        <v>1.7857142857142857E-4</v>
      </c>
      <c r="Y1005" s="139">
        <f t="shared" si="187"/>
        <v>-1.1429432560099748E-2</v>
      </c>
      <c r="Z1005" s="139">
        <f t="shared" si="188"/>
        <v>-1.1429432560099748E-2</v>
      </c>
      <c r="AA1005" s="139">
        <f t="shared" si="189"/>
        <v>1.3063192864586827E-4</v>
      </c>
      <c r="AB1005" s="144">
        <f t="shared" si="190"/>
        <v>4.6688779189008063</v>
      </c>
      <c r="AC1005" s="144">
        <f t="shared" si="191"/>
        <v>-7.4798631978956406E-2</v>
      </c>
      <c r="AD1005" s="144">
        <f t="shared" si="192"/>
        <v>-4.9939509137784867E-2</v>
      </c>
      <c r="AE1005" s="144">
        <f t="shared" si="193"/>
        <v>-3.960053215781667E-2</v>
      </c>
    </row>
    <row r="1006" spans="1:31">
      <c r="A1006" s="88">
        <v>45429</v>
      </c>
      <c r="B1006" s="78">
        <v>55873372.060000002</v>
      </c>
      <c r="D1006" s="67">
        <f t="shared" si="198"/>
        <v>55873372.060000002</v>
      </c>
      <c r="E1006" s="67">
        <f t="shared" si="195"/>
        <v>45196322.469999999</v>
      </c>
      <c r="F1006" s="67">
        <f t="shared" si="171"/>
        <v>231071.3599999994</v>
      </c>
      <c r="G1006" s="70">
        <f t="shared" si="186"/>
        <v>4.1528002453715832E-3</v>
      </c>
      <c r="H1006" s="70"/>
      <c r="I1006" s="70"/>
      <c r="J1006" s="67">
        <f t="shared" si="196"/>
        <v>10677049.590000004</v>
      </c>
      <c r="K1006" s="70">
        <f t="shared" si="197"/>
        <v>0.23623713183936834</v>
      </c>
      <c r="L1006" s="70">
        <f t="shared" si="177"/>
        <v>1.0041528002453717</v>
      </c>
      <c r="M1006" s="70">
        <f>PRODUCT($L$2:L1006)-1</f>
        <v>0.22610517948022224</v>
      </c>
      <c r="N1006" s="70">
        <f>PRODUCT($L$909:L1006)-1</f>
        <v>-3.1114733093418168E-2</v>
      </c>
      <c r="O1006" s="70">
        <f>AVERAGE($G$909:G1006)*252</f>
        <v>4.2375184011504842E-2</v>
      </c>
      <c r="P1006" s="70">
        <f>STDEV($G$909:G1006)*252^0.5</f>
        <v>0.49823338830395464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8.5050871752603688E-2</v>
      </c>
      <c r="X1006" s="142">
        <f t="shared" si="194"/>
        <v>1.7857142857142857E-4</v>
      </c>
      <c r="Y1006" s="139">
        <f t="shared" si="187"/>
        <v>3.9742288168001542E-3</v>
      </c>
      <c r="Z1006" s="139">
        <f t="shared" si="188"/>
        <v>0</v>
      </c>
      <c r="AA1006" s="139">
        <f t="shared" si="189"/>
        <v>0</v>
      </c>
      <c r="AB1006" s="144">
        <f t="shared" si="190"/>
        <v>4.6978190697192126</v>
      </c>
      <c r="AC1006" s="144">
        <f t="shared" si="191"/>
        <v>-7.5194635220387884E-2</v>
      </c>
      <c r="AD1006" s="144">
        <f t="shared" si="192"/>
        <v>-4.9953393334478499E-2</v>
      </c>
      <c r="AE1006" s="144">
        <f t="shared" si="193"/>
        <v>-3.9475850379854342E-2</v>
      </c>
    </row>
    <row r="1007" spans="1:31">
      <c r="A1007" s="88">
        <v>45432</v>
      </c>
      <c r="B1007" s="78">
        <v>56786088.689999998</v>
      </c>
      <c r="D1007" s="67">
        <f t="shared" si="198"/>
        <v>56786088.689999998</v>
      </c>
      <c r="E1007" s="67">
        <f t="shared" si="195"/>
        <v>45196322.469999999</v>
      </c>
      <c r="F1007" s="67">
        <f t="shared" si="171"/>
        <v>912716.62999999523</v>
      </c>
      <c r="G1007" s="70">
        <f t="shared" si="186"/>
        <v>1.6335449183555062E-2</v>
      </c>
      <c r="H1007" s="70"/>
      <c r="I1007" s="70"/>
      <c r="J1007" s="67">
        <f t="shared" si="196"/>
        <v>11589766.219999999</v>
      </c>
      <c r="K1007" s="70">
        <f t="shared" si="197"/>
        <v>0.25643162068535408</v>
      </c>
      <c r="L1007" s="70">
        <f t="shared" si="177"/>
        <v>1.016335449183555</v>
      </c>
      <c r="M1007" s="70">
        <f>PRODUCT($L$2:L1007)-1</f>
        <v>0.24613415833331498</v>
      </c>
      <c r="N1007" s="70">
        <f>PRODUCT($L$909:L1007)-1</f>
        <v>-1.5287557051170575E-2</v>
      </c>
      <c r="O1007" s="70">
        <f>AVERAGE($G$909:G1007)*252</f>
        <v>8.3528295226094451E-2</v>
      </c>
      <c r="P1007" s="70">
        <f>STDEV($G$909:G1007)*252^0.5</f>
        <v>0.49635553593353626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0.16828319456334054</v>
      </c>
      <c r="X1007" s="142">
        <f t="shared" si="194"/>
        <v>1.7857142857142857E-4</v>
      </c>
      <c r="Y1007" s="139">
        <f t="shared" si="187"/>
        <v>1.6156877754983635E-2</v>
      </c>
      <c r="Z1007" s="139">
        <f t="shared" si="188"/>
        <v>0</v>
      </c>
      <c r="AA1007" s="139">
        <f t="shared" si="189"/>
        <v>0</v>
      </c>
      <c r="AB1007" s="144">
        <f t="shared" si="190"/>
        <v>4.6869659060319186</v>
      </c>
      <c r="AC1007" s="144">
        <f t="shared" si="191"/>
        <v>-7.4854379040152672E-2</v>
      </c>
      <c r="AD1007" s="144">
        <f t="shared" si="192"/>
        <v>-4.9723696775213412E-2</v>
      </c>
      <c r="AE1007" s="144">
        <f t="shared" si="193"/>
        <v>-3.9475718732057768E-2</v>
      </c>
    </row>
    <row r="1008" spans="1:31">
      <c r="A1008" s="88">
        <v>45433</v>
      </c>
      <c r="B1008" s="78">
        <v>56786088.689999998</v>
      </c>
      <c r="D1008" s="67">
        <f t="shared" si="198"/>
        <v>56786088.689999998</v>
      </c>
      <c r="E1008" s="67">
        <f t="shared" si="195"/>
        <v>45196322.469999999</v>
      </c>
      <c r="F1008" s="67">
        <f t="shared" si="171"/>
        <v>0</v>
      </c>
      <c r="G1008" s="70">
        <f t="shared" si="186"/>
        <v>0</v>
      </c>
      <c r="H1008" s="70"/>
      <c r="I1008" s="70"/>
      <c r="J1008" s="67">
        <f t="shared" si="196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0.24613415833331498</v>
      </c>
      <c r="N1008" s="70">
        <f>PRODUCT($L$909:L1008)-1</f>
        <v>-1.5287557051170575E-2</v>
      </c>
      <c r="O1008" s="70">
        <f>AVERAGE($G$909:G1008)*252</f>
        <v>8.2693012273833508E-2</v>
      </c>
      <c r="P1008" s="70">
        <f>STDEV($G$909:G1008)*252^0.5</f>
        <v>0.49384260751405729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0.16744811204140511</v>
      </c>
      <c r="X1008" s="142">
        <f t="shared" si="194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4.7747697276641343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-4.965368951064085E-2</v>
      </c>
      <c r="AE1008" s="144">
        <f>AVERAGE(G644:G1008)-_xlfn.NORM.S.INV(0.95)*_xlfn.STDEV.S(G644:G1008)</f>
        <v>-3.9337195431772005E-2</v>
      </c>
    </row>
    <row r="1009" spans="1:31">
      <c r="A1009" s="88">
        <v>45434</v>
      </c>
      <c r="B1009" s="78">
        <v>55307218.119999997</v>
      </c>
      <c r="D1009" s="67">
        <f t="shared" si="198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 t="shared" si="186"/>
        <v>-9.9699407559250414E-3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0.22391192087465517</v>
      </c>
      <c r="L1009" s="70">
        <f t="shared" si="177"/>
        <v>0.99003005924407494</v>
      </c>
      <c r="M1009" s="70">
        <f>PRODUCT($L$2:L1009)-1</f>
        <v>0.2337102746007973</v>
      </c>
      <c r="N1009" s="70">
        <f>PRODUCT($L$909:L1009)-1</f>
        <v>-2.5105081768992621E-2</v>
      </c>
      <c r="O1009" s="70">
        <f>AVERAGE($G$909:G1009)*252</f>
        <v>5.6998773830596434E-2</v>
      </c>
      <c r="P1009" s="70">
        <f>STDEV($G$909:G1009)*252^0.5</f>
        <v>0.4916363669475598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0.11593685427399675</v>
      </c>
      <c r="X1009" s="142">
        <f t="shared" si="194"/>
        <v>1.7857142857142857E-4</v>
      </c>
      <c r="Y1009" s="139">
        <f t="shared" si="187"/>
        <v>-1.014851218449647E-2</v>
      </c>
      <c r="Z1009" s="139">
        <f t="shared" si="188"/>
        <v>-1.014851218449647E-2</v>
      </c>
      <c r="AA1009" s="139">
        <f t="shared" si="189"/>
        <v>1.0299229955887332E-4</v>
      </c>
      <c r="AB1009" s="144">
        <f>AVERAGE(Y757:Y1009)/AVERAGE(AA757:AA1009)</f>
        <v>4.6515638802307482</v>
      </c>
      <c r="AC1009" s="144">
        <f>AVERAGE(G979:G1009)-_xlfn.NORM.S.INV(0.95)*_xlfn.STDEV.S(G979:G1009)</f>
        <v>-7.4175343991999168E-2</v>
      </c>
      <c r="AD1009" s="144">
        <f>AVERAGE(G919:G1009)-_xlfn.NORM.S.INV(0.95)*_xlfn.STDEV.S(G919:G1009)</f>
        <v>-4.9535622540151439E-2</v>
      </c>
      <c r="AE1009" s="144">
        <f>AVERAGE(G644:G1009)-_xlfn.NORM.S.INV(0.95)*_xlfn.STDEV.S(G644:G1009)</f>
        <v>-3.9325574896613029E-2</v>
      </c>
    </row>
    <row r="1010" spans="1:31">
      <c r="A1010" s="88">
        <v>45435</v>
      </c>
      <c r="B1010" s="78">
        <v>54702574.68</v>
      </c>
      <c r="D1010" s="67">
        <f t="shared" si="198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 t="shared" si="186"/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0.21053156403788531</v>
      </c>
      <c r="L1010" s="70">
        <f t="shared" si="177"/>
        <v>0.9890675492177512</v>
      </c>
      <c r="M1010" s="70">
        <f>PRODUCT($L$2:L1010)-1</f>
        <v>0.22022279774416953</v>
      </c>
      <c r="N1010" s="70">
        <f>PRODUCT($L$909:L1010)-1</f>
        <v>-3.5763072480417546E-2</v>
      </c>
      <c r="O1010" s="70">
        <f>AVERAGE($G$909:G1010)*252</f>
        <v>2.9430378036897534E-2</v>
      </c>
      <c r="P1010" s="70">
        <f>STDEV($G$909:G1010)*252^0.5</f>
        <v>0.48951078757824978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6.0122021380770899E-2</v>
      </c>
      <c r="X1010" s="142">
        <f t="shared" si="194"/>
        <v>1.7857142857142857E-4</v>
      </c>
      <c r="Y1010" s="139">
        <f t="shared" si="187"/>
        <v>-1.1111022210820205E-2</v>
      </c>
      <c r="Z1010" s="139">
        <f t="shared" si="188"/>
        <v>-1.1111022210820205E-2</v>
      </c>
      <c r="AA1010" s="139">
        <f t="shared" si="189"/>
        <v>1.234548145693399E-4</v>
      </c>
      <c r="AB1010" s="144">
        <f>AVERAGE(Y758:Y1010)/AVERAGE(AA758:AA1010)</f>
        <v>4.2486571402772872</v>
      </c>
      <c r="AC1010" s="144">
        <f>AVERAGE(G980:G1010)-_xlfn.NORM.S.INV(0.95)*_xlfn.STDEV.S(G980:G1010)</f>
        <v>-7.1554623900783376E-2</v>
      </c>
      <c r="AD1010" s="144">
        <f>AVERAGE(G920:G1010)-_xlfn.NORM.S.INV(0.95)*_xlfn.STDEV.S(G920:G1010)</f>
        <v>-4.9693830280864229E-2</v>
      </c>
      <c r="AE1010" s="144">
        <f>AVERAGE(G645:G1010)-_xlfn.NORM.S.INV(0.95)*_xlfn.STDEV.S(G645:G1010)</f>
        <v>-3.9334639421192079E-2</v>
      </c>
    </row>
    <row r="1011" spans="1:31">
      <c r="A1011" s="88">
        <v>45436</v>
      </c>
      <c r="B1011" s="78">
        <v>56086654.789999999</v>
      </c>
      <c r="D1011" s="67">
        <f t="shared" si="198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 t="shared" si="186"/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0.24116033553745786</v>
      </c>
      <c r="L1011" s="70">
        <f t="shared" si="177"/>
        <v>1.0253019189333703</v>
      </c>
      <c r="M1011" s="70">
        <f>PRODUCT($L$2:L1011)-1</f>
        <v>0.25109677605334291</v>
      </c>
      <c r="N1011" s="70">
        <f>PRODUCT($L$909:L1011)-1</f>
        <v>-1.1366027907754983E-2</v>
      </c>
      <c r="O1011" s="70">
        <f>AVERAGE($G$909:G1011)*252</f>
        <v>9.1048370203620235E-2</v>
      </c>
      <c r="P1011" s="70">
        <f>STDEV($G$909:G1011)*252^0.5</f>
        <v>0.48869565658564496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0.18630894090556299</v>
      </c>
      <c r="X1011" s="142">
        <f t="shared" si="194"/>
        <v>1.7857142857142857E-4</v>
      </c>
      <c r="Y1011" s="139">
        <f t="shared" si="187"/>
        <v>2.5123347504798957E-2</v>
      </c>
      <c r="Z1011" s="139">
        <f t="shared" si="188"/>
        <v>0</v>
      </c>
      <c r="AA1011" s="139">
        <f t="shared" si="189"/>
        <v>0</v>
      </c>
      <c r="AB1011" s="144">
        <f>AVERAGE(Y759:Y1011)/AVERAGE(AA759:AA1011)</f>
        <v>4.4049591712792964</v>
      </c>
      <c r="AC1011" s="144">
        <f>AVERAGE(G981:G1011)-_xlfn.NORM.S.INV(0.95)*_xlfn.STDEV.S(G981:G1011)</f>
        <v>-7.1017579052944799E-2</v>
      </c>
      <c r="AD1011" s="144">
        <f>AVERAGE(G921:G1011)-_xlfn.NORM.S.INV(0.95)*_xlfn.STDEV.S(G921:G1011)</f>
        <v>-4.9206090297795463E-2</v>
      </c>
      <c r="AE1011" s="144">
        <f>AVERAGE(G646:G1011)-_xlfn.NORM.S.INV(0.95)*_xlfn.STDEV.S(G646:G1011)</f>
        <v>-3.9309771381741639E-2</v>
      </c>
    </row>
    <row r="1012" spans="1:31">
      <c r="A1012" s="88">
        <v>45439</v>
      </c>
      <c r="B1012" s="78">
        <v>56086654.789999999</v>
      </c>
      <c r="D1012" s="67">
        <f t="shared" si="198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 t="shared" si="186"/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0.24116033553745786</v>
      </c>
      <c r="L1012" s="70">
        <f>1+G1012</f>
        <v>1</v>
      </c>
      <c r="M1012" s="70">
        <f>PRODUCT($L$2:L1012)-1</f>
        <v>0.25109677605334291</v>
      </c>
      <c r="N1012" s="70">
        <f>PRODUCT($L$909:L1012)-1</f>
        <v>-1.1366027907754983E-2</v>
      </c>
      <c r="O1012" s="70">
        <f>AVERAGE($G$909:G1012)*252</f>
        <v>9.0172905105508516E-2</v>
      </c>
      <c r="P1012" s="70">
        <f>STDEV($G$909:G1012)*252^0.5</f>
        <v>0.486317886626499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0.1854196762759889</v>
      </c>
      <c r="X1012" s="142">
        <f t="shared" si="194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4.3904228672051415</v>
      </c>
      <c r="AC1012" s="144">
        <f>AVERAGE(G982:G1012)-_xlfn.NORM.S.INV(0.95)*_xlfn.STDEV.S(G982:G1012)</f>
        <v>-6.2216744527674658E-2</v>
      </c>
      <c r="AD1012" s="144">
        <f>AVERAGE(G922:G1012)-_xlfn.NORM.S.INV(0.95)*_xlfn.STDEV.S(G922:G1012)</f>
        <v>-4.9009596740936114E-2</v>
      </c>
      <c r="AE1012" s="144">
        <f>AVERAGE(G647:G1012)-_xlfn.NORM.S.INV(0.95)*_xlfn.STDEV.S(G647:G1012)</f>
        <v>-3.9143480588533078E-2</v>
      </c>
    </row>
    <row r="1013" spans="1:31">
      <c r="A1013" s="88">
        <v>45440</v>
      </c>
      <c r="B1013" s="78">
        <v>57578540.920000002</v>
      </c>
      <c r="D1013" s="67">
        <f t="shared" si="198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 t="shared" si="186"/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0.27417478249685523</v>
      </c>
      <c r="L1013" s="70">
        <f t="shared" si="177"/>
        <v>1.0265996632458458</v>
      </c>
      <c r="M1013" s="70">
        <f>PRODUCT($L$2:L1013)-1</f>
        <v>0.28437552898432528</v>
      </c>
      <c r="N1013" s="70">
        <f>PRODUCT($L$909:L1013)-1</f>
        <v>1.4931302823301795E-2</v>
      </c>
      <c r="O1013" s="70">
        <f>AVERAGE($G$909:G1013)*252</f>
        <v>0.15315330732310495</v>
      </c>
      <c r="P1013" s="70">
        <f>STDEV($G$909:G1013)*252^0.5</f>
        <v>0.48567861879614727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0.31533878864737019</v>
      </c>
      <c r="X1013" s="142">
        <f t="shared" si="194"/>
        <v>1.7857142857142857E-4</v>
      </c>
      <c r="Y1013" s="139">
        <f t="shared" si="187"/>
        <v>2.6421091817274346E-2</v>
      </c>
      <c r="Z1013" s="139">
        <f t="shared" si="188"/>
        <v>0</v>
      </c>
      <c r="AA1013" s="139">
        <f t="shared" si="189"/>
        <v>0</v>
      </c>
      <c r="AB1013" s="144">
        <f t="shared" ref="AB1013:AB1023" si="207">AVERAGE(Y760:Y1013)/AVERAGE(AA760:AA1013)</f>
        <v>4.6959210383202459</v>
      </c>
      <c r="AC1013" s="144">
        <f t="shared" ref="AC1013:AC1023" si="208">AVERAGE(G982:G1013)-_xlfn.NORM.S.INV(0.95)*_xlfn.STDEV.S(G982:G1013)</f>
        <v>-6.0735970389824576E-2</v>
      </c>
      <c r="AD1013" s="144">
        <f t="shared" ref="AD1013:AD1023" si="209">AVERAGE(G922:G1013)-_xlfn.NORM.S.INV(0.95)*_xlfn.STDEV.S(G922:G1013)</f>
        <v>-4.8634892811805247E-2</v>
      </c>
      <c r="AE1013" s="144">
        <f t="shared" ref="AE1013:AE1023" si="210">AVERAGE(G647:G1013)-_xlfn.NORM.S.INV(0.95)*_xlfn.STDEV.S(G647:G1013)</f>
        <v>-3.9074621541632333E-2</v>
      </c>
    </row>
    <row r="1014" spans="1:31">
      <c r="A1014" s="88">
        <v>45441</v>
      </c>
      <c r="B1014" s="78">
        <v>56010419.289999999</v>
      </c>
      <c r="D1014" s="67">
        <f t="shared" si="198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si="186"/>
        <v>-2.723448015431237E-2</v>
      </c>
      <c r="H1014" s="70"/>
      <c r="I1014" s="70"/>
      <c r="J1014" s="67">
        <f t="shared" ref="J1014:J1045" si="213">IF(MONTH(A1014)=MONTH(A1013),J1013+F1014,F1014)</f>
        <v>10814096.82</v>
      </c>
      <c r="K1014" s="70">
        <f t="shared" si="203"/>
        <v>0.23947329466981926</v>
      </c>
      <c r="L1014" s="70">
        <f t="shared" si="177"/>
        <v>0.9727655198456876</v>
      </c>
      <c r="M1014" s="70">
        <f>PRODUCT($L$2:L1014)-1</f>
        <v>0.24939622912951709</v>
      </c>
      <c r="N1014" s="70">
        <f>PRODUCT($L$909:L1014)-1</f>
        <v>-1.2709823601429804E-2</v>
      </c>
      <c r="O1014" s="70">
        <f>AVERAGE($G$909:G1014)*252</f>
        <v>8.6962342170182075E-2</v>
      </c>
      <c r="P1014" s="70">
        <f>STDEV($G$909:G1014)*252^0.5</f>
        <v>0.48526293212662996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0.1792066453315852</v>
      </c>
      <c r="X1014" s="142">
        <f t="shared" si="194"/>
        <v>1.7857142857142857E-4</v>
      </c>
      <c r="Y1014" s="139">
        <f t="shared" si="187"/>
        <v>-2.7413051582883798E-2</v>
      </c>
      <c r="Z1014" s="139">
        <f t="shared" si="188"/>
        <v>-2.7413051582883798E-2</v>
      </c>
      <c r="AA1014" s="139">
        <f t="shared" si="189"/>
        <v>7.5147539708584786E-4</v>
      </c>
      <c r="AB1014" s="144">
        <f t="shared" si="207"/>
        <v>4.3357392946915425</v>
      </c>
      <c r="AC1014" s="144">
        <f t="shared" si="208"/>
        <v>-5.8746862681048298E-2</v>
      </c>
      <c r="AD1014" s="144">
        <f t="shared" si="209"/>
        <v>-4.9243085742587143E-2</v>
      </c>
      <c r="AE1014" s="144">
        <f t="shared" si="210"/>
        <v>-3.9113363802307538E-2</v>
      </c>
    </row>
    <row r="1015" spans="1:31">
      <c r="A1015" s="88">
        <v>45442</v>
      </c>
      <c r="B1015" s="78">
        <v>54746627.030000001</v>
      </c>
      <c r="D1015" s="67">
        <f t="shared" si="198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186"/>
        <v>-2.2563520788097959E-2</v>
      </c>
      <c r="H1015" s="70"/>
      <c r="I1015" s="70"/>
      <c r="J1015" s="67">
        <f t="shared" si="213"/>
        <v>9550304.5600000024</v>
      </c>
      <c r="K1015" s="70">
        <f t="shared" si="203"/>
        <v>0.21150641321924457</v>
      </c>
      <c r="L1015" s="70">
        <f t="shared" si="177"/>
        <v>0.97743647921190202</v>
      </c>
      <c r="M1015" s="70">
        <f>PRODUCT($L$2:L1015)-1</f>
        <v>0.22120545134098202</v>
      </c>
      <c r="N1015" s="70">
        <f>PRODUCT($L$909:L1015)-1</f>
        <v>-3.4986566020483889E-2</v>
      </c>
      <c r="O1015" s="70">
        <f>AVERAGE($G$909:G1015)*252</f>
        <v>3.3009355434005738E-2</v>
      </c>
      <c r="P1015" s="70">
        <f>STDEV($G$909:G1015)*252^0.5</f>
        <v>0.48424641526293816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6.8166442525097848E-2</v>
      </c>
      <c r="X1015" s="142">
        <f t="shared" si="194"/>
        <v>1.7857142857142857E-4</v>
      </c>
      <c r="Y1015" s="139">
        <f t="shared" si="187"/>
        <v>-2.2742092216669386E-2</v>
      </c>
      <c r="Z1015" s="139">
        <f t="shared" si="188"/>
        <v>-2.2742092216669386E-2</v>
      </c>
      <c r="AA1015" s="139">
        <f t="shared" si="189"/>
        <v>5.1720275839149427E-4</v>
      </c>
      <c r="AB1015" s="144">
        <f t="shared" si="207"/>
        <v>4.5218851959834767</v>
      </c>
      <c r="AC1015" s="144">
        <f t="shared" si="208"/>
        <v>-5.9029900712322524E-2</v>
      </c>
      <c r="AD1015" s="144">
        <f t="shared" si="209"/>
        <v>-4.9777688681741213E-2</v>
      </c>
      <c r="AE1015" s="144">
        <f t="shared" si="210"/>
        <v>-3.924572198286462E-2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8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186"/>
        <v>1.0174901728553065E-2</v>
      </c>
      <c r="H1016" s="81"/>
      <c r="I1016" s="81"/>
      <c r="J1016" s="80">
        <f t="shared" si="213"/>
        <v>10107346.109999999</v>
      </c>
      <c r="K1016" s="81">
        <f>(1+K1015)*(1+G1016)-1</f>
        <v>0.22383337191726227</v>
      </c>
      <c r="L1016" s="81">
        <f t="shared" ref="L1016:L1023" si="214">1+G1016</f>
        <v>1.0101749017285531</v>
      </c>
      <c r="M1016" s="81">
        <f>PRODUCT($L$2:L1016)-1</f>
        <v>0.23363109679874983</v>
      </c>
      <c r="N1016" s="81">
        <f>PRODUCT($L$909:L1016)-1</f>
        <v>-2.5167649163008732E-2</v>
      </c>
      <c r="O1016" s="81">
        <f>AVERAGE($G$909:G1016)*252</f>
        <v>5.6445150620685065E-2</v>
      </c>
      <c r="P1016" s="81">
        <f>STDEV($G$909:G1016)*252^0.5</f>
        <v>0.48222239634212294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6">
        <f t="shared" ref="W1016:W1023" si="215">O1016/P1016</f>
        <v>0.11705211340005629</v>
      </c>
      <c r="X1016" s="143">
        <f t="shared" si="194"/>
        <v>1.7857142857142857E-4</v>
      </c>
      <c r="Y1016" s="140">
        <f t="shared" ref="Y1016:Y1023" si="216">G1016-X1016</f>
        <v>9.9963302999816362E-3</v>
      </c>
      <c r="Z1016" s="140">
        <f t="shared" ref="Z1016:Z1023" si="217">IF(Y1016&lt;0,Y1016,0)</f>
        <v>0</v>
      </c>
      <c r="AA1016" s="140">
        <f t="shared" ref="AA1016:AA1023" si="218">Z1016^2</f>
        <v>0</v>
      </c>
      <c r="AB1016" s="145">
        <f t="shared" si="207"/>
        <v>4.3107796147781023</v>
      </c>
      <c r="AC1016" s="145">
        <f t="shared" si="208"/>
        <v>-5.3278003911100054E-2</v>
      </c>
      <c r="AD1016" s="145">
        <f t="shared" si="209"/>
        <v>-4.978983042588906E-2</v>
      </c>
      <c r="AE1016" s="145">
        <f t="shared" si="210"/>
        <v>-3.9214729616205875E-2</v>
      </c>
    </row>
    <row r="1017" spans="1:31">
      <c r="A1017" s="88">
        <v>45446</v>
      </c>
      <c r="B1017" s="78">
        <v>56386012.329999998</v>
      </c>
      <c r="D1017" s="67">
        <f t="shared" si="198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186"/>
        <v>1.9570921383530396E-2</v>
      </c>
      <c r="H1017" s="70"/>
      <c r="I1017" s="70"/>
      <c r="J1017" s="67">
        <f t="shared" si="213"/>
        <v>1082343.75</v>
      </c>
      <c r="K1017" s="85">
        <f>G1017</f>
        <v>1.9570921383530396E-2</v>
      </c>
      <c r="L1017" s="70">
        <f t="shared" si="214"/>
        <v>1.0195709213835304</v>
      </c>
      <c r="M1017" s="70">
        <f>PRODUCT($L$2:L1017)-1</f>
        <v>0.25777439401047664</v>
      </c>
      <c r="N1017" s="70">
        <f>PRODUCT($L$909:L1017)-1</f>
        <v>-6.0892818626557821E-3</v>
      </c>
      <c r="O1017" s="70">
        <f>AVERAGE($G$909:G1017)*252</f>
        <v>0.10117383904296924</v>
      </c>
      <c r="P1017" s="70">
        <f>STDEV($G$909:G1017)*252^0.5</f>
        <v>0.48088529688356618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5"/>
        <v>0.21039079318631329</v>
      </c>
      <c r="X1017" s="142">
        <f t="shared" si="194"/>
        <v>1.7857142857142857E-4</v>
      </c>
      <c r="Y1017" s="139">
        <f t="shared" si="216"/>
        <v>1.9392349954958969E-2</v>
      </c>
      <c r="Z1017" s="139">
        <f t="shared" si="217"/>
        <v>0</v>
      </c>
      <c r="AA1017" s="139">
        <f t="shared" si="218"/>
        <v>0</v>
      </c>
      <c r="AB1017" s="144">
        <f t="shared" si="207"/>
        <v>4.4606397961889899</v>
      </c>
      <c r="AC1017" s="144">
        <f t="shared" si="208"/>
        <v>-5.1450078608727641E-2</v>
      </c>
      <c r="AD1017" s="144">
        <f t="shared" si="209"/>
        <v>-4.9699910584343684E-2</v>
      </c>
      <c r="AE1017" s="144">
        <f t="shared" si="210"/>
        <v>-3.9191440238531765E-2</v>
      </c>
    </row>
    <row r="1018" spans="1:31">
      <c r="A1018" s="88">
        <v>45447</v>
      </c>
      <c r="B1018" s="78">
        <v>55100256.009999998</v>
      </c>
      <c r="D1018" s="67">
        <f t="shared" si="198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186"/>
        <v>-2.2802753145143372E-2</v>
      </c>
      <c r="H1018" s="70"/>
      <c r="I1018" s="70"/>
      <c r="J1018" s="67">
        <f t="shared" si="213"/>
        <v>-203412.5700000003</v>
      </c>
      <c r="K1018" s="70">
        <f t="shared" ref="K1018:K1023" si="219">(1+K1017)*(1+G1018)-1</f>
        <v>-3.6781026507445302E-3</v>
      </c>
      <c r="L1018" s="70">
        <f t="shared" si="214"/>
        <v>0.97719724685485665</v>
      </c>
      <c r="M1018" s="70">
        <f>PRODUCT($L$2:L1018)-1</f>
        <v>0.22909367499157351</v>
      </c>
      <c r="N1018" s="70">
        <f>PRODUCT($L$909:L1018)-1</f>
        <v>-2.8753182616653827E-2</v>
      </c>
      <c r="O1018" s="70">
        <f>AVERAGE($G$909:G1018)*252</f>
        <v>4.8015042391886531E-2</v>
      </c>
      <c r="P1018" s="70">
        <f>STDEV($G$909:G1018)*252^0.5</f>
        <v>0.47996105288554947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5"/>
        <v>0.10003945550001971</v>
      </c>
      <c r="X1018" s="142">
        <f t="shared" si="194"/>
        <v>1.7857142857142857E-4</v>
      </c>
      <c r="Y1018" s="139">
        <f t="shared" si="216"/>
        <v>-2.2981324573714799E-2</v>
      </c>
      <c r="Z1018" s="139">
        <f t="shared" si="217"/>
        <v>-2.2981324573714799E-2</v>
      </c>
      <c r="AA1018" s="139">
        <f t="shared" si="218"/>
        <v>5.2814127916242764E-4</v>
      </c>
      <c r="AB1018" s="144">
        <f t="shared" si="207"/>
        <v>3.9075816875258953</v>
      </c>
      <c r="AC1018" s="144">
        <f t="shared" si="208"/>
        <v>-4.4660947589010604E-2</v>
      </c>
      <c r="AD1018" s="144">
        <f t="shared" si="209"/>
        <v>-5.0035970057529223E-2</v>
      </c>
      <c r="AE1018" s="144">
        <f t="shared" si="210"/>
        <v>-3.9331508134495867E-2</v>
      </c>
    </row>
    <row r="1019" spans="1:31">
      <c r="A1019" s="88">
        <v>45448</v>
      </c>
      <c r="B1019" s="78">
        <v>57653609.700000003</v>
      </c>
      <c r="D1019" s="67">
        <f t="shared" si="198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186"/>
        <v>4.6340142041020715E-2</v>
      </c>
      <c r="H1019" s="70"/>
      <c r="I1019" s="70"/>
      <c r="J1019" s="67">
        <f t="shared" si="213"/>
        <v>2349941.1200000048</v>
      </c>
      <c r="K1019" s="70">
        <f t="shared" si="219"/>
        <v>4.2491595590999243E-2</v>
      </c>
      <c r="L1019" s="70">
        <f t="shared" si="214"/>
        <v>1.0463401420410208</v>
      </c>
      <c r="M1019" s="70">
        <f>PRODUCT($L$2:L1019)-1</f>
        <v>0.28605005047240328</v>
      </c>
      <c r="N1019" s="70">
        <f>PRODUCT($L$909:L1019)-1</f>
        <v>1.6254532857779891E-2</v>
      </c>
      <c r="O1019" s="70">
        <f>AVERAGE($G$909:G1019)*252</f>
        <v>0.1527871212382409</v>
      </c>
      <c r="P1019" s="70">
        <f>STDEV($G$909:G1019)*252^0.5</f>
        <v>0.4828080331725309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5"/>
        <v>0.3164552176861618</v>
      </c>
      <c r="X1019" s="142">
        <f t="shared" si="194"/>
        <v>1.7857142857142857E-4</v>
      </c>
      <c r="Y1019" s="139">
        <f t="shared" si="216"/>
        <v>4.6161570612449285E-2</v>
      </c>
      <c r="Z1019" s="139">
        <f t="shared" si="217"/>
        <v>0</v>
      </c>
      <c r="AA1019" s="139">
        <f t="shared" si="218"/>
        <v>0</v>
      </c>
      <c r="AB1019" s="144">
        <f t="shared" si="207"/>
        <v>4.3399603150099875</v>
      </c>
      <c r="AC1019" s="144">
        <f t="shared" si="208"/>
        <v>-4.4326651081540241E-2</v>
      </c>
      <c r="AD1019" s="144">
        <f t="shared" si="209"/>
        <v>-4.9971344679464798E-2</v>
      </c>
      <c r="AE1019" s="144">
        <f t="shared" si="210"/>
        <v>-3.9357477849229321E-2</v>
      </c>
    </row>
    <row r="1020" spans="1:31">
      <c r="A1020" s="88">
        <v>45449</v>
      </c>
      <c r="B1020" s="78">
        <v>57942916.079999998</v>
      </c>
      <c r="D1020" s="67">
        <f t="shared" si="198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186"/>
        <v>5.018009826364701E-3</v>
      </c>
      <c r="H1020" s="70"/>
      <c r="I1020" s="70"/>
      <c r="J1020" s="67">
        <f t="shared" si="213"/>
        <v>2639247.5</v>
      </c>
      <c r="K1020" s="70">
        <f t="shared" si="219"/>
        <v>4.7722828661577621E-2</v>
      </c>
      <c r="L1020" s="70">
        <f t="shared" si="214"/>
        <v>1.0050180098263648</v>
      </c>
      <c r="M1020" s="70">
        <f>PRODUCT($L$2:L1020)-1</f>
        <v>0.29250346226287083</v>
      </c>
      <c r="N1020" s="70">
        <f>PRODUCT($L$909:L1020)-1</f>
        <v>2.1354108089747914E-2</v>
      </c>
      <c r="O1020" s="70">
        <f>AVERAGE($G$909:G1020)*252</f>
        <v>0.16271347262222005</v>
      </c>
      <c r="P1020" s="70">
        <f>STDEV($G$909:G1020)*252^0.5</f>
        <v>0.48067385688453984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5"/>
        <v>0.33851117611604287</v>
      </c>
      <c r="X1020" s="142">
        <f t="shared" si="194"/>
        <v>1.7857142857142857E-4</v>
      </c>
      <c r="Y1020" s="139">
        <f t="shared" si="216"/>
        <v>4.839438397793272E-3</v>
      </c>
      <c r="Z1020" s="139">
        <f t="shared" si="217"/>
        <v>0</v>
      </c>
      <c r="AA1020" s="139">
        <f t="shared" si="218"/>
        <v>0</v>
      </c>
      <c r="AB1020" s="144">
        <f t="shared" si="207"/>
        <v>4.2643642795930861</v>
      </c>
      <c r="AC1020" s="144">
        <f t="shared" si="208"/>
        <v>-4.3637917026582512E-2</v>
      </c>
      <c r="AD1020" s="144">
        <f t="shared" si="209"/>
        <v>-4.9851226171434955E-2</v>
      </c>
      <c r="AE1020" s="144">
        <f t="shared" si="210"/>
        <v>-3.9302501418906788E-2</v>
      </c>
    </row>
    <row r="1021" spans="1:31">
      <c r="A1021" s="88">
        <v>45450</v>
      </c>
      <c r="B1021" s="78">
        <v>57040146.130000003</v>
      </c>
      <c r="D1021" s="67">
        <f t="shared" si="198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186"/>
        <v>-1.5580333388011899E-2</v>
      </c>
      <c r="H1021" s="70"/>
      <c r="I1021" s="70"/>
      <c r="J1021" s="67">
        <f t="shared" si="213"/>
        <v>1736477.5500000045</v>
      </c>
      <c r="K1021" s="70">
        <f t="shared" si="219"/>
        <v>3.1398957692799323E-2</v>
      </c>
      <c r="L1021" s="70">
        <f t="shared" si="214"/>
        <v>0.9844196666119881</v>
      </c>
      <c r="M1021" s="70">
        <f>PRODUCT($L$2:L1021)-1</f>
        <v>0.27236582741565574</v>
      </c>
      <c r="N1021" s="70">
        <f>PRODUCT($L$909:L1021)-1</f>
        <v>5.4410705784941893E-3</v>
      </c>
      <c r="O1021" s="70">
        <f>AVERAGE($G$909:G1021)*252</f>
        <v>0.12652800814079332</v>
      </c>
      <c r="P1021" s="70">
        <f>STDEV($G$909:G1021)*252^0.5</f>
        <v>0.47913628541275677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5"/>
        <v>0.26407519528977957</v>
      </c>
      <c r="X1021" s="142">
        <f t="shared" si="194"/>
        <v>1.7857142857142857E-4</v>
      </c>
      <c r="Y1021" s="139">
        <f t="shared" si="216"/>
        <v>-1.5758904816583326E-2</v>
      </c>
      <c r="Z1021" s="139">
        <f t="shared" si="217"/>
        <v>-1.5758904816583326E-2</v>
      </c>
      <c r="AA1021" s="139">
        <f t="shared" si="218"/>
        <v>2.4834308101813316E-4</v>
      </c>
      <c r="AB1021" s="144">
        <f t="shared" si="207"/>
        <v>3.8129802869484344</v>
      </c>
      <c r="AC1021" s="144">
        <f t="shared" si="208"/>
        <v>-4.4792524125347587E-2</v>
      </c>
      <c r="AD1021" s="144">
        <f t="shared" si="209"/>
        <v>-5.0214157314182356E-2</v>
      </c>
      <c r="AE1021" s="144">
        <f t="shared" si="210"/>
        <v>-3.9366254484864173E-2</v>
      </c>
    </row>
    <row r="1022" spans="1:31">
      <c r="A1022" s="88">
        <v>45453</v>
      </c>
      <c r="B1022" s="78">
        <v>57731262.640000001</v>
      </c>
      <c r="D1022" s="67">
        <f t="shared" si="198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186"/>
        <v>1.2116317311405139E-2</v>
      </c>
      <c r="H1022" s="70"/>
      <c r="I1022" s="70"/>
      <c r="J1022" s="67">
        <f t="shared" si="213"/>
        <v>2427594.0600000024</v>
      </c>
      <c r="K1022" s="70">
        <f t="shared" si="219"/>
        <v>4.3895714738857894E-2</v>
      </c>
      <c r="L1022" s="70">
        <f t="shared" si="214"/>
        <v>1.0121163173114052</v>
      </c>
      <c r="M1022" s="70">
        <f>PRODUCT($L$2:L1022)-1</f>
        <v>0.28778221551681238</v>
      </c>
      <c r="N1022" s="70">
        <f>PRODUCT($L$909:L1022)-1</f>
        <v>1.7623313627542103E-2</v>
      </c>
      <c r="O1022" s="70">
        <f>AVERAGE($G$909:G1022)*252</f>
        <v>0.15220155159985738</v>
      </c>
      <c r="P1022" s="70">
        <f>STDEV($G$909:G1022)*252^0.5</f>
        <v>0.4773239479963271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5"/>
        <v>0.31886426867697937</v>
      </c>
      <c r="X1022" s="142">
        <f t="shared" si="194"/>
        <v>1.7857142857142857E-4</v>
      </c>
      <c r="Y1022" s="139">
        <f t="shared" si="216"/>
        <v>1.193774588283371E-2</v>
      </c>
      <c r="Z1022" s="139">
        <f t="shared" si="217"/>
        <v>0</v>
      </c>
      <c r="AA1022" s="139">
        <f t="shared" si="218"/>
        <v>0</v>
      </c>
      <c r="AB1022" s="144">
        <f t="shared" si="207"/>
        <v>4.0499424949351823</v>
      </c>
      <c r="AC1022" s="144">
        <f t="shared" si="208"/>
        <v>-4.4902358820386123E-2</v>
      </c>
      <c r="AD1022" s="144">
        <f t="shared" si="209"/>
        <v>-5.0065703850512927E-2</v>
      </c>
      <c r="AE1022" s="144">
        <f t="shared" si="210"/>
        <v>-3.9355283937165635E-2</v>
      </c>
    </row>
    <row r="1023" spans="1:31">
      <c r="A1023" s="88">
        <v>45454</v>
      </c>
      <c r="B1023" s="78">
        <v>57371169.270000003</v>
      </c>
      <c r="D1023" s="67">
        <f t="shared" si="198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186"/>
        <v>-6.2374067971709499E-3</v>
      </c>
      <c r="H1023" s="70"/>
      <c r="I1023" s="70"/>
      <c r="J1023" s="67">
        <f t="shared" si="213"/>
        <v>2067500.6900000051</v>
      </c>
      <c r="K1023" s="70">
        <f t="shared" si="219"/>
        <v>3.738451251220809E-2</v>
      </c>
      <c r="L1023" s="70">
        <f t="shared" si="214"/>
        <v>0.993762593202829</v>
      </c>
      <c r="M1023" s="70">
        <f>PRODUCT($L$2:L1023)-1</f>
        <v>0.27974979397247179</v>
      </c>
      <c r="N1023" s="70">
        <f>PRODUCT($L$909:L1023)-1</f>
        <v>1.1275983054161998E-2</v>
      </c>
      <c r="O1023" s="70">
        <f>AVERAGE($G$909:G1023)*252</f>
        <v>0.13721000321301444</v>
      </c>
      <c r="P1023" s="70">
        <f>STDEV($G$909:G1023)*252^0.5</f>
        <v>0.47533370799195973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5"/>
        <v>0.28866036829716135</v>
      </c>
      <c r="X1023" s="142">
        <f t="shared" si="194"/>
        <v>1.7857142857142857E-4</v>
      </c>
      <c r="Y1023" s="139">
        <f t="shared" si="216"/>
        <v>-6.4159782257423789E-3</v>
      </c>
      <c r="Z1023" s="139">
        <f t="shared" si="217"/>
        <v>-6.4159782257423789E-3</v>
      </c>
      <c r="AA1023" s="139">
        <f t="shared" si="218"/>
        <v>4.1164776593200324E-5</v>
      </c>
      <c r="AB1023" s="144">
        <f t="shared" si="207"/>
        <v>3.981875116360249</v>
      </c>
      <c r="AC1023" s="144">
        <f t="shared" si="208"/>
        <v>-4.4164689579875883E-2</v>
      </c>
      <c r="AD1023" s="144">
        <f t="shared" si="209"/>
        <v>-4.9557280678586717E-2</v>
      </c>
      <c r="AE1023" s="144">
        <f t="shared" si="210"/>
        <v>-3.938361106108338E-2</v>
      </c>
    </row>
    <row r="1024" spans="1:31">
      <c r="A1024" s="88">
        <v>45455</v>
      </c>
      <c r="B1024" s="78">
        <v>59450600.979999997</v>
      </c>
      <c r="D1024" s="67">
        <f t="shared" si="198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186"/>
        <v>3.6245238443960923E-2</v>
      </c>
      <c r="H1024" s="70"/>
      <c r="I1024" s="70"/>
      <c r="J1024" s="67">
        <f t="shared" si="213"/>
        <v>4146932.3999999985</v>
      </c>
      <c r="K1024" s="70">
        <f t="shared" ref="K1024:K1030" si="220">(1+K1023)*(1+G1024)-1</f>
        <v>7.4984761526285082E-2</v>
      </c>
      <c r="L1024" s="70">
        <f t="shared" ref="L1024:L1055" si="221">1+G1024</f>
        <v>1.0362452384439609</v>
      </c>
      <c r="M1024" s="70">
        <f>PRODUCT($L$2:L1024)-1</f>
        <v>0.3261346304036139</v>
      </c>
      <c r="N1024" s="70">
        <f>PRODUCT($L$909:L1024)-1</f>
        <v>4.7929922192611052E-2</v>
      </c>
      <c r="O1024" s="70">
        <f>AVERAGE($G$909:G1024)*252</f>
        <v>0.21476681428771388</v>
      </c>
      <c r="P1024" s="70">
        <f>STDEV($G$909:G1024)*252^0.5</f>
        <v>0.47617880717425104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2">O1024/P1024</f>
        <v>0.45102136225294659</v>
      </c>
      <c r="X1024" s="142">
        <f t="shared" si="194"/>
        <v>1.7857142857142857E-4</v>
      </c>
      <c r="Y1024" s="139">
        <f t="shared" ref="Y1024:Y1055" si="223">G1024-X1024</f>
        <v>3.6066667015389492E-2</v>
      </c>
      <c r="Z1024" s="139">
        <f t="shared" ref="Z1024:Z1055" si="224">IF(Y1024&lt;0,Y1024,0)</f>
        <v>0</v>
      </c>
      <c r="AA1024" s="139">
        <f t="shared" ref="AA1024:AA1055" si="225">Z1024^2</f>
        <v>0</v>
      </c>
      <c r="AB1024" s="144">
        <f t="shared" ref="AB1024:AB1055" si="226">AVERAGE(Y771:Y1024)/AVERAGE(AA771:AA1024)</f>
        <v>4.5262052827414774</v>
      </c>
      <c r="AC1024" s="144">
        <f t="shared" ref="AC1024:AC1055" si="227">AVERAGE(G993:G1024)-_xlfn.NORM.S.INV(0.95)*_xlfn.STDEV.S(G993:G1024)</f>
        <v>-4.4208042936924985E-2</v>
      </c>
      <c r="AD1024" s="144">
        <f t="shared" ref="AD1024:AD1055" si="228">AVERAGE(G933:G1024)-_xlfn.NORM.S.INV(0.95)*_xlfn.STDEV.S(G933:G1024)</f>
        <v>-4.9615191758610337E-2</v>
      </c>
      <c r="AE1024" s="144">
        <f t="shared" ref="AE1024:AE1055" si="229">AVERAGE(G658:G1024)-_xlfn.NORM.S.INV(0.95)*_xlfn.STDEV.S(G658:G1024)</f>
        <v>-3.9415937428771697E-2</v>
      </c>
    </row>
    <row r="1025" spans="1:31">
      <c r="A1025" s="88">
        <v>45456</v>
      </c>
      <c r="B1025" s="78">
        <v>59759941.460000001</v>
      </c>
      <c r="D1025" s="67">
        <f t="shared" si="198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186"/>
        <v>5.2033196452306776E-3</v>
      </c>
      <c r="H1025" s="70"/>
      <c r="I1025" s="70"/>
      <c r="J1025" s="67">
        <f t="shared" si="213"/>
        <v>4456272.8800000027</v>
      </c>
      <c r="K1025" s="70">
        <f t="shared" si="220"/>
        <v>8.0578250854258293E-2</v>
      </c>
      <c r="L1025" s="70">
        <f t="shared" si="221"/>
        <v>1.0052033196452306</v>
      </c>
      <c r="M1025" s="70">
        <f>PRODUCT($L$2:L1025)-1</f>
        <v>0.33303493277821361</v>
      </c>
      <c r="N1025" s="70">
        <f>PRODUCT($L$909:L1025)-1</f>
        <v>5.3382636543580775E-2</v>
      </c>
      <c r="O1025" s="70">
        <f>AVERAGE($G$909:G1025)*252</f>
        <v>0.22413835049549524</v>
      </c>
      <c r="P1025" s="70">
        <f>STDEV($G$909:G1025)*252^0.5</f>
        <v>0.47416486954287207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2"/>
        <v>0.47270130052355042</v>
      </c>
      <c r="X1025" s="142">
        <f t="shared" si="194"/>
        <v>1.7857142857142857E-4</v>
      </c>
      <c r="Y1025" s="139">
        <f t="shared" si="223"/>
        <v>5.0247482166592486E-3</v>
      </c>
      <c r="Z1025" s="139">
        <f t="shared" si="224"/>
        <v>0</v>
      </c>
      <c r="AA1025" s="139">
        <f t="shared" si="225"/>
        <v>0</v>
      </c>
      <c r="AB1025" s="144">
        <f t="shared" si="226"/>
        <v>4.8277769398960926</v>
      </c>
      <c r="AC1025" s="144">
        <f t="shared" si="227"/>
        <v>-3.5671775917144544E-2</v>
      </c>
      <c r="AD1025" s="144">
        <f t="shared" si="228"/>
        <v>-4.9500820719581715E-2</v>
      </c>
      <c r="AE1025" s="144">
        <f t="shared" si="229"/>
        <v>-3.9418778554932393E-2</v>
      </c>
    </row>
    <row r="1026" spans="1:31">
      <c r="A1026" s="88">
        <v>45457</v>
      </c>
      <c r="B1026" s="78">
        <v>59759368.4374597</v>
      </c>
      <c r="D1026" s="67">
        <f t="shared" si="198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186"/>
        <v>-9.5887399870469109E-6</v>
      </c>
      <c r="H1026" s="70"/>
      <c r="I1026" s="70"/>
      <c r="J1026" s="67">
        <f t="shared" si="213"/>
        <v>4455699.8574597016</v>
      </c>
      <c r="K1026" s="70">
        <f t="shared" si="220"/>
        <v>8.0567889470375187E-2</v>
      </c>
      <c r="L1026" s="70">
        <f t="shared" si="221"/>
        <v>0.99999041126001298</v>
      </c>
      <c r="M1026" s="70">
        <f>PRODUCT($L$2:L1026)-1</f>
        <v>0.33302215065284968</v>
      </c>
      <c r="N1026" s="70">
        <f>PRODUCT($L$909:L1026)-1</f>
        <v>5.3372535931372145E-2</v>
      </c>
      <c r="O1026" s="70">
        <f>AVERAGE($G$909:G1026)*252</f>
        <v>0.2222183953008153</v>
      </c>
      <c r="P1026" s="70">
        <f>STDEV($G$909:G1026)*252^0.5</f>
        <v>0.47213600350831358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2"/>
        <v>0.47066606581487358</v>
      </c>
      <c r="X1026" s="142">
        <f t="shared" si="194"/>
        <v>1.7857142857142857E-4</v>
      </c>
      <c r="Y1026" s="139">
        <f t="shared" si="223"/>
        <v>-1.8816016855847549E-4</v>
      </c>
      <c r="Z1026" s="139">
        <f t="shared" si="224"/>
        <v>-1.8816016855847549E-4</v>
      </c>
      <c r="AA1026" s="139">
        <f t="shared" si="225"/>
        <v>3.5404249031953908E-8</v>
      </c>
      <c r="AB1026" s="144">
        <f t="shared" si="226"/>
        <v>4.7052744646368252</v>
      </c>
      <c r="AC1026" s="144">
        <f t="shared" si="227"/>
        <v>-3.0848141881035886E-2</v>
      </c>
      <c r="AD1026" s="144">
        <f t="shared" si="228"/>
        <v>-4.8892522665509724E-2</v>
      </c>
      <c r="AE1026" s="144">
        <f t="shared" si="229"/>
        <v>-3.941566447251868E-2</v>
      </c>
    </row>
    <row r="1027" spans="1:31">
      <c r="A1027" s="88">
        <v>45460</v>
      </c>
      <c r="B1027" s="78">
        <v>60455080.460000001</v>
      </c>
      <c r="D1027" s="67">
        <f t="shared" si="198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186"/>
        <v>1.1641890480626287E-2</v>
      </c>
      <c r="H1027" s="70"/>
      <c r="I1027" s="70"/>
      <c r="J1027" s="67">
        <f t="shared" si="213"/>
        <v>5151411.8800000027</v>
      </c>
      <c r="K1027" s="70">
        <f t="shared" si="220"/>
        <v>9.3147742496470842E-2</v>
      </c>
      <c r="L1027" s="70">
        <f t="shared" si="221"/>
        <v>1.0116418904806264</v>
      </c>
      <c r="M1027" s="70">
        <f>PRODUCT($L$2:L1027)-1</f>
        <v>0.34854104853899925</v>
      </c>
      <c r="N1027" s="70">
        <f>PRODUCT($L$909:L1027)-1</f>
        <v>6.563578362998479E-2</v>
      </c>
      <c r="O1027" s="70">
        <f>AVERAGE($G$909:G1027)*252</f>
        <v>0.24500442896314312</v>
      </c>
      <c r="P1027" s="70">
        <f>STDEV($G$909:G1027)*252^0.5</f>
        <v>0.47039185470657163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2"/>
        <v>0.52085176754596607</v>
      </c>
      <c r="X1027" s="142">
        <f t="shared" si="194"/>
        <v>1.7857142857142857E-4</v>
      </c>
      <c r="Y1027" s="139">
        <f t="shared" si="223"/>
        <v>1.1463319052054858E-2</v>
      </c>
      <c r="Z1027" s="139">
        <f t="shared" si="224"/>
        <v>0</v>
      </c>
      <c r="AA1027" s="139">
        <f t="shared" si="225"/>
        <v>0</v>
      </c>
      <c r="AB1027" s="144">
        <f t="shared" si="226"/>
        <v>5.0075242843836563</v>
      </c>
      <c r="AC1027" s="144">
        <f t="shared" si="227"/>
        <v>-2.9367186298448797E-2</v>
      </c>
      <c r="AD1027" s="144">
        <f t="shared" si="228"/>
        <v>-4.8897181875617729E-2</v>
      </c>
      <c r="AE1027" s="144">
        <f t="shared" si="229"/>
        <v>-3.9376373296142755E-2</v>
      </c>
    </row>
    <row r="1028" spans="1:31">
      <c r="A1028" s="88">
        <v>45461</v>
      </c>
      <c r="B1028" s="78">
        <v>61701123.100000001</v>
      </c>
      <c r="D1028" s="67">
        <f t="shared" si="198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186"/>
        <v>2.0611049237200876E-2</v>
      </c>
      <c r="H1028" s="70"/>
      <c r="I1028" s="70"/>
      <c r="J1028" s="67">
        <f t="shared" si="213"/>
        <v>6397454.5200000033</v>
      </c>
      <c r="K1028" s="70">
        <f t="shared" si="220"/>
        <v>0.11567866444060071</v>
      </c>
      <c r="L1028" s="70">
        <f t="shared" si="221"/>
        <v>1.0206110492372009</v>
      </c>
      <c r="M1028" s="70">
        <f>PRODUCT($L$2:L1028)-1</f>
        <v>0.3763358944888231</v>
      </c>
      <c r="N1028" s="70">
        <f>PRODUCT($L$909:L1028)-1</f>
        <v>8.7599655235305551E-2</v>
      </c>
      <c r="O1028" s="70">
        <f>AVERAGE($G$909:G1028)*252</f>
        <v>0.28624592878657212</v>
      </c>
      <c r="P1028" s="70">
        <f>STDEV($G$909:G1028)*252^0.5</f>
        <v>0.46927500657513355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2"/>
        <v>0.60997480107805946</v>
      </c>
      <c r="X1028" s="142">
        <f t="shared" si="194"/>
        <v>1.7857142857142857E-4</v>
      </c>
      <c r="Y1028" s="139">
        <f t="shared" si="223"/>
        <v>2.0432477808629449E-2</v>
      </c>
      <c r="Z1028" s="139">
        <f t="shared" si="224"/>
        <v>0</v>
      </c>
      <c r="AA1028" s="139">
        <f t="shared" si="225"/>
        <v>0</v>
      </c>
      <c r="AB1028" s="144">
        <f t="shared" si="226"/>
        <v>5.4901158973148894</v>
      </c>
      <c r="AC1028" s="144">
        <f t="shared" si="227"/>
        <v>-2.6532710591857779E-2</v>
      </c>
      <c r="AD1028" s="144">
        <f t="shared" si="228"/>
        <v>-4.8819319931832014E-2</v>
      </c>
      <c r="AE1028" s="144">
        <f t="shared" si="229"/>
        <v>-3.9364912164452766E-2</v>
      </c>
    </row>
    <row r="1029" spans="1:31">
      <c r="A1029" s="88">
        <v>45462</v>
      </c>
      <c r="B1029" s="78">
        <v>62588119.509999998</v>
      </c>
      <c r="D1029" s="67">
        <f t="shared" si="198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186"/>
        <v>1.4375693106305813E-2</v>
      </c>
      <c r="H1029" s="70"/>
      <c r="I1029" s="70"/>
      <c r="J1029" s="67">
        <f t="shared" si="213"/>
        <v>7284450.9299999997</v>
      </c>
      <c r="K1029" s="70">
        <f t="shared" si="220"/>
        <v>0.13171731852585178</v>
      </c>
      <c r="L1029" s="70">
        <f t="shared" si="221"/>
        <v>1.0143756931063057</v>
      </c>
      <c r="M1029" s="70">
        <f>PRODUCT($L$2:L1029)-1</f>
        <v>0.39612167691918709</v>
      </c>
      <c r="N1029" s="70">
        <f>PRODUCT($L$909:L1029)-1</f>
        <v>0.10323465410149213</v>
      </c>
      <c r="O1029" s="70">
        <f>AVERAGE($G$909:G1029)*252</f>
        <v>0.31381971997667535</v>
      </c>
      <c r="P1029" s="70">
        <f>STDEV($G$909:G1029)*252^0.5</f>
        <v>0.46770604505782504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2"/>
        <v>0.67097640343279319</v>
      </c>
      <c r="X1029" s="142">
        <f t="shared" si="194"/>
        <v>1.7857142857142857E-4</v>
      </c>
      <c r="Y1029" s="139">
        <f t="shared" si="223"/>
        <v>1.4197121677734384E-2</v>
      </c>
      <c r="Z1029" s="139">
        <f t="shared" si="224"/>
        <v>0</v>
      </c>
      <c r="AA1029" s="139">
        <f t="shared" si="225"/>
        <v>0</v>
      </c>
      <c r="AB1029" s="144">
        <f t="shared" si="226"/>
        <v>5.3599963937370445</v>
      </c>
      <c r="AC1029" s="144">
        <f t="shared" si="227"/>
        <v>-2.5077094485549734E-2</v>
      </c>
      <c r="AD1029" s="144">
        <f t="shared" si="228"/>
        <v>-4.8510791737515525E-2</v>
      </c>
      <c r="AE1029" s="144">
        <f t="shared" si="229"/>
        <v>-3.9322144367957466E-2</v>
      </c>
    </row>
    <row r="1030" spans="1:31">
      <c r="A1030" s="88">
        <v>45463</v>
      </c>
      <c r="B1030" s="78">
        <v>61583294.57</v>
      </c>
      <c r="D1030" s="67">
        <f t="shared" si="198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186"/>
        <v>-1.6054563515675718E-2</v>
      </c>
      <c r="H1030" s="70"/>
      <c r="I1030" s="70"/>
      <c r="J1030" s="67">
        <f t="shared" si="213"/>
        <v>6279625.9900000021</v>
      </c>
      <c r="K1030" s="70">
        <f t="shared" si="220"/>
        <v>0.11354809095378826</v>
      </c>
      <c r="L1030" s="70">
        <f t="shared" si="221"/>
        <v>0.98394543648432431</v>
      </c>
      <c r="M1030" s="70">
        <f>PRODUCT($L$2:L1030)-1</f>
        <v>0.37370755278147638</v>
      </c>
      <c r="N1030" s="70">
        <f>PRODUCT($L$909:L1030)-1</f>
        <v>8.5522703274525158E-2</v>
      </c>
      <c r="O1030" s="70">
        <f>AVERAGE($G$909:G1030)*252</f>
        <v>0.27808554189530688</v>
      </c>
      <c r="P1030" s="70">
        <f>STDEV($G$909:G1030)*252^0.5</f>
        <v>0.46643252358115733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2"/>
        <v>0.59619672264753887</v>
      </c>
      <c r="X1030" s="142">
        <f t="shared" si="194"/>
        <v>1.7857142857142857E-4</v>
      </c>
      <c r="Y1030" s="139">
        <f t="shared" si="223"/>
        <v>-1.6233134944247146E-2</v>
      </c>
      <c r="Z1030" s="139">
        <f t="shared" si="224"/>
        <v>-1.6233134944247146E-2</v>
      </c>
      <c r="AA1030" s="139">
        <f t="shared" si="225"/>
        <v>2.6351467011813775E-4</v>
      </c>
      <c r="AB1030" s="144">
        <f t="shared" si="226"/>
        <v>5.1231018329819236</v>
      </c>
      <c r="AC1030" s="144">
        <f t="shared" si="227"/>
        <v>-2.53190645025166E-2</v>
      </c>
      <c r="AD1030" s="144">
        <f t="shared" si="228"/>
        <v>-4.8756415016033817E-2</v>
      </c>
      <c r="AE1030" s="144">
        <f t="shared" si="229"/>
        <v>-3.9420308752055815E-2</v>
      </c>
    </row>
    <row r="1031" spans="1:31">
      <c r="A1031" s="88">
        <v>45464</v>
      </c>
      <c r="B1031" s="78">
        <v>59897360.210000001</v>
      </c>
      <c r="D1031" s="67">
        <f t="shared" si="198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186"/>
        <v>-2.7376488571647383E-2</v>
      </c>
      <c r="H1031" s="70"/>
      <c r="I1031" s="70"/>
      <c r="J1031" s="67">
        <f t="shared" si="213"/>
        <v>4593691.6300000027</v>
      </c>
      <c r="K1031" s="70">
        <f t="shared" ref="K1031:K1038" si="230">(1+K1030)*(1+G1031)-1</f>
        <v>8.3063054367812139E-2</v>
      </c>
      <c r="L1031" s="70">
        <f t="shared" si="221"/>
        <v>0.97262351142835257</v>
      </c>
      <c r="M1031" s="70">
        <f>PRODUCT($L$2:L1031)-1</f>
        <v>0.33610026366196855</v>
      </c>
      <c r="N1031" s="70">
        <f>PRODUCT($L$909:L1031)-1</f>
        <v>5.5804903394066407E-2</v>
      </c>
      <c r="O1031" s="70">
        <f>AVERAGE($G$909:G1031)*252</f>
        <v>0.21973626822091299</v>
      </c>
      <c r="P1031" s="70">
        <f>STDEV($G$909:G1031)*252^0.5</f>
        <v>0.46630227704648497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2"/>
        <v>0.47123138581415897</v>
      </c>
      <c r="X1031" s="142">
        <f t="shared" si="194"/>
        <v>1.7857142857142857E-4</v>
      </c>
      <c r="Y1031" s="139">
        <f t="shared" si="223"/>
        <v>-2.755506000021881E-2</v>
      </c>
      <c r="Z1031" s="139">
        <f t="shared" si="224"/>
        <v>-2.755506000021881E-2</v>
      </c>
      <c r="AA1031" s="139">
        <f t="shared" si="225"/>
        <v>7.5928133161565865E-4</v>
      </c>
      <c r="AB1031" s="144">
        <f t="shared" si="226"/>
        <v>4.8595285300925628</v>
      </c>
      <c r="AC1031" s="144">
        <f t="shared" si="227"/>
        <v>-2.7572108352237366E-2</v>
      </c>
      <c r="AD1031" s="144">
        <f t="shared" si="228"/>
        <v>-4.9398443980334016E-2</v>
      </c>
      <c r="AE1031" s="144">
        <f t="shared" si="229"/>
        <v>-3.9596873339461797E-2</v>
      </c>
    </row>
    <row r="1032" spans="1:31">
      <c r="A1032" s="88">
        <v>45467</v>
      </c>
      <c r="B1032" s="78">
        <v>58039692.740000002</v>
      </c>
      <c r="D1032" s="67">
        <f t="shared" si="198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186"/>
        <v>-3.1014179314197171E-2</v>
      </c>
      <c r="H1032" s="70"/>
      <c r="I1032" s="70"/>
      <c r="J1032" s="67">
        <f t="shared" si="213"/>
        <v>2736024.1600000039</v>
      </c>
      <c r="K1032" s="70">
        <f t="shared" si="230"/>
        <v>4.9472742591066821E-2</v>
      </c>
      <c r="L1032" s="70">
        <f t="shared" si="221"/>
        <v>0.96898582068580286</v>
      </c>
      <c r="M1032" s="70">
        <f>PRODUCT($L$2:L1032)-1</f>
        <v>0.29466221050301011</v>
      </c>
      <c r="N1032" s="70">
        <f>PRODUCT($L$909:L1032)-1</f>
        <v>2.3059980799394308E-2</v>
      </c>
      <c r="O1032" s="70">
        <f>AVERAGE($G$909:G1032)*252</f>
        <v>0.15493538551608554</v>
      </c>
      <c r="P1032" s="70">
        <f>STDEV($G$909:G1032)*252^0.5</f>
        <v>0.46662219948681843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2"/>
        <v>0.33203603619047767</v>
      </c>
      <c r="X1032" s="142">
        <f t="shared" si="194"/>
        <v>1.7857142857142857E-4</v>
      </c>
      <c r="Y1032" s="139">
        <f t="shared" si="223"/>
        <v>-3.1192750742768598E-2</v>
      </c>
      <c r="Z1032" s="139">
        <f t="shared" si="224"/>
        <v>-3.1192750742768598E-2</v>
      </c>
      <c r="AA1032" s="139">
        <f t="shared" si="225"/>
        <v>9.7298769890049089E-4</v>
      </c>
      <c r="AB1032" s="144">
        <f t="shared" si="226"/>
        <v>4.0711497502625633</v>
      </c>
      <c r="AC1032" s="144">
        <f t="shared" si="227"/>
        <v>-3.0437746091195109E-2</v>
      </c>
      <c r="AD1032" s="144">
        <f t="shared" si="228"/>
        <v>-4.9640749445235395E-2</v>
      </c>
      <c r="AE1032" s="144">
        <f t="shared" si="229"/>
        <v>-3.9790718443680602E-2</v>
      </c>
    </row>
    <row r="1033" spans="1:31">
      <c r="A1033" s="88">
        <v>45468</v>
      </c>
      <c r="B1033" s="78">
        <f>59998846.02</f>
        <v>59998846.020000003</v>
      </c>
      <c r="D1033" s="67">
        <f t="shared" si="198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186"/>
        <v>3.3755404060741775E-2</v>
      </c>
      <c r="H1033" s="70"/>
      <c r="I1033" s="70"/>
      <c r="J1033" s="67">
        <f t="shared" si="213"/>
        <v>4695177.4400000051</v>
      </c>
      <c r="K1033" s="70">
        <f t="shared" si="230"/>
        <v>8.4898119067963185E-2</v>
      </c>
      <c r="L1033" s="70">
        <f t="shared" si="221"/>
        <v>1.0337554040607417</v>
      </c>
      <c r="M1033" s="70">
        <f>PRODUCT($L$2:L1033)-1</f>
        <v>0.33836405654071222</v>
      </c>
      <c r="N1033" s="70">
        <f>PRODUCT($L$909:L1033)-1</f>
        <v>5.7593783829652523E-2</v>
      </c>
      <c r="O1033" s="70">
        <f>AVERAGE($G$909:G1033)*252</f>
        <v>0.22174679701841229</v>
      </c>
      <c r="P1033" s="70">
        <f>STDEV($G$909:G1033)*252^0.5</f>
        <v>0.46711295029916955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2"/>
        <v>0.47471772485946112</v>
      </c>
      <c r="X1033" s="142">
        <f t="shared" si="194"/>
        <v>1.7857142857142857E-4</v>
      </c>
      <c r="Y1033" s="139">
        <f t="shared" si="223"/>
        <v>3.3576832632170345E-2</v>
      </c>
      <c r="Z1033" s="139">
        <f t="shared" si="224"/>
        <v>0</v>
      </c>
      <c r="AA1033" s="139">
        <f t="shared" si="225"/>
        <v>0</v>
      </c>
      <c r="AB1033" s="144">
        <f t="shared" si="226"/>
        <v>4.4111941190696839</v>
      </c>
      <c r="AC1033" s="144">
        <f t="shared" si="227"/>
        <v>-3.0680157229750663E-2</v>
      </c>
      <c r="AD1033" s="144">
        <f t="shared" si="228"/>
        <v>-4.9681020263533791E-2</v>
      </c>
      <c r="AE1033" s="144">
        <f t="shared" si="229"/>
        <v>-3.9789741936221451E-2</v>
      </c>
    </row>
    <row r="1034" spans="1:31">
      <c r="A1034" s="88">
        <v>45469</v>
      </c>
      <c r="B1034" s="78">
        <v>59507744.539999999</v>
      </c>
      <c r="D1034" s="67">
        <f t="shared" si="198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186"/>
        <v>-8.1851820922739169E-3</v>
      </c>
      <c r="H1034" s="70"/>
      <c r="I1034" s="70"/>
      <c r="J1034" s="67">
        <f t="shared" si="213"/>
        <v>4204075.9600000009</v>
      </c>
      <c r="K1034" s="70">
        <f t="shared" si="230"/>
        <v>7.6018030411826532E-2</v>
      </c>
      <c r="L1034" s="70">
        <f t="shared" si="221"/>
        <v>0.99181481790772608</v>
      </c>
      <c r="M1034" s="70">
        <f>PRODUCT($L$2:L1034)-1</f>
        <v>0.32740930303217208</v>
      </c>
      <c r="N1034" s="70">
        <f>PRODUCT($L$909:L1034)-1</f>
        <v>4.8937186129349941E-2</v>
      </c>
      <c r="O1034" s="70">
        <f>AVERAGE($G$909:G1034)*252</f>
        <v>0.2036165376194326</v>
      </c>
      <c r="P1034" s="70">
        <f>STDEV($G$909:G1034)*252^0.5</f>
        <v>0.46541734542605306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2"/>
        <v>0.43749237027906135</v>
      </c>
      <c r="X1034" s="142">
        <f t="shared" si="194"/>
        <v>1.7857142857142857E-4</v>
      </c>
      <c r="Y1034" s="139">
        <f t="shared" si="223"/>
        <v>-8.3637535208453458E-3</v>
      </c>
      <c r="Z1034" s="139">
        <f t="shared" si="224"/>
        <v>-8.3637535208453458E-3</v>
      </c>
      <c r="AA1034" s="139">
        <f t="shared" si="225"/>
        <v>6.9952372957452923E-5</v>
      </c>
      <c r="AB1034" s="144">
        <f t="shared" si="226"/>
        <v>4.3364880023512296</v>
      </c>
      <c r="AC1034" s="144">
        <f t="shared" si="227"/>
        <v>-3.0885309291848115E-2</v>
      </c>
      <c r="AD1034" s="144">
        <f t="shared" si="228"/>
        <v>-4.9905099446827861E-2</v>
      </c>
      <c r="AE1034" s="144">
        <f t="shared" si="229"/>
        <v>-3.9835879001437882E-2</v>
      </c>
    </row>
    <row r="1035" spans="1:31">
      <c r="A1035" s="88">
        <v>45470</v>
      </c>
      <c r="B1035" s="78">
        <v>58724567.609999999</v>
      </c>
      <c r="D1035" s="67">
        <f t="shared" si="198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186"/>
        <v>-1.3160924448641517E-2</v>
      </c>
      <c r="H1035" s="70"/>
      <c r="I1035" s="70"/>
      <c r="J1035" s="67">
        <f t="shared" si="213"/>
        <v>3420899.0300000012</v>
      </c>
      <c r="K1035" s="70">
        <f t="shared" si="230"/>
        <v>6.1856638408200437E-2</v>
      </c>
      <c r="L1035" s="70">
        <f t="shared" si="221"/>
        <v>0.98683907555135852</v>
      </c>
      <c r="M1035" s="70">
        <f>PRODUCT($L$2:L1035)-1</f>
        <v>0.30993936948254186</v>
      </c>
      <c r="N1035" s="70">
        <f>PRODUCT($L$909:L1035)-1</f>
        <v>3.5132203071331025E-2</v>
      </c>
      <c r="O1035" s="70">
        <f>AVERAGE($G$909:G1035)*252</f>
        <v>0.175898667551109</v>
      </c>
      <c r="P1035" s="70">
        <f>STDEV($G$909:G1035)*252^0.5</f>
        <v>0.46398420350027325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2"/>
        <v>0.37910486224345225</v>
      </c>
      <c r="X1035" s="142">
        <f t="shared" si="194"/>
        <v>1.7857142857142857E-4</v>
      </c>
      <c r="Y1035" s="139">
        <f t="shared" si="223"/>
        <v>-1.3339495877212946E-2</v>
      </c>
      <c r="Z1035" s="139">
        <f t="shared" si="224"/>
        <v>-1.3339495877212946E-2</v>
      </c>
      <c r="AA1035" s="139">
        <f t="shared" si="225"/>
        <v>1.7794215025818119E-4</v>
      </c>
      <c r="AB1035" s="144">
        <f t="shared" si="226"/>
        <v>4.2954741231440883</v>
      </c>
      <c r="AC1035" s="144">
        <f t="shared" si="227"/>
        <v>-3.1945019813936423E-2</v>
      </c>
      <c r="AD1035" s="144">
        <f t="shared" si="228"/>
        <v>-5.012999411186532E-2</v>
      </c>
      <c r="AE1035" s="144">
        <f t="shared" si="229"/>
        <v>-3.9892848948583415E-2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8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186"/>
        <v>1.1415241989552702E-2</v>
      </c>
      <c r="H1036" s="81"/>
      <c r="I1036" s="81"/>
      <c r="J1036" s="80">
        <f t="shared" si="213"/>
        <v>4091254.1799999997</v>
      </c>
      <c r="K1036" s="81">
        <f t="shared" si="230"/>
        <v>7.3977988893842994E-2</v>
      </c>
      <c r="L1036" s="81">
        <f t="shared" si="221"/>
        <v>1.0114152419895528</v>
      </c>
      <c r="M1036" s="81">
        <f>PRODUCT($L$2:L1036)-1</f>
        <v>0.32489264437682719</v>
      </c>
      <c r="N1036" s="81">
        <f>PRODUCT($L$909:L1036)-1</f>
        <v>4.6948487660569249E-2</v>
      </c>
      <c r="O1036" s="81">
        <f>AVERAGE($G$909:G1036)*252</f>
        <v>0.19699821687779784</v>
      </c>
      <c r="P1036" s="81">
        <f>STDEV($G$909:G1036)*252^0.5</f>
        <v>0.46239846580668564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6">
        <f t="shared" si="222"/>
        <v>0.42603561959082414</v>
      </c>
      <c r="X1036" s="143">
        <f t="shared" si="194"/>
        <v>1.7857142857142857E-4</v>
      </c>
      <c r="Y1036" s="140">
        <f t="shared" si="223"/>
        <v>1.1236670560981273E-2</v>
      </c>
      <c r="Z1036" s="140">
        <f t="shared" si="224"/>
        <v>0</v>
      </c>
      <c r="AA1036" s="140">
        <f t="shared" si="225"/>
        <v>0</v>
      </c>
      <c r="AB1036" s="145">
        <f t="shared" si="226"/>
        <v>4.9119791244373721</v>
      </c>
      <c r="AC1036" s="145">
        <f t="shared" si="227"/>
        <v>-3.0293637805468926E-2</v>
      </c>
      <c r="AD1036" s="145">
        <f t="shared" si="228"/>
        <v>-4.9942930914224477E-2</v>
      </c>
      <c r="AE1036" s="145">
        <f t="shared" si="229"/>
        <v>-3.9682320748006199E-2</v>
      </c>
    </row>
    <row r="1037" spans="1:31">
      <c r="A1037" s="88">
        <v>45474</v>
      </c>
      <c r="B1037" s="78">
        <v>59663049.789999999</v>
      </c>
      <c r="D1037" s="67">
        <f t="shared" si="198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186"/>
        <v>4.5143089264285327E-3</v>
      </c>
      <c r="H1037" s="70"/>
      <c r="I1037" s="70"/>
      <c r="J1037" s="67">
        <f t="shared" si="213"/>
        <v>268127.03000000119</v>
      </c>
      <c r="K1037" s="85">
        <f>G1037</f>
        <v>4.5143089264285327E-3</v>
      </c>
      <c r="L1037" s="70">
        <f t="shared" si="221"/>
        <v>1.0045143089264286</v>
      </c>
      <c r="M1037" s="70">
        <f>PRODUCT($L$2:L1037)-1</f>
        <v>0.33087361906789714</v>
      </c>
      <c r="N1037" s="70">
        <f>PRODUCT($L$909:L1037)-1</f>
        <v>5.1674736563926293E-2</v>
      </c>
      <c r="O1037" s="70">
        <f>AVERAGE($G$909:G1037)*252</f>
        <v>0.20428974891331872</v>
      </c>
      <c r="P1037" s="70">
        <f>STDEV($G$909:G1037)*252^0.5</f>
        <v>0.4606182241492624</v>
      </c>
      <c r="Q1037" s="67">
        <f t="shared" si="204"/>
        <v>3789677.7299999967</v>
      </c>
      <c r="R1037" s="70">
        <f t="shared" ref="R1037:R1100" si="231">Q1037/B1006</f>
        <v>6.7826186075371026E-2</v>
      </c>
      <c r="S1037" s="67">
        <f t="shared" si="205"/>
        <v>11786806.089999996</v>
      </c>
      <c r="T1037" s="70">
        <f t="shared" ref="T1037:T1100" si="232">S1037/B946</f>
        <v>0.24619320938914838</v>
      </c>
      <c r="U1037" s="67">
        <f t="shared" si="206"/>
        <v>25080302.93</v>
      </c>
      <c r="V1037" s="70">
        <f t="shared" ref="V1037:V1100" si="233">U1037/B671</f>
        <v>0.72522587727145049</v>
      </c>
      <c r="W1037" s="87">
        <f t="shared" si="222"/>
        <v>0.44351208485211613</v>
      </c>
      <c r="X1037" s="142">
        <f t="shared" si="194"/>
        <v>1.7857142857142857E-4</v>
      </c>
      <c r="Y1037" s="139">
        <f t="shared" si="223"/>
        <v>4.3357374978571037E-3</v>
      </c>
      <c r="Z1037" s="139">
        <f t="shared" si="224"/>
        <v>0</v>
      </c>
      <c r="AA1037" s="139">
        <f t="shared" si="225"/>
        <v>0</v>
      </c>
      <c r="AB1037" s="144">
        <f t="shared" si="226"/>
        <v>5.0290236760521223</v>
      </c>
      <c r="AC1037" s="144">
        <f t="shared" si="227"/>
        <v>-2.9547203634363639E-2</v>
      </c>
      <c r="AD1037" s="144">
        <f t="shared" si="228"/>
        <v>-4.9726098020734327E-2</v>
      </c>
      <c r="AE1037" s="144">
        <f t="shared" si="229"/>
        <v>-3.9695184812931467E-2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8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ref="G1038:G1101" si="234">F1038/(B1037+C1038)</f>
        <v>2.1464326231652807E-2</v>
      </c>
      <c r="H1038" s="70"/>
      <c r="I1038" s="70"/>
      <c r="J1038" s="67">
        <f t="shared" si="213"/>
        <v>1548754.1946679056</v>
      </c>
      <c r="K1038" s="70">
        <f t="shared" si="230"/>
        <v>2.6075531757588699E-2</v>
      </c>
      <c r="L1038" s="70">
        <f t="shared" si="221"/>
        <v>1.0214643262316527</v>
      </c>
      <c r="M1038" s="70">
        <f>PRODUCT($L$2:L1038)-1</f>
        <v>0.35943992460067076</v>
      </c>
      <c r="N1038" s="70">
        <f>PRODUCT($L$909:L1038)-1</f>
        <v>7.4248226199121747E-2</v>
      </c>
      <c r="O1038" s="70">
        <f>AVERAGE($G$909:G1038)*252</f>
        <v>0.24432606015534331</v>
      </c>
      <c r="P1038" s="70">
        <f>STDEV($G$909:G1038)*252^0.5</f>
        <v>0.45972961880047547</v>
      </c>
      <c r="Q1038" s="67">
        <f t="shared" si="204"/>
        <v>4157588.2646679059</v>
      </c>
      <c r="R1038" s="70">
        <f t="shared" si="231"/>
        <v>7.3214908097730194E-2</v>
      </c>
      <c r="S1038" s="67">
        <f t="shared" si="205"/>
        <v>13108482.024667904</v>
      </c>
      <c r="T1038" s="70">
        <f t="shared" si="232"/>
        <v>0.2740342554023309</v>
      </c>
      <c r="U1038" s="67">
        <f t="shared" si="206"/>
        <v>25124594.134667903</v>
      </c>
      <c r="V1038" s="70">
        <f t="shared" si="233"/>
        <v>0.70143041520424676</v>
      </c>
      <c r="W1038" s="87">
        <f t="shared" si="222"/>
        <v>0.53145599100801422</v>
      </c>
      <c r="X1038" s="142">
        <f t="shared" si="194"/>
        <v>1.7857142857142857E-4</v>
      </c>
      <c r="Y1038" s="139">
        <f t="shared" si="223"/>
        <v>2.128575480308138E-2</v>
      </c>
      <c r="Z1038" s="139">
        <f t="shared" si="224"/>
        <v>0</v>
      </c>
      <c r="AA1038" s="139">
        <f t="shared" si="225"/>
        <v>0</v>
      </c>
      <c r="AB1038" s="144">
        <f t="shared" si="226"/>
        <v>5.2291606104739357</v>
      </c>
      <c r="AC1038" s="144">
        <f t="shared" si="227"/>
        <v>-2.9452966788972967E-2</v>
      </c>
      <c r="AD1038" s="144">
        <f t="shared" si="228"/>
        <v>-4.9726029958641421E-2</v>
      </c>
      <c r="AE1038" s="144">
        <f t="shared" si="229"/>
        <v>-3.9646191383188881E-2</v>
      </c>
    </row>
    <row r="1039" spans="1:31">
      <c r="A1039" s="88">
        <v>45476</v>
      </c>
      <c r="B1039" s="78">
        <v>63861820.590471402</v>
      </c>
      <c r="D1039" s="67">
        <f t="shared" si="198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34"/>
        <v>4.7882631662906038E-2</v>
      </c>
      <c r="H1039" s="70"/>
      <c r="I1039" s="70"/>
      <c r="J1039" s="67">
        <f t="shared" si="213"/>
        <v>4466897.8304714039</v>
      </c>
      <c r="K1039" s="70">
        <f t="shared" ref="K1039:K1059" si="235">(1+K1038)*(1+G1039)-1</f>
        <v>7.5206728503057763E-2</v>
      </c>
      <c r="L1039" s="70">
        <f t="shared" si="221"/>
        <v>1.047882631662906</v>
      </c>
      <c r="M1039" s="70">
        <f>PRODUCT($L$2:L1039)-1</f>
        <v>0.42453348577817329</v>
      </c>
      <c r="N1039" s="70">
        <f>PRODUCT($L$909:L1039)-1</f>
        <v>0.12568605832874447</v>
      </c>
      <c r="O1039" s="70">
        <f>AVERAGE($G$909:G1039)*252</f>
        <v>0.33457107633012939</v>
      </c>
      <c r="P1039" s="70">
        <f>STDEV($G$909:G1039)*252^0.5</f>
        <v>0.46255725592205282</v>
      </c>
      <c r="Q1039" s="67">
        <f t="shared" si="204"/>
        <v>7075731.9004714042</v>
      </c>
      <c r="R1039" s="70">
        <f t="shared" si="231"/>
        <v>0.12460326223731337</v>
      </c>
      <c r="S1039" s="67">
        <f t="shared" si="205"/>
        <v>16529593.430471405</v>
      </c>
      <c r="T1039" s="70">
        <f t="shared" si="232"/>
        <v>0.34922492395287924</v>
      </c>
      <c r="U1039" s="67">
        <f t="shared" si="206"/>
        <v>29179228.1704714</v>
      </c>
      <c r="V1039" s="70">
        <f t="shared" si="233"/>
        <v>0.84132200433912663</v>
      </c>
      <c r="W1039" s="87">
        <f t="shared" si="222"/>
        <v>0.72330737880914175</v>
      </c>
      <c r="X1039" s="142">
        <f t="shared" si="194"/>
        <v>1.7857142857142857E-4</v>
      </c>
      <c r="Y1039" s="139">
        <f t="shared" si="223"/>
        <v>4.7704060234334607E-2</v>
      </c>
      <c r="Z1039" s="139">
        <f t="shared" si="224"/>
        <v>0</v>
      </c>
      <c r="AA1039" s="139">
        <f t="shared" si="225"/>
        <v>0</v>
      </c>
      <c r="AB1039" s="144">
        <f t="shared" si="226"/>
        <v>5.6420727101363104</v>
      </c>
      <c r="AC1039" s="144">
        <f t="shared" si="227"/>
        <v>-3.0748926037471563E-2</v>
      </c>
      <c r="AD1039" s="144">
        <f t="shared" si="228"/>
        <v>-4.976062761133708E-2</v>
      </c>
      <c r="AE1039" s="144">
        <f t="shared" si="229"/>
        <v>-3.9700271260860086E-2</v>
      </c>
    </row>
    <row r="1040" spans="1:31">
      <c r="A1040" s="88">
        <v>45477</v>
      </c>
      <c r="B1040" s="78">
        <v>64044619.867267199</v>
      </c>
      <c r="D1040" s="67">
        <f t="shared" si="198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34"/>
        <v>2.8624188146473212E-3</v>
      </c>
      <c r="H1040" s="70"/>
      <c r="I1040" s="70"/>
      <c r="J1040" s="67">
        <f t="shared" si="213"/>
        <v>4649697.1072672009</v>
      </c>
      <c r="K1040" s="70">
        <f t="shared" si="235"/>
        <v>7.8284420472360283E-2</v>
      </c>
      <c r="L1040" s="70">
        <f t="shared" si="221"/>
        <v>1.0028624188146473</v>
      </c>
      <c r="M1040" s="70">
        <f>PRODUCT($L$2:L1040)-1</f>
        <v>0.42861109722995994</v>
      </c>
      <c r="N1040" s="70">
        <f>PRODUCT($L$909:L1040)-1</f>
        <v>0.12890824328149075</v>
      </c>
      <c r="O1040" s="70">
        <f>AVERAGE($G$909:G1040)*252</f>
        <v>0.33750106470104602</v>
      </c>
      <c r="P1040" s="70">
        <f>STDEV($G$909:G1040)*252^0.5</f>
        <v>0.46079326749899047</v>
      </c>
      <c r="Q1040" s="67">
        <f t="shared" si="204"/>
        <v>8737401.7472672015</v>
      </c>
      <c r="R1040" s="70">
        <f t="shared" si="231"/>
        <v>0.15797941108355282</v>
      </c>
      <c r="S1040" s="67">
        <f t="shared" si="205"/>
        <v>16814996.377267197</v>
      </c>
      <c r="T1040" s="70">
        <f t="shared" si="232"/>
        <v>0.35602647522327718</v>
      </c>
      <c r="U1040" s="67">
        <f t="shared" si="206"/>
        <v>30089922.507267199</v>
      </c>
      <c r="V1040" s="70">
        <f t="shared" si="233"/>
        <v>0.88617849213152877</v>
      </c>
      <c r="W1040" s="87">
        <f t="shared" si="222"/>
        <v>0.7324348867614161</v>
      </c>
      <c r="X1040" s="142">
        <f t="shared" si="194"/>
        <v>1.7857142857142857E-4</v>
      </c>
      <c r="Y1040" s="139">
        <f t="shared" si="223"/>
        <v>2.6838473860758927E-3</v>
      </c>
      <c r="Z1040" s="139">
        <f t="shared" si="224"/>
        <v>0</v>
      </c>
      <c r="AA1040" s="139">
        <f t="shared" si="225"/>
        <v>0</v>
      </c>
      <c r="AB1040" s="144">
        <f t="shared" si="226"/>
        <v>5.281570060172367</v>
      </c>
      <c r="AC1040" s="144">
        <f t="shared" si="227"/>
        <v>-3.0637987699994804E-2</v>
      </c>
      <c r="AD1040" s="144">
        <f t="shared" si="228"/>
        <v>-4.9561604081719557E-2</v>
      </c>
      <c r="AE1040" s="144">
        <f t="shared" si="229"/>
        <v>-3.9506055389786417E-2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8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34"/>
        <v>3.7098206270531212E-3</v>
      </c>
      <c r="H1041" s="70"/>
      <c r="I1041" s="70"/>
      <c r="J1041" s="67">
        <f t="shared" si="213"/>
        <v>4888626.694528304</v>
      </c>
      <c r="K1041" s="70">
        <f t="shared" si="235"/>
        <v>8.2284662257258612E-2</v>
      </c>
      <c r="L1041" s="70">
        <f t="shared" si="221"/>
        <v>1.0037098206270532</v>
      </c>
      <c r="M1041" s="70">
        <f>PRODUCT($L$2:L1041)-1</f>
        <v>0.43391098814650064</v>
      </c>
      <c r="N1041" s="70">
        <f>PRODUCT($L$909:L1041)-1</f>
        <v>0.13309629036846671</v>
      </c>
      <c r="O1041" s="70">
        <f>AVERAGE($G$909:G1041)*252</f>
        <v>0.34199259653049224</v>
      </c>
      <c r="P1041" s="70">
        <f>STDEV($G$909:G1041)*252^0.5</f>
        <v>0.45905611724722351</v>
      </c>
      <c r="Q1041" s="67">
        <f t="shared" si="204"/>
        <v>9580974.7745283023</v>
      </c>
      <c r="R1041" s="70">
        <f t="shared" si="231"/>
        <v>0.17514668789495269</v>
      </c>
      <c r="S1041" s="67">
        <f t="shared" si="205"/>
        <v>17389225.0345283</v>
      </c>
      <c r="T1041" s="70">
        <f t="shared" si="232"/>
        <v>0.37081726306119794</v>
      </c>
      <c r="U1041" s="67">
        <f t="shared" si="206"/>
        <v>29686064.974528305</v>
      </c>
      <c r="V1041" s="70">
        <f t="shared" si="233"/>
        <v>0.85804113855991848</v>
      </c>
      <c r="W1041" s="87">
        <f t="shared" si="222"/>
        <v>0.74499082722453513</v>
      </c>
      <c r="X1041" s="142">
        <f t="shared" si="194"/>
        <v>1.7857142857142857E-4</v>
      </c>
      <c r="Y1041" s="139">
        <f t="shared" si="223"/>
        <v>3.5312491984816926E-3</v>
      </c>
      <c r="Z1041" s="139">
        <f t="shared" si="224"/>
        <v>0</v>
      </c>
      <c r="AA1041" s="139">
        <f t="shared" si="225"/>
        <v>0</v>
      </c>
      <c r="AB1041" s="144">
        <f t="shared" si="226"/>
        <v>4.8634583618596645</v>
      </c>
      <c r="AC1041" s="144">
        <f t="shared" si="227"/>
        <v>-2.9942985484883868E-2</v>
      </c>
      <c r="AD1041" s="144">
        <f t="shared" si="228"/>
        <v>-4.9488971044315891E-2</v>
      </c>
      <c r="AE1041" s="144">
        <f t="shared" si="229"/>
        <v>-3.939254960426334E-2</v>
      </c>
    </row>
    <row r="1042" spans="1:31">
      <c r="A1042" s="88">
        <v>45481</v>
      </c>
      <c r="B1042" s="78">
        <v>65020485.0934029</v>
      </c>
      <c r="D1042" s="67">
        <f t="shared" si="198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34"/>
        <v>5.8309861085171794E-3</v>
      </c>
      <c r="H1042" s="70"/>
      <c r="I1042" s="70"/>
      <c r="J1042" s="67">
        <f t="shared" si="213"/>
        <v>5265562.3334029019</v>
      </c>
      <c r="K1042" s="70">
        <f t="shared" si="235"/>
        <v>8.8595449088342049E-2</v>
      </c>
      <c r="L1042" s="70">
        <f t="shared" si="221"/>
        <v>1.0058309861085173</v>
      </c>
      <c r="M1042" s="70">
        <f>PRODUCT($L$2:L1042)-1</f>
        <v>0.44227210319923316</v>
      </c>
      <c r="N1042" s="70">
        <f>PRODUCT($L$909:L1042)-1</f>
        <v>0.13970335909721765</v>
      </c>
      <c r="O1042" s="70">
        <f>AVERAGE($G$909:G1042)*252</f>
        <v>0.35040614804404324</v>
      </c>
      <c r="P1042" s="70">
        <f>STDEV($G$909:G1042)*252^0.5</f>
        <v>0.45736823775979374</v>
      </c>
      <c r="Q1042" s="67">
        <f t="shared" si="204"/>
        <v>8933830.3034029007</v>
      </c>
      <c r="R1042" s="70">
        <f t="shared" si="231"/>
        <v>0.15928620340886801</v>
      </c>
      <c r="S1042" s="67">
        <f t="shared" si="205"/>
        <v>17850226.933402903</v>
      </c>
      <c r="T1042" s="70">
        <f t="shared" si="232"/>
        <v>0.37842122620689311</v>
      </c>
      <c r="U1042" s="67">
        <f t="shared" si="206"/>
        <v>30975246.703402899</v>
      </c>
      <c r="V1042" s="70">
        <f t="shared" si="233"/>
        <v>0.90982610691606025</v>
      </c>
      <c r="W1042" s="87">
        <f t="shared" si="222"/>
        <v>0.76613572853319523</v>
      </c>
      <c r="X1042" s="142">
        <f t="shared" si="194"/>
        <v>1.7857142857142857E-4</v>
      </c>
      <c r="Y1042" s="139">
        <f t="shared" si="223"/>
        <v>5.6524146799457504E-3</v>
      </c>
      <c r="Z1042" s="139">
        <f t="shared" si="224"/>
        <v>0</v>
      </c>
      <c r="AA1042" s="139">
        <f t="shared" si="225"/>
        <v>0</v>
      </c>
      <c r="AB1042" s="144">
        <f t="shared" si="226"/>
        <v>4.9539765980562098</v>
      </c>
      <c r="AC1042" s="144">
        <f t="shared" si="227"/>
        <v>-2.9092882057637322E-2</v>
      </c>
      <c r="AD1042" s="144">
        <f t="shared" si="228"/>
        <v>-4.9318225683851448E-2</v>
      </c>
      <c r="AE1042" s="144">
        <f t="shared" si="229"/>
        <v>-3.9403428998860048E-2</v>
      </c>
    </row>
    <row r="1043" spans="1:31">
      <c r="A1043" s="88">
        <v>45482</v>
      </c>
      <c r="B1043" s="78">
        <v>65091084.935261697</v>
      </c>
      <c r="D1043" s="67">
        <f t="shared" si="198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34"/>
        <v>1.0858092147017827E-3</v>
      </c>
      <c r="H1043" s="70"/>
      <c r="I1043" s="70"/>
      <c r="J1043" s="67">
        <f t="shared" si="213"/>
        <v>5336162.1752616987</v>
      </c>
      <c r="K1043" s="70">
        <f t="shared" si="235"/>
        <v>8.9777456058044436E-2</v>
      </c>
      <c r="L1043" s="70">
        <f t="shared" si="221"/>
        <v>1.0010858092147017</v>
      </c>
      <c r="M1043" s="70">
        <f>PRODUCT($L$2:L1043)-1</f>
        <v>0.44383813553899398</v>
      </c>
      <c r="N1043" s="70">
        <f>PRODUCT($L$909:L1043)-1</f>
        <v>0.14094085950655177</v>
      </c>
      <c r="O1043" s="70">
        <f>AVERAGE($G$909:G1043)*252</f>
        <v>0.34983739081486404</v>
      </c>
      <c r="P1043" s="70">
        <f>STDEV($G$909:G1043)*252^0.5</f>
        <v>0.45565863412957991</v>
      </c>
      <c r="Q1043" s="67">
        <f t="shared" si="204"/>
        <v>9004430.1452616975</v>
      </c>
      <c r="R1043" s="70">
        <f t="shared" si="231"/>
        <v>0.16054496705100599</v>
      </c>
      <c r="S1043" s="67">
        <f t="shared" si="205"/>
        <v>16184221.535261698</v>
      </c>
      <c r="T1043" s="70">
        <f t="shared" si="232"/>
        <v>0.3309192291252458</v>
      </c>
      <c r="U1043" s="67">
        <f t="shared" si="206"/>
        <v>31623065.995261695</v>
      </c>
      <c r="V1043" s="70">
        <f t="shared" si="233"/>
        <v>0.94487415140866693</v>
      </c>
      <c r="W1043" s="87">
        <f t="shared" si="222"/>
        <v>0.76776201439294467</v>
      </c>
      <c r="X1043" s="142">
        <f t="shared" si="194"/>
        <v>1.7857142857142857E-4</v>
      </c>
      <c r="Y1043" s="139">
        <f t="shared" si="223"/>
        <v>9.0723778613035415E-4</v>
      </c>
      <c r="Z1043" s="139">
        <f t="shared" si="224"/>
        <v>0</v>
      </c>
      <c r="AA1043" s="139">
        <f t="shared" si="225"/>
        <v>0</v>
      </c>
      <c r="AB1043" s="144">
        <f t="shared" si="226"/>
        <v>4.8025004998177927</v>
      </c>
      <c r="AC1043" s="144">
        <f t="shared" si="227"/>
        <v>-2.9349091831866767E-2</v>
      </c>
      <c r="AD1043" s="144">
        <f t="shared" si="228"/>
        <v>-4.937060435167983E-2</v>
      </c>
      <c r="AE1043" s="144">
        <f t="shared" si="229"/>
        <v>-3.932863921057661E-2</v>
      </c>
    </row>
    <row r="1044" spans="1:31">
      <c r="A1044" s="88">
        <v>45483</v>
      </c>
      <c r="B1044" s="78">
        <v>67403249.519004002</v>
      </c>
      <c r="D1044" s="67">
        <f t="shared" si="198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34"/>
        <v>3.5521985630473644E-2</v>
      </c>
      <c r="H1044" s="70"/>
      <c r="I1044" s="70"/>
      <c r="J1044" s="67">
        <f t="shared" si="213"/>
        <v>7648326.7590040043</v>
      </c>
      <c r="K1044" s="70">
        <f t="shared" si="235"/>
        <v>0.12848851519255233</v>
      </c>
      <c r="L1044" s="70">
        <f t="shared" si="221"/>
        <v>1.0355219856304736</v>
      </c>
      <c r="M1044" s="70">
        <f>PRODUCT($L$2:L1044)-1</f>
        <v>0.49512613304233999</v>
      </c>
      <c r="N1044" s="70">
        <f>PRODUCT($L$909:L1044)-1</f>
        <v>0.18146934432316364</v>
      </c>
      <c r="O1044" s="70">
        <f>AVERAGE($G$909:G1044)*252</f>
        <v>0.41308520690357353</v>
      </c>
      <c r="P1044" s="70">
        <f>STDEV($G$909:G1044)*252^0.5</f>
        <v>0.45633947241120354</v>
      </c>
      <c r="Q1044" s="67">
        <f t="shared" si="204"/>
        <v>9824708.5990040004</v>
      </c>
      <c r="R1044" s="70">
        <f t="shared" si="231"/>
        <v>0.17063142695217848</v>
      </c>
      <c r="S1044" s="67">
        <f t="shared" si="205"/>
        <v>18023765.679003999</v>
      </c>
      <c r="T1044" s="70">
        <f t="shared" si="232"/>
        <v>0.3650051454042092</v>
      </c>
      <c r="U1044" s="67">
        <f t="shared" si="206"/>
        <v>34272609.739004001</v>
      </c>
      <c r="V1044" s="70">
        <f t="shared" si="233"/>
        <v>1.0344686962457446</v>
      </c>
      <c r="W1044" s="87">
        <f t="shared" si="222"/>
        <v>0.90521471815908583</v>
      </c>
      <c r="X1044" s="142">
        <f t="shared" si="194"/>
        <v>1.7857142857142857E-4</v>
      </c>
      <c r="Y1044" s="139">
        <f t="shared" si="223"/>
        <v>3.5343414201902214E-2</v>
      </c>
      <c r="Z1044" s="139">
        <f t="shared" si="224"/>
        <v>0</v>
      </c>
      <c r="AA1044" s="139">
        <f t="shared" si="225"/>
        <v>0</v>
      </c>
      <c r="AB1044" s="144">
        <f t="shared" si="226"/>
        <v>4.9619174744889447</v>
      </c>
      <c r="AC1044" s="144">
        <f t="shared" si="227"/>
        <v>-2.9360035991317746E-2</v>
      </c>
      <c r="AD1044" s="144">
        <f t="shared" si="228"/>
        <v>-4.9360938158409889E-2</v>
      </c>
      <c r="AE1044" s="144">
        <f t="shared" si="229"/>
        <v>-3.925497667027255E-2</v>
      </c>
    </row>
    <row r="1045" spans="1:31">
      <c r="A1045" s="88">
        <v>45484</v>
      </c>
      <c r="B1045" s="78">
        <v>65444352.981031403</v>
      </c>
      <c r="D1045" s="67">
        <f t="shared" si="198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34"/>
        <v>-2.9062345687358861E-2</v>
      </c>
      <c r="H1045" s="70"/>
      <c r="I1045" s="70"/>
      <c r="J1045" s="67">
        <f t="shared" si="213"/>
        <v>5689430.221031405</v>
      </c>
      <c r="K1045" s="70">
        <f t="shared" si="235"/>
        <v>9.5691991859812031E-2</v>
      </c>
      <c r="L1045" s="70">
        <f t="shared" si="221"/>
        <v>0.97093765431264112</v>
      </c>
      <c r="M1045" s="70">
        <f>PRODUCT($L$2:L1045)-1</f>
        <v>0.45167426051765935</v>
      </c>
      <c r="N1045" s="70">
        <f>PRODUCT($L$909:L1045)-1</f>
        <v>0.14713307381942653</v>
      </c>
      <c r="O1045" s="70">
        <f>AVERAGE($G$909:G1045)*252</f>
        <v>0.35661224106329614</v>
      </c>
      <c r="P1045" s="70">
        <f>STDEV($G$909:G1045)*252^0.5</f>
        <v>0.45656139177652327</v>
      </c>
      <c r="Q1045" s="67">
        <f t="shared" ref="Q1045:Q1076" si="236">B1045-C1045-D1014</f>
        <v>9433933.6910314038</v>
      </c>
      <c r="R1045" s="70">
        <f t="shared" si="231"/>
        <v>0.16843176342219815</v>
      </c>
      <c r="S1045" s="67">
        <f t="shared" ref="S1045:S1076" si="237">B1045-C1045-D954</f>
        <v>16960431.021031402</v>
      </c>
      <c r="T1045" s="70">
        <f t="shared" si="232"/>
        <v>0.34981557463573232</v>
      </c>
      <c r="U1045" s="67">
        <f t="shared" ref="U1045:U1076" si="238">B1045-C1045-D679</f>
        <v>31714291.921031401</v>
      </c>
      <c r="V1045" s="70">
        <f t="shared" si="233"/>
        <v>0.94023820071410802</v>
      </c>
      <c r="W1045" s="87">
        <f t="shared" si="222"/>
        <v>0.78108277985504737</v>
      </c>
      <c r="X1045" s="142">
        <f t="shared" si="194"/>
        <v>1.7857142857142857E-4</v>
      </c>
      <c r="Y1045" s="139">
        <f t="shared" si="223"/>
        <v>-2.9240917115930288E-2</v>
      </c>
      <c r="Z1045" s="139">
        <f t="shared" si="224"/>
        <v>-2.9240917115930288E-2</v>
      </c>
      <c r="AA1045" s="139">
        <f t="shared" si="225"/>
        <v>8.5503123378070488E-4</v>
      </c>
      <c r="AB1045" s="144">
        <f t="shared" si="226"/>
        <v>4.6214199489323828</v>
      </c>
      <c r="AC1045" s="144">
        <f t="shared" si="227"/>
        <v>-3.1941159116735271E-2</v>
      </c>
      <c r="AD1045" s="144">
        <f t="shared" si="228"/>
        <v>-5.0064481328244828E-2</v>
      </c>
      <c r="AE1045" s="144">
        <f t="shared" si="229"/>
        <v>-3.9379898413857493E-2</v>
      </c>
    </row>
    <row r="1046" spans="1:31">
      <c r="A1046" s="88">
        <v>45485</v>
      </c>
      <c r="B1046" s="78">
        <v>67152852.177596301</v>
      </c>
      <c r="D1046" s="67">
        <f t="shared" si="198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si="234"/>
        <v>2.610613626297283E-2</v>
      </c>
      <c r="H1046" s="70"/>
      <c r="I1046" s="70"/>
      <c r="J1046" s="67">
        <f t="shared" ref="J1046:J1077" si="241">IF(MONTH(A1046)=MONTH(A1045),J1045+F1046,F1046)</f>
        <v>7397929.4175963029</v>
      </c>
      <c r="K1046" s="70">
        <f t="shared" si="235"/>
        <v>0.12429627630155249</v>
      </c>
      <c r="L1046" s="70">
        <f t="shared" si="221"/>
        <v>1.0261061362629729</v>
      </c>
      <c r="M1046" s="70">
        <f>PRODUCT($L$2:L1046)-1</f>
        <v>0.48957186657218377</v>
      </c>
      <c r="N1046" s="70">
        <f>PRODUCT($L$909:L1046)-1</f>
        <v>0.17708028615631943</v>
      </c>
      <c r="O1046" s="70">
        <f>AVERAGE($G$909:G1046)*252</f>
        <v>0.40170016930391833</v>
      </c>
      <c r="P1046" s="70">
        <f>STDEV($G$909:G1046)*252^0.5</f>
        <v>0.45611407608384591</v>
      </c>
      <c r="Q1046" s="67">
        <f t="shared" si="236"/>
        <v>12406225.1475963</v>
      </c>
      <c r="R1046" s="70">
        <f t="shared" si="231"/>
        <v>0.22661168040175239</v>
      </c>
      <c r="S1046" s="67">
        <f t="shared" si="237"/>
        <v>17361147.877596304</v>
      </c>
      <c r="T1046" s="70">
        <f t="shared" si="232"/>
        <v>0.34867550973940664</v>
      </c>
      <c r="U1046" s="67">
        <f t="shared" si="238"/>
        <v>33146896.8975963</v>
      </c>
      <c r="V1046" s="70">
        <f t="shared" si="233"/>
        <v>0.97473800176085801</v>
      </c>
      <c r="W1046" s="87">
        <f t="shared" si="222"/>
        <v>0.88070110169122506</v>
      </c>
      <c r="X1046" s="142">
        <f t="shared" si="194"/>
        <v>1.7857142857142857E-4</v>
      </c>
      <c r="Y1046" s="139">
        <f t="shared" si="223"/>
        <v>2.5927564834401402E-2</v>
      </c>
      <c r="Z1046" s="139">
        <f t="shared" si="224"/>
        <v>0</v>
      </c>
      <c r="AA1046" s="139">
        <f t="shared" si="225"/>
        <v>0</v>
      </c>
      <c r="AB1046" s="144">
        <f t="shared" si="226"/>
        <v>5.6008784902633986</v>
      </c>
      <c r="AC1046" s="144">
        <f t="shared" si="227"/>
        <v>-2.9560996258688042E-2</v>
      </c>
      <c r="AD1046" s="144">
        <f t="shared" si="228"/>
        <v>-4.9599365213517273E-2</v>
      </c>
      <c r="AE1046" s="144">
        <f t="shared" si="229"/>
        <v>-3.9386941365405784E-2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8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34"/>
        <v>-1.1365123576040949E-3</v>
      </c>
      <c r="H1047" s="70"/>
      <c r="I1047" s="70"/>
      <c r="J1047" s="67">
        <f t="shared" si="241"/>
        <v>7321609.3712481037</v>
      </c>
      <c r="K1047" s="70">
        <f t="shared" si="235"/>
        <v>0.12301849968992751</v>
      </c>
      <c r="L1047" s="70">
        <f t="shared" si="221"/>
        <v>0.99886348764239585</v>
      </c>
      <c r="M1047" s="70">
        <f>PRODUCT($L$2:L1047)-1</f>
        <v>0.48787894973828494</v>
      </c>
      <c r="N1047" s="70">
        <f>PRODUCT($L$909:L1047)-1</f>
        <v>0.1757425198652105</v>
      </c>
      <c r="O1047" s="70">
        <f>AVERAGE($G$909:G1047)*252</f>
        <v>0.39674980035844964</v>
      </c>
      <c r="P1047" s="70">
        <f>STDEV($G$909:G1047)*252^0.5</f>
        <v>0.4544733557507456</v>
      </c>
      <c r="Q1047" s="67">
        <f t="shared" si="236"/>
        <v>11772863.551248103</v>
      </c>
      <c r="R1047" s="70">
        <f t="shared" si="231"/>
        <v>0.21287671963782956</v>
      </c>
      <c r="S1047" s="67">
        <f t="shared" si="237"/>
        <v>15939393.371248104</v>
      </c>
      <c r="T1047" s="70">
        <f t="shared" si="232"/>
        <v>0.31169896786865331</v>
      </c>
      <c r="U1047" s="67">
        <f t="shared" si="238"/>
        <v>32985917.581248105</v>
      </c>
      <c r="V1047" s="70">
        <f t="shared" si="233"/>
        <v>0.96759527561077974</v>
      </c>
      <c r="W1047" s="87">
        <f t="shared" si="222"/>
        <v>0.87298803183534868</v>
      </c>
      <c r="X1047" s="142">
        <f t="shared" si="194"/>
        <v>1.7857142857142857E-4</v>
      </c>
      <c r="Y1047" s="139">
        <f t="shared" si="223"/>
        <v>-1.3150837861755234E-3</v>
      </c>
      <c r="Z1047" s="139">
        <f t="shared" si="224"/>
        <v>-1.3150837861755234E-3</v>
      </c>
      <c r="AA1047" s="139">
        <f t="shared" si="225"/>
        <v>1.7294453646617499E-6</v>
      </c>
      <c r="AB1047" s="144">
        <f t="shared" si="226"/>
        <v>5.6181121640263347</v>
      </c>
      <c r="AC1047" s="144">
        <f t="shared" si="227"/>
        <v>-2.7928948325808868E-2</v>
      </c>
      <c r="AD1047" s="144">
        <f t="shared" si="228"/>
        <v>-4.9755675378384719E-2</v>
      </c>
      <c r="AE1047" s="144">
        <f t="shared" si="229"/>
        <v>-3.940970448380017E-2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8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34"/>
        <v>1.3547785728166678E-2</v>
      </c>
      <c r="H1048" s="70"/>
      <c r="I1048" s="70"/>
      <c r="J1048" s="67">
        <f t="shared" si="241"/>
        <v>8243895.641678907</v>
      </c>
      <c r="K1048" s="70">
        <f t="shared" si="235"/>
        <v>0.13823291369249402</v>
      </c>
      <c r="L1048" s="70">
        <f t="shared" si="221"/>
        <v>1.0135477857281667</v>
      </c>
      <c r="M1048" s="70">
        <f>PRODUCT($L$2:L1048)-1</f>
        <v>0.50803641493878904</v>
      </c>
      <c r="N1048" s="70">
        <f>PRODUCT($L$909:L1048)-1</f>
        <v>0.19167122759583921</v>
      </c>
      <c r="O1048" s="70">
        <f>AVERAGE($G$909:G1048)*252</f>
        <v>0.4183018875237321</v>
      </c>
      <c r="P1048" s="70">
        <f>STDEV($G$909:G1048)*252^0.5</f>
        <v>0.45312044732606455</v>
      </c>
      <c r="Q1048" s="67">
        <f t="shared" si="236"/>
        <v>11612806.071678907</v>
      </c>
      <c r="R1048" s="70">
        <f t="shared" si="231"/>
        <v>0.20595189465988092</v>
      </c>
      <c r="S1048" s="67">
        <f t="shared" si="237"/>
        <v>17762485.691678904</v>
      </c>
      <c r="T1048" s="70">
        <f t="shared" si="232"/>
        <v>0.35357847067015541</v>
      </c>
      <c r="U1048" s="67">
        <f t="shared" si="238"/>
        <v>35104836.931678906</v>
      </c>
      <c r="V1048" s="70">
        <f t="shared" si="233"/>
        <v>1.0672115494348184</v>
      </c>
      <c r="W1048" s="87">
        <f t="shared" si="222"/>
        <v>0.92315826838580717</v>
      </c>
      <c r="X1048" s="142">
        <f t="shared" si="194"/>
        <v>1.7857142857142857E-4</v>
      </c>
      <c r="Y1048" s="139">
        <f t="shared" si="223"/>
        <v>1.3369214299595249E-2</v>
      </c>
      <c r="Z1048" s="139">
        <f t="shared" si="224"/>
        <v>0</v>
      </c>
      <c r="AA1048" s="139">
        <f t="shared" si="225"/>
        <v>0</v>
      </c>
      <c r="AB1048" s="144">
        <f t="shared" si="226"/>
        <v>5.7770508548483877</v>
      </c>
      <c r="AC1048" s="144">
        <f t="shared" si="227"/>
        <v>-2.7869885341126503E-2</v>
      </c>
      <c r="AD1048" s="144">
        <f t="shared" si="228"/>
        <v>-4.9772997719529637E-2</v>
      </c>
      <c r="AE1048" s="144">
        <f t="shared" si="229"/>
        <v>-3.9391569498255487E-2</v>
      </c>
    </row>
    <row r="1049" spans="1:31">
      <c r="A1049" s="88">
        <v>45490</v>
      </c>
      <c r="B1049" s="78">
        <v>62351398.195037097</v>
      </c>
      <c r="D1049" s="67">
        <f t="shared" si="198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34"/>
        <v>-9.6341073088290166E-2</v>
      </c>
      <c r="H1049" s="70"/>
      <c r="I1049" s="70"/>
      <c r="J1049" s="67">
        <f t="shared" si="241"/>
        <v>1596475.4350370988</v>
      </c>
      <c r="K1049" s="70">
        <f t="shared" si="235"/>
        <v>2.8574333362948012E-2</v>
      </c>
      <c r="L1049" s="70">
        <f t="shared" si="221"/>
        <v>0.90365892691170979</v>
      </c>
      <c r="M1049" s="70">
        <f>PRODUCT($L$2:L1049)-1</f>
        <v>0.36275056846736797</v>
      </c>
      <c r="N1049" s="70">
        <f>PRODUCT($L$909:L1049)-1</f>
        <v>7.6864342760815996E-2</v>
      </c>
      <c r="O1049" s="70">
        <f>AVERAGE($G$909:G1049)*252</f>
        <v>0.24315116195087497</v>
      </c>
      <c r="P1049" s="70">
        <f>STDEV($G$909:G1049)*252^0.5</f>
        <v>0.4701239497335169</v>
      </c>
      <c r="Q1049" s="67">
        <f t="shared" si="236"/>
        <v>7251142.1850370988</v>
      </c>
      <c r="R1049" s="70">
        <f t="shared" si="231"/>
        <v>0.13159906523340126</v>
      </c>
      <c r="S1049" s="67">
        <f t="shared" si="237"/>
        <v>13446807.7150371</v>
      </c>
      <c r="T1049" s="70">
        <f t="shared" si="232"/>
        <v>0.27496003101255495</v>
      </c>
      <c r="U1049" s="67">
        <f t="shared" si="238"/>
        <v>30030801.695037097</v>
      </c>
      <c r="V1049" s="70">
        <f t="shared" si="233"/>
        <v>0.92915369600425213</v>
      </c>
      <c r="W1049" s="87">
        <f t="shared" si="222"/>
        <v>0.51720649860255308</v>
      </c>
      <c r="X1049" s="142">
        <f t="shared" si="194"/>
        <v>1.7857142857142857E-4</v>
      </c>
      <c r="Y1049" s="139">
        <f t="shared" si="223"/>
        <v>-9.6519644516861597E-2</v>
      </c>
      <c r="Z1049" s="139">
        <f t="shared" si="224"/>
        <v>-9.6519644516861597E-2</v>
      </c>
      <c r="AA1049" s="139">
        <f t="shared" si="225"/>
        <v>9.3160417776613318E-3</v>
      </c>
      <c r="AB1049" s="144">
        <f t="shared" si="226"/>
        <v>4.0913235460581543</v>
      </c>
      <c r="AC1049" s="144">
        <f t="shared" si="227"/>
        <v>-4.2429818815181007E-2</v>
      </c>
      <c r="AD1049" s="144">
        <f t="shared" si="228"/>
        <v>-5.3206355991904937E-2</v>
      </c>
      <c r="AE1049" s="144">
        <f t="shared" si="229"/>
        <v>-4.0291918627748266E-2</v>
      </c>
    </row>
    <row r="1050" spans="1:31">
      <c r="A1050" s="88">
        <v>45491</v>
      </c>
      <c r="B1050" s="78">
        <v>61450247.116623901</v>
      </c>
      <c r="D1050" s="67">
        <f t="shared" si="198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34"/>
        <v>-1.4452780603160935E-2</v>
      </c>
      <c r="H1050" s="70"/>
      <c r="I1050" s="70"/>
      <c r="J1050" s="67">
        <f t="shared" si="241"/>
        <v>695324.35662390292</v>
      </c>
      <c r="K1050" s="70">
        <f t="shared" si="235"/>
        <v>1.3708574188810774E-2</v>
      </c>
      <c r="L1050" s="70">
        <f t="shared" si="221"/>
        <v>0.98554721939683909</v>
      </c>
      <c r="M1050" s="70">
        <f>PRODUCT($L$2:L1050)-1</f>
        <v>0.34305503348447619</v>
      </c>
      <c r="N1050" s="70">
        <f>PRODUCT($L$909:L1050)-1</f>
        <v>6.130065867552692E-2</v>
      </c>
      <c r="O1050" s="70">
        <f>AVERAGE($G$909:G1050)*252</f>
        <v>0.21579023326110436</v>
      </c>
      <c r="P1050" s="70">
        <f>STDEV($G$909:G1050)*252^0.5</f>
        <v>0.46890390984763686</v>
      </c>
      <c r="Q1050" s="67">
        <f t="shared" si="236"/>
        <v>3796637.4166238979</v>
      </c>
      <c r="R1050" s="70">
        <f t="shared" si="231"/>
        <v>6.5852553489359367E-2</v>
      </c>
      <c r="S1050" s="67">
        <f t="shared" si="237"/>
        <v>11019334.9766239</v>
      </c>
      <c r="T1050" s="70">
        <f t="shared" si="232"/>
        <v>0.21850358260491895</v>
      </c>
      <c r="U1050" s="67">
        <f t="shared" si="238"/>
        <v>29145262.946623899</v>
      </c>
      <c r="V1050" s="70">
        <f t="shared" si="233"/>
        <v>0.90219090630880494</v>
      </c>
      <c r="W1050" s="87">
        <f t="shared" si="222"/>
        <v>0.46020139463375787</v>
      </c>
      <c r="X1050" s="142">
        <f t="shared" si="194"/>
        <v>1.7857142857142857E-4</v>
      </c>
      <c r="Y1050" s="139">
        <f t="shared" si="223"/>
        <v>-1.4631352031732364E-2</v>
      </c>
      <c r="Z1050" s="139">
        <f t="shared" si="224"/>
        <v>-1.4631352031732364E-2</v>
      </c>
      <c r="AA1050" s="139">
        <f t="shared" si="225"/>
        <v>2.1407646227647876E-4</v>
      </c>
      <c r="AB1050" s="144">
        <f t="shared" si="226"/>
        <v>3.9324958981456604</v>
      </c>
      <c r="AC1050" s="144">
        <f t="shared" si="227"/>
        <v>-4.1819479161277331E-2</v>
      </c>
      <c r="AD1050" s="144">
        <f t="shared" si="228"/>
        <v>-5.2927639999490926E-2</v>
      </c>
      <c r="AE1050" s="144">
        <f t="shared" si="229"/>
        <v>-4.0274519429060185E-2</v>
      </c>
    </row>
    <row r="1051" spans="1:31">
      <c r="A1051" s="88">
        <v>45492</v>
      </c>
      <c r="B1051" s="78">
        <v>58536405.143161498</v>
      </c>
      <c r="D1051" s="67">
        <f t="shared" si="198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34"/>
        <v>-4.7417904893569292E-2</v>
      </c>
      <c r="H1051" s="70"/>
      <c r="I1051" s="70"/>
      <c r="J1051" s="67">
        <f t="shared" si="241"/>
        <v>-2218517.6168384999</v>
      </c>
      <c r="K1051" s="70">
        <f t="shared" si="235"/>
        <v>-3.435936257187E-2</v>
      </c>
      <c r="L1051" s="70">
        <f t="shared" si="221"/>
        <v>0.95258209510643066</v>
      </c>
      <c r="M1051" s="70">
        <f>PRODUCT($L$2:L1051)-1</f>
        <v>0.27937017763987981</v>
      </c>
      <c r="N1051" s="70">
        <f>PRODUCT($L$909:L1051)-1</f>
        <v>1.0976004978968223E-2</v>
      </c>
      <c r="O1051" s="70">
        <f>AVERAGE($G$909:G1051)*252</f>
        <v>0.13071958804124026</v>
      </c>
      <c r="P1051" s="70">
        <f>STDEV($G$909:G1051)*252^0.5</f>
        <v>0.47162401217674299</v>
      </c>
      <c r="Q1051" s="67">
        <f t="shared" si="236"/>
        <v>593489.0631614998</v>
      </c>
      <c r="R1051" s="70">
        <f t="shared" si="231"/>
        <v>1.0242650928063195E-2</v>
      </c>
      <c r="S1051" s="67">
        <f t="shared" si="237"/>
        <v>9252105.7131614983</v>
      </c>
      <c r="T1051" s="70">
        <f t="shared" si="232"/>
        <v>0.18772927322021787</v>
      </c>
      <c r="U1051" s="67">
        <f t="shared" si="238"/>
        <v>27397525.273161497</v>
      </c>
      <c r="V1051" s="70">
        <f t="shared" si="233"/>
        <v>0.8798494161492616</v>
      </c>
      <c r="W1051" s="87">
        <f t="shared" si="222"/>
        <v>0.27716906829640509</v>
      </c>
      <c r="X1051" s="142">
        <f t="shared" si="194"/>
        <v>1.7857142857142857E-4</v>
      </c>
      <c r="Y1051" s="139">
        <f t="shared" si="223"/>
        <v>-4.7596476322140722E-2</v>
      </c>
      <c r="Z1051" s="139">
        <f t="shared" si="224"/>
        <v>-4.7596476322140722E-2</v>
      </c>
      <c r="AA1051" s="139">
        <f t="shared" si="225"/>
        <v>2.2654245582841024E-3</v>
      </c>
      <c r="AB1051" s="144">
        <f t="shared" si="226"/>
        <v>3.5870968645668428</v>
      </c>
      <c r="AC1051" s="144">
        <f t="shared" si="227"/>
        <v>-4.5151410858607098E-2</v>
      </c>
      <c r="AD1051" s="144">
        <f t="shared" si="228"/>
        <v>-5.4206791074666437E-2</v>
      </c>
      <c r="AE1051" s="144">
        <f t="shared" si="229"/>
        <v>-4.0613712045419609E-2</v>
      </c>
    </row>
    <row r="1052" spans="1:31">
      <c r="A1052" s="88">
        <v>45495</v>
      </c>
      <c r="B1052" s="78">
        <v>61000507.902521499</v>
      </c>
      <c r="D1052" s="67">
        <f t="shared" si="198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34"/>
        <v>4.2095218408673814E-2</v>
      </c>
      <c r="H1052" s="70"/>
      <c r="I1052" s="70"/>
      <c r="J1052" s="67">
        <f t="shared" si="241"/>
        <v>245585.14252150059</v>
      </c>
      <c r="K1052" s="70">
        <f t="shared" si="235"/>
        <v>6.2894909649582331E-3</v>
      </c>
      <c r="L1052" s="70">
        <f t="shared" si="221"/>
        <v>1.0420952184086738</v>
      </c>
      <c r="M1052" s="70">
        <f>PRODUCT($L$2:L1052)-1</f>
        <v>0.33322554469317445</v>
      </c>
      <c r="N1052" s="70">
        <f>PRODUCT($L$909:L1052)-1</f>
        <v>5.3533260714486497E-2</v>
      </c>
      <c r="O1052" s="70">
        <f>AVERAGE($G$909:G1052)*252</f>
        <v>0.20347844533946635</v>
      </c>
      <c r="P1052" s="70">
        <f>STDEV($G$909:G1052)*252^0.5</f>
        <v>0.47317947730554832</v>
      </c>
      <c r="Q1052" s="67">
        <f t="shared" si="236"/>
        <v>3960361.7725214958</v>
      </c>
      <c r="R1052" s="70">
        <f t="shared" si="231"/>
        <v>6.9431129497730407E-2</v>
      </c>
      <c r="S1052" s="67">
        <f t="shared" si="237"/>
        <v>12550378.562521495</v>
      </c>
      <c r="T1052" s="70">
        <f t="shared" si="232"/>
        <v>0.25903704971454045</v>
      </c>
      <c r="U1052" s="67">
        <f t="shared" si="238"/>
        <v>29882094.782521497</v>
      </c>
      <c r="V1052" s="70">
        <f t="shared" si="233"/>
        <v>0.96027052109916511</v>
      </c>
      <c r="W1052" s="87">
        <f t="shared" si="222"/>
        <v>0.43002381780829707</v>
      </c>
      <c r="X1052" s="142">
        <f t="shared" si="194"/>
        <v>1.7857142857142857E-4</v>
      </c>
      <c r="Y1052" s="139">
        <f t="shared" si="223"/>
        <v>4.1916646980102383E-2</v>
      </c>
      <c r="Z1052" s="139">
        <f t="shared" si="224"/>
        <v>0</v>
      </c>
      <c r="AA1052" s="139">
        <f t="shared" si="225"/>
        <v>0</v>
      </c>
      <c r="AB1052" s="144">
        <f t="shared" si="226"/>
        <v>3.7041607990244394</v>
      </c>
      <c r="AC1052" s="144">
        <f t="shared" si="227"/>
        <v>-4.558830124863255E-2</v>
      </c>
      <c r="AD1052" s="144">
        <f t="shared" si="228"/>
        <v>-5.3770073084746753E-2</v>
      </c>
      <c r="AE1052" s="144">
        <f t="shared" si="229"/>
        <v>-4.0417244544876871E-2</v>
      </c>
    </row>
    <row r="1053" spans="1:31">
      <c r="A1053" s="88">
        <v>45496</v>
      </c>
      <c r="B1053" s="78">
        <v>60206412.354449697</v>
      </c>
      <c r="D1053" s="67">
        <f t="shared" si="198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34"/>
        <v>-1.301785141429908E-2</v>
      </c>
      <c r="H1053" s="70"/>
      <c r="I1053" s="70"/>
      <c r="J1053" s="67">
        <f t="shared" si="241"/>
        <v>-548510.40555030107</v>
      </c>
      <c r="K1053" s="70">
        <f t="shared" si="235"/>
        <v>-6.8102361081943119E-3</v>
      </c>
      <c r="L1053" s="70">
        <f t="shared" si="221"/>
        <v>0.98698214858570088</v>
      </c>
      <c r="M1053" s="70">
        <f>PRODUCT($L$2:L1053)-1</f>
        <v>0.31586981265061076</v>
      </c>
      <c r="N1053" s="70">
        <f>PRODUCT($L$909:L1053)-1</f>
        <v>3.981852126648322E-2</v>
      </c>
      <c r="O1053" s="70">
        <f>AVERAGE($G$909:G1053)*252</f>
        <v>0.17945101774123992</v>
      </c>
      <c r="P1053" s="70">
        <f>STDEV($G$909:G1053)*252^0.5</f>
        <v>0.47188573974065312</v>
      </c>
      <c r="Q1053" s="67">
        <f t="shared" si="236"/>
        <v>2475149.7144496962</v>
      </c>
      <c r="R1053" s="70">
        <f t="shared" si="231"/>
        <v>4.2873645946117769E-2</v>
      </c>
      <c r="S1053" s="67">
        <f t="shared" si="237"/>
        <v>12585683.954449698</v>
      </c>
      <c r="T1053" s="70">
        <f t="shared" si="232"/>
        <v>0.26429003455666794</v>
      </c>
      <c r="U1053" s="67">
        <f t="shared" si="238"/>
        <v>28715537.074449696</v>
      </c>
      <c r="V1053" s="70">
        <f t="shared" si="233"/>
        <v>0.911868495846067</v>
      </c>
      <c r="W1053" s="87">
        <f t="shared" si="222"/>
        <v>0.38028489235522484</v>
      </c>
      <c r="X1053" s="142">
        <f t="shared" si="194"/>
        <v>1.7857142857142857E-4</v>
      </c>
      <c r="Y1053" s="139">
        <f t="shared" si="223"/>
        <v>-1.3196422842870509E-2</v>
      </c>
      <c r="Z1053" s="139">
        <f t="shared" si="224"/>
        <v>-1.3196422842870509E-2</v>
      </c>
      <c r="AA1053" s="139">
        <f t="shared" si="225"/>
        <v>1.7414557584783457E-4</v>
      </c>
      <c r="AB1053" s="144">
        <f t="shared" si="226"/>
        <v>3.5503545337823357</v>
      </c>
      <c r="AC1053" s="144">
        <f t="shared" si="227"/>
        <v>-4.5433336643010212E-2</v>
      </c>
      <c r="AD1053" s="144">
        <f t="shared" si="228"/>
        <v>-5.3691808194826066E-2</v>
      </c>
      <c r="AE1053" s="144">
        <f t="shared" si="229"/>
        <v>-4.0469736039525396E-2</v>
      </c>
    </row>
    <row r="1054" spans="1:31">
      <c r="A1054" s="88">
        <v>45497</v>
      </c>
      <c r="B1054" s="78">
        <v>56404374.589071102</v>
      </c>
      <c r="D1054" s="67">
        <f t="shared" si="198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34"/>
        <v>-6.3150046925152747E-2</v>
      </c>
      <c r="H1054" s="70"/>
      <c r="I1054" s="70"/>
      <c r="J1054" s="67">
        <f t="shared" si="241"/>
        <v>-4350548.1709288955</v>
      </c>
      <c r="K1054" s="70">
        <f t="shared" si="235"/>
        <v>-6.9530216303543169E-2</v>
      </c>
      <c r="L1054" s="70">
        <f t="shared" si="221"/>
        <v>0.93684995307484731</v>
      </c>
      <c r="M1054" s="70">
        <f>PRODUCT($L$2:L1054)-1</f>
        <v>0.23277257223433279</v>
      </c>
      <c r="N1054" s="70">
        <f>PRODUCT($L$909:L1054)-1</f>
        <v>-2.5846067145138041E-2</v>
      </c>
      <c r="O1054" s="70">
        <f>AVERAGE($G$909:G1054)*252</f>
        <v>6.9223190050282851E-2</v>
      </c>
      <c r="P1054" s="70">
        <f>STDEV($G$909:G1054)*252^0.5</f>
        <v>0.47768173536075925</v>
      </c>
      <c r="Q1054" s="67">
        <f t="shared" si="236"/>
        <v>-966794.68092890084</v>
      </c>
      <c r="R1054" s="70">
        <f t="shared" si="231"/>
        <v>-1.6851577076614475E-2</v>
      </c>
      <c r="S1054" s="67">
        <f t="shared" si="237"/>
        <v>8173560.8390711024</v>
      </c>
      <c r="T1054" s="70">
        <f t="shared" si="232"/>
        <v>0.1694676121667365</v>
      </c>
      <c r="U1054" s="67">
        <f t="shared" si="238"/>
        <v>25455686.029071104</v>
      </c>
      <c r="V1054" s="70">
        <f t="shared" si="233"/>
        <v>0.82251259143728661</v>
      </c>
      <c r="W1054" s="87">
        <f t="shared" si="222"/>
        <v>0.14491487726237526</v>
      </c>
      <c r="X1054" s="142">
        <f t="shared" si="194"/>
        <v>1.7857142857142857E-4</v>
      </c>
      <c r="Y1054" s="139">
        <f t="shared" si="223"/>
        <v>-6.3328618353724178E-2</v>
      </c>
      <c r="Z1054" s="139">
        <f t="shared" si="224"/>
        <v>-6.3328618353724178E-2</v>
      </c>
      <c r="AA1054" s="139">
        <f t="shared" si="225"/>
        <v>4.010513902591651E-3</v>
      </c>
      <c r="AB1054" s="144">
        <f t="shared" si="226"/>
        <v>2.9533738284449798</v>
      </c>
      <c r="AC1054" s="144">
        <f t="shared" si="227"/>
        <v>-5.1269779367140778E-2</v>
      </c>
      <c r="AD1054" s="144">
        <f t="shared" si="228"/>
        <v>-5.5213926527339835E-2</v>
      </c>
      <c r="AE1054" s="144">
        <f t="shared" si="229"/>
        <v>-4.1031665436469474E-2</v>
      </c>
    </row>
    <row r="1055" spans="1:31">
      <c r="A1055" s="88">
        <v>45498</v>
      </c>
      <c r="B1055" s="78">
        <v>55578992.644670799</v>
      </c>
      <c r="D1055" s="67">
        <f t="shared" si="198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34"/>
        <v>-1.4633296626610037E-2</v>
      </c>
      <c r="H1055" s="70"/>
      <c r="I1055" s="70"/>
      <c r="J1055" s="67">
        <f t="shared" si="241"/>
        <v>-5175930.1153291985</v>
      </c>
      <c r="K1055" s="70">
        <f t="shared" si="235"/>
        <v>-8.3146056650471145E-2</v>
      </c>
      <c r="L1055" s="70">
        <f t="shared" si="221"/>
        <v>0.98536670337338994</v>
      </c>
      <c r="M1055" s="70">
        <f>PRODUCT($L$2:L1055)-1</f>
        <v>0.21473304551167871</v>
      </c>
      <c r="N1055" s="70">
        <f>PRODUCT($L$909:L1055)-1</f>
        <v>-4.010115060458197E-2</v>
      </c>
      <c r="O1055" s="70">
        <f>AVERAGE($G$909:G1055)*252</f>
        <v>4.3666632635616098E-2</v>
      </c>
      <c r="P1055" s="70">
        <f>STDEV($G$909:G1055)*252^0.5</f>
        <v>0.47644303083140033</v>
      </c>
      <c r="Q1055" s="67">
        <f t="shared" si="236"/>
        <v>-3871608.3353291973</v>
      </c>
      <c r="R1055" s="70">
        <f t="shared" si="231"/>
        <v>-6.5123115183169641E-2</v>
      </c>
      <c r="S1055" s="67">
        <f t="shared" si="237"/>
        <v>7008463.7846708</v>
      </c>
      <c r="T1055" s="70">
        <f t="shared" si="232"/>
        <v>0.14429457428540751</v>
      </c>
      <c r="U1055" s="67">
        <f t="shared" si="238"/>
        <v>24415042.274670798</v>
      </c>
      <c r="V1055" s="70">
        <f t="shared" si="233"/>
        <v>0.7834386200978537</v>
      </c>
      <c r="W1055" s="87">
        <f t="shared" si="222"/>
        <v>9.1651319905796835E-2</v>
      </c>
      <c r="X1055" s="142">
        <f t="shared" si="194"/>
        <v>1.7857142857142857E-4</v>
      </c>
      <c r="Y1055" s="139">
        <f t="shared" si="223"/>
        <v>-1.4811868055181466E-2</v>
      </c>
      <c r="Z1055" s="139">
        <f t="shared" si="224"/>
        <v>-1.4811868055181466E-2</v>
      </c>
      <c r="AA1055" s="139">
        <f t="shared" si="225"/>
        <v>2.1939143528410519E-4</v>
      </c>
      <c r="AB1055" s="144">
        <f t="shared" si="226"/>
        <v>3.3250072254267433</v>
      </c>
      <c r="AC1055" s="144">
        <f t="shared" si="227"/>
        <v>-5.1668792433303183E-2</v>
      </c>
      <c r="AD1055" s="144">
        <f t="shared" si="228"/>
        <v>-5.5548929681382656E-2</v>
      </c>
      <c r="AE1055" s="144">
        <f t="shared" si="229"/>
        <v>-4.1016756065416694E-2</v>
      </c>
    </row>
    <row r="1056" spans="1:31">
      <c r="A1056" s="88">
        <v>45499</v>
      </c>
      <c r="B1056" s="78">
        <v>57589073.870721899</v>
      </c>
      <c r="D1056" s="67">
        <f t="shared" si="198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34"/>
        <v>3.6166204718786614E-2</v>
      </c>
      <c r="H1056" s="70"/>
      <c r="I1056" s="70"/>
      <c r="J1056" s="67">
        <f t="shared" si="241"/>
        <v>-3165848.8892780989</v>
      </c>
      <c r="K1056" s="70">
        <f t="shared" si="235"/>
        <v>-4.9986929238065358E-2</v>
      </c>
      <c r="L1056" s="70">
        <f t="shared" ref="L1056:L1087" si="242">1+G1056</f>
        <v>1.0361662047187865</v>
      </c>
      <c r="M1056" s="70">
        <f>PRODUCT($L$2:L1056)-1</f>
        <v>0.25866532951432908</v>
      </c>
      <c r="N1056" s="70">
        <f>PRODUCT($L$909:L1056)-1</f>
        <v>-5.3852523080196724E-3</v>
      </c>
      <c r="O1056" s="70">
        <f>AVERAGE($G$909:G1056)*252</f>
        <v>0.10495188234168779</v>
      </c>
      <c r="P1056" s="70">
        <f>STDEV($G$909:G1056)*252^0.5</f>
        <v>0.47713687047700615</v>
      </c>
      <c r="Q1056" s="67">
        <f t="shared" si="236"/>
        <v>-2170867.5892781019</v>
      </c>
      <c r="R1056" s="70">
        <f t="shared" si="231"/>
        <v>-3.632646780169891E-2</v>
      </c>
      <c r="S1056" s="67">
        <f t="shared" si="237"/>
        <v>6944784.2507219017</v>
      </c>
      <c r="T1056" s="70">
        <f t="shared" si="232"/>
        <v>0.13712867339695745</v>
      </c>
      <c r="U1056" s="67">
        <f t="shared" si="238"/>
        <v>26523767.350721899</v>
      </c>
      <c r="V1056" s="70">
        <f t="shared" si="233"/>
        <v>0.85380671630089233</v>
      </c>
      <c r="W1056" s="87">
        <f t="shared" ref="W1056:W1087" si="243">O1056/P1056</f>
        <v>0.21996179468747543</v>
      </c>
      <c r="X1056" s="142">
        <f t="shared" si="194"/>
        <v>1.7857142857142857E-4</v>
      </c>
      <c r="Y1056" s="139">
        <f t="shared" ref="Y1056:Y1087" si="244">G1056-X1056</f>
        <v>3.5987633290215183E-2</v>
      </c>
      <c r="Z1056" s="139">
        <f t="shared" ref="Z1056:Z1087" si="245">IF(Y1056&lt;0,Y1056,0)</f>
        <v>0</v>
      </c>
      <c r="AA1056" s="139">
        <f t="shared" ref="AA1056:AA1087" si="246">Z1056^2</f>
        <v>0</v>
      </c>
      <c r="AB1056" s="144">
        <f t="shared" ref="AB1056:AB1087" si="247">AVERAGE(Y803:Y1056)/AVERAGE(AA803:AA1056)</f>
        <v>3.8521460228601141</v>
      </c>
      <c r="AC1056" s="144">
        <f t="shared" ref="AC1056:AC1087" si="248">AVERAGE(G1025:G1056)-_xlfn.NORM.S.INV(0.95)*_xlfn.STDEV.S(G1025:G1056)</f>
        <v>-5.1666158799867301E-2</v>
      </c>
      <c r="AD1056" s="144">
        <f t="shared" ref="AD1056:AD1087" si="249">AVERAGE(G965:G1056)-_xlfn.NORM.S.INV(0.95)*_xlfn.STDEV.S(G965:G1056)</f>
        <v>-5.5534223239487285E-2</v>
      </c>
      <c r="AE1056" s="144">
        <f t="shared" ref="AE1056:AE1087" si="250">AVERAGE(G690:G1056)-_xlfn.NORM.S.INV(0.95)*_xlfn.STDEV.S(G690:G1056)</f>
        <v>-4.1037532809631225E-2</v>
      </c>
    </row>
    <row r="1057" spans="1:31">
      <c r="A1057" s="88">
        <v>45502</v>
      </c>
      <c r="B1057" s="78">
        <v>57087687.759120002</v>
      </c>
      <c r="D1057" s="67">
        <f t="shared" si="198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34"/>
        <v>-8.7062714835009648E-3</v>
      </c>
      <c r="H1057" s="70"/>
      <c r="I1057" s="70"/>
      <c r="J1057" s="67">
        <f t="shared" si="241"/>
        <v>-3667235.0008799955</v>
      </c>
      <c r="K1057" s="70">
        <f t="shared" si="235"/>
        <v>-5.8258000944993227E-2</v>
      </c>
      <c r="L1057" s="70">
        <f t="shared" si="242"/>
        <v>0.991293728516499</v>
      </c>
      <c r="M1057" s="70">
        <f>PRODUCT($L$2:L1057)-1</f>
        <v>0.24770704744870709</v>
      </c>
      <c r="N1057" s="70">
        <f>PRODUCT($L$909:L1057)-1</f>
        <v>-1.4044638322919911E-2</v>
      </c>
      <c r="O1057" s="70">
        <f>AVERAGE($G$909:G1057)*252</f>
        <v>8.9522806528372828E-2</v>
      </c>
      <c r="P1057" s="70">
        <f>STDEV($G$909:G1057)*252^0.5</f>
        <v>0.47567016748214591</v>
      </c>
      <c r="Q1057" s="67">
        <f t="shared" si="236"/>
        <v>-2671680.6783396974</v>
      </c>
      <c r="R1057" s="70">
        <f t="shared" si="231"/>
        <v>-4.4707311141276636E-2</v>
      </c>
      <c r="S1057" s="67">
        <f t="shared" si="237"/>
        <v>5010155.7591200024</v>
      </c>
      <c r="T1057" s="70">
        <f t="shared" si="232"/>
        <v>9.6205706505446575E-2</v>
      </c>
      <c r="U1057" s="67">
        <f t="shared" si="238"/>
        <v>26333026.849120002</v>
      </c>
      <c r="V1057" s="70">
        <f t="shared" si="233"/>
        <v>0.85622881442850551</v>
      </c>
      <c r="W1057" s="87">
        <f t="shared" si="243"/>
        <v>0.188203533978685</v>
      </c>
      <c r="X1057" s="142">
        <f t="shared" si="194"/>
        <v>1.7857142857142857E-4</v>
      </c>
      <c r="Y1057" s="139">
        <f t="shared" si="244"/>
        <v>-8.8848429120723937E-3</v>
      </c>
      <c r="Z1057" s="139">
        <f t="shared" si="245"/>
        <v>-8.8848429120723937E-3</v>
      </c>
      <c r="AA1057" s="139">
        <f t="shared" si="246"/>
        <v>7.8940433572203056E-5</v>
      </c>
      <c r="AB1057" s="144">
        <f t="shared" si="247"/>
        <v>3.7474267294775072</v>
      </c>
      <c r="AC1057" s="144">
        <f t="shared" si="248"/>
        <v>-5.2109749113002334E-2</v>
      </c>
      <c r="AD1057" s="144">
        <f t="shared" si="249"/>
        <v>-5.5679703887767648E-2</v>
      </c>
      <c r="AE1057" s="144">
        <f t="shared" si="250"/>
        <v>-4.1059972515469736E-2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8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34"/>
        <v>-3.8802453708355444E-2</v>
      </c>
      <c r="H1058" s="70"/>
      <c r="I1058" s="70"/>
      <c r="J1058" s="67">
        <f t="shared" si="241"/>
        <v>-5882377.362470299</v>
      </c>
      <c r="K1058" s="70">
        <f t="shared" si="235"/>
        <v>-9.4799901268539211E-2</v>
      </c>
      <c r="L1058" s="70">
        <f t="shared" si="242"/>
        <v>0.96119754629164456</v>
      </c>
      <c r="M1058" s="70">
        <f>PRODUCT($L$2:L1058)-1</f>
        <v>0.19929295249848988</v>
      </c>
      <c r="N1058" s="70">
        <f>PRODUCT($L$909:L1058)-1</f>
        <v>-5.2302125602899707E-2</v>
      </c>
      <c r="O1058" s="70">
        <f>AVERAGE($G$909:G1058)*252</f>
        <v>2.3737865588146518E-2</v>
      </c>
      <c r="P1058" s="70">
        <f>STDEV($G$909:G1058)*252^0.5</f>
        <v>0.47678040833139473</v>
      </c>
      <c r="Q1058" s="67">
        <f t="shared" si="236"/>
        <v>-5582535.062470302</v>
      </c>
      <c r="R1058" s="70">
        <f t="shared" si="231"/>
        <v>-9.2341868044720846E-2</v>
      </c>
      <c r="S1058" s="67">
        <f t="shared" si="237"/>
        <v>3039314.1575296968</v>
      </c>
      <c r="T1058" s="70">
        <f t="shared" si="232"/>
        <v>5.8636401490328866E-2</v>
      </c>
      <c r="U1058" s="67">
        <f t="shared" si="238"/>
        <v>23736407.807529699</v>
      </c>
      <c r="V1058" s="70">
        <f t="shared" si="233"/>
        <v>0.76234271957845945</v>
      </c>
      <c r="W1058" s="87">
        <f t="shared" si="243"/>
        <v>4.9787837699167982E-2</v>
      </c>
      <c r="X1058" s="142">
        <f t="shared" si="194"/>
        <v>1.7857142857142857E-4</v>
      </c>
      <c r="Y1058" s="139">
        <f t="shared" si="244"/>
        <v>-3.8981025136926875E-2</v>
      </c>
      <c r="Z1058" s="139">
        <f t="shared" si="245"/>
        <v>-3.8981025136926875E-2</v>
      </c>
      <c r="AA1058" s="139">
        <f t="shared" si="246"/>
        <v>1.519520320725725E-3</v>
      </c>
      <c r="AB1058" s="144">
        <f t="shared" si="247"/>
        <v>3.2528165792494308</v>
      </c>
      <c r="AC1058" s="144">
        <f t="shared" si="248"/>
        <v>-5.4462161368158943E-2</v>
      </c>
      <c r="AD1058" s="144">
        <f t="shared" si="249"/>
        <v>-5.6624108709791066E-2</v>
      </c>
      <c r="AE1058" s="144">
        <f t="shared" si="250"/>
        <v>-4.1268076034052442E-2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8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34"/>
        <v>0.10560512515324978</v>
      </c>
      <c r="H1059" s="81"/>
      <c r="I1059" s="81"/>
      <c r="J1059" s="80">
        <f t="shared" si="241"/>
        <v>-87555.338286794722</v>
      </c>
      <c r="K1059" s="81">
        <f t="shared" si="235"/>
        <v>7.9386844673079437E-4</v>
      </c>
      <c r="L1059" s="81">
        <f t="shared" si="242"/>
        <v>1.1056051251532497</v>
      </c>
      <c r="M1059" s="81">
        <f>PRODUCT($L$2:L1059)-1</f>
        <v>0.32594443484250335</v>
      </c>
      <c r="N1059" s="81">
        <f>PRODUCT($L$909:L1059)-1</f>
        <v>4.7779627030274829E-2</v>
      </c>
      <c r="O1059" s="81">
        <f>AVERAGE($G$909:G1059)*252</f>
        <v>0.1998223269989465</v>
      </c>
      <c r="P1059" s="81">
        <f>STDEV($G$909:G1059)*252^0.5</f>
        <v>0.49435101785287971</v>
      </c>
      <c r="Q1059" s="80">
        <f t="shared" si="236"/>
        <v>-1033755.6782867983</v>
      </c>
      <c r="R1059" s="81">
        <f t="shared" si="231"/>
        <v>-1.6754244110133518E-2</v>
      </c>
      <c r="S1059" s="80">
        <f t="shared" si="237"/>
        <v>6165801.5117132068</v>
      </c>
      <c r="T1059" s="81">
        <f t="shared" si="232"/>
        <v>0.11313072218686289</v>
      </c>
      <c r="U1059" s="80">
        <f t="shared" si="238"/>
        <v>28621641.191713203</v>
      </c>
      <c r="V1059" s="81">
        <f t="shared" si="233"/>
        <v>0.89315002525730569</v>
      </c>
      <c r="W1059" s="136">
        <f t="shared" si="243"/>
        <v>0.40421142019052986</v>
      </c>
      <c r="X1059" s="143">
        <f t="shared" si="194"/>
        <v>1.7857142857142857E-4</v>
      </c>
      <c r="Y1059" s="140">
        <f t="shared" si="244"/>
        <v>0.10542655372467835</v>
      </c>
      <c r="Z1059" s="140">
        <f t="shared" si="245"/>
        <v>0</v>
      </c>
      <c r="AA1059" s="140">
        <f t="shared" si="246"/>
        <v>0</v>
      </c>
      <c r="AB1059" s="145">
        <f t="shared" si="247"/>
        <v>4.3670602363579452</v>
      </c>
      <c r="AC1059" s="145">
        <f t="shared" si="248"/>
        <v>-6.0301011180982814E-2</v>
      </c>
      <c r="AD1059" s="145">
        <f t="shared" si="249"/>
        <v>-5.8188317284969086E-2</v>
      </c>
      <c r="AE1059" s="145">
        <f t="shared" si="250"/>
        <v>-4.1923297054304372E-2</v>
      </c>
    </row>
    <row r="1060" spans="1:31">
      <c r="A1060" s="88">
        <v>45505</v>
      </c>
      <c r="B1060" s="78">
        <v>55984250.449729003</v>
      </c>
      <c r="D1060" s="67">
        <f t="shared" si="198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34"/>
        <v>-7.7193344148770257E-2</v>
      </c>
      <c r="H1060" s="70"/>
      <c r="I1060" s="70"/>
      <c r="J1060" s="67">
        <f t="shared" si="241"/>
        <v>-4683116.9719842002</v>
      </c>
      <c r="K1060" s="85">
        <f>G1060</f>
        <v>-7.7193344148770257E-2</v>
      </c>
      <c r="L1060" s="70">
        <f t="shared" si="242"/>
        <v>0.92280665585122978</v>
      </c>
      <c r="M1060" s="70">
        <f>PRODUCT($L$2:L1060)-1</f>
        <v>0.22359034976155945</v>
      </c>
      <c r="N1060" s="70">
        <f>PRODUCT($L$909:L1060)-1</f>
        <v>-3.310198631114325E-2</v>
      </c>
      <c r="O1060" s="70">
        <f>AVERAGE($G$909:G1060)*252</f>
        <v>7.0529267443097482E-2</v>
      </c>
      <c r="P1060" s="70">
        <f>STDEV($G$909:G1060)*252^0.5</f>
        <v>0.50283952199799731</v>
      </c>
      <c r="Q1060" s="67">
        <f t="shared" si="236"/>
        <v>-6603869.0602709949</v>
      </c>
      <c r="R1060" s="70">
        <f t="shared" si="231"/>
        <v>-0.10551314070421726</v>
      </c>
      <c r="S1060" s="67">
        <f t="shared" si="237"/>
        <v>1995968.3597289994</v>
      </c>
      <c r="T1060" s="70">
        <f t="shared" si="232"/>
        <v>3.6970399547102892E-2</v>
      </c>
      <c r="U1060" s="67">
        <f t="shared" si="238"/>
        <v>23852149.929729003</v>
      </c>
      <c r="V1060" s="70">
        <f t="shared" si="233"/>
        <v>0.74231530288169922</v>
      </c>
      <c r="W1060" s="87">
        <f t="shared" si="243"/>
        <v>0.14026198092555339</v>
      </c>
      <c r="X1060" s="142">
        <f t="shared" si="194"/>
        <v>1.7857142857142857E-4</v>
      </c>
      <c r="Y1060" s="139">
        <f t="shared" si="244"/>
        <v>-7.7371915577341688E-2</v>
      </c>
      <c r="Z1060" s="139">
        <f t="shared" si="245"/>
        <v>-7.7371915577341688E-2</v>
      </c>
      <c r="AA1060" s="139">
        <f t="shared" si="246"/>
        <v>5.9864133201072891E-3</v>
      </c>
      <c r="AB1060" s="144">
        <f t="shared" si="247"/>
        <v>3.5603925723576997</v>
      </c>
      <c r="AC1060" s="144">
        <f t="shared" si="248"/>
        <v>-6.7043337577011711E-2</v>
      </c>
      <c r="AD1060" s="144">
        <f t="shared" si="249"/>
        <v>-6.0481310201503442E-2</v>
      </c>
      <c r="AE1060" s="144">
        <f t="shared" si="250"/>
        <v>-4.2672919670907548E-2</v>
      </c>
    </row>
    <row r="1061" spans="1:31">
      <c r="A1061" s="88">
        <v>45506</v>
      </c>
      <c r="B1061" s="78">
        <v>52784182.118252099</v>
      </c>
      <c r="D1061" s="67">
        <f t="shared" si="198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34"/>
        <v>-5.7160153181838209E-2</v>
      </c>
      <c r="H1061" s="70"/>
      <c r="I1061" s="70"/>
      <c r="J1061" s="67">
        <f t="shared" si="241"/>
        <v>-7883185.3034611046</v>
      </c>
      <c r="K1061" s="70">
        <f t="shared" ref="K1061:K1081" si="251">(1+K1060)*(1+G1061)-1</f>
        <v>-0.12994111395444641</v>
      </c>
      <c r="L1061" s="70">
        <f t="shared" si="242"/>
        <v>0.9428398468181618</v>
      </c>
      <c r="M1061" s="70">
        <f>PRODUCT($L$2:L1061)-1</f>
        <v>0.1536497379373698</v>
      </c>
      <c r="N1061" s="70">
        <f>PRODUCT($L$909:L1061)-1</f>
        <v>-8.8370024884813381E-2</v>
      </c>
      <c r="O1061" s="70">
        <f>AVERAGE($G$909:G1061)*252</f>
        <v>-2.4077842813545167E-2</v>
      </c>
      <c r="P1061" s="70">
        <f>STDEV($G$909:G1061)*252^0.5</f>
        <v>0.50657511713215519</v>
      </c>
      <c r="Q1061" s="67">
        <f t="shared" si="236"/>
        <v>-8799112.4517479017</v>
      </c>
      <c r="R1061" s="70">
        <f t="shared" si="231"/>
        <v>-0.14288148292790989</v>
      </c>
      <c r="S1061" s="67">
        <f t="shared" si="237"/>
        <v>-1808473.9217479005</v>
      </c>
      <c r="T1061" s="70">
        <f t="shared" si="232"/>
        <v>-3.3126688696421602E-2</v>
      </c>
      <c r="U1061" s="67">
        <f t="shared" si="238"/>
        <v>21316206.658252098</v>
      </c>
      <c r="V1061" s="70">
        <f t="shared" si="233"/>
        <v>0.67739364692678894</v>
      </c>
      <c r="W1061" s="87">
        <f t="shared" si="243"/>
        <v>-4.753064649099957E-2</v>
      </c>
      <c r="X1061" s="142">
        <f t="shared" si="194"/>
        <v>1.7857142857142857E-4</v>
      </c>
      <c r="Y1061" s="139">
        <f t="shared" si="244"/>
        <v>-5.733872461040964E-2</v>
      </c>
      <c r="Z1061" s="139">
        <f t="shared" si="245"/>
        <v>-5.733872461040964E-2</v>
      </c>
      <c r="AA1061" s="139">
        <f t="shared" si="246"/>
        <v>3.2877293399483963E-3</v>
      </c>
      <c r="AB1061" s="144">
        <f t="shared" si="247"/>
        <v>2.9492874535944007</v>
      </c>
      <c r="AC1061" s="144">
        <f t="shared" si="248"/>
        <v>-7.0946138878508549E-2</v>
      </c>
      <c r="AD1061" s="144">
        <f t="shared" si="249"/>
        <v>-6.1780343898876613E-2</v>
      </c>
      <c r="AE1061" s="144">
        <f t="shared" si="250"/>
        <v>-4.3122459719631495E-2</v>
      </c>
    </row>
    <row r="1062" spans="1:31">
      <c r="A1062" s="88">
        <v>45509</v>
      </c>
      <c r="B1062" s="78">
        <v>47370825.216570102</v>
      </c>
      <c r="D1062" s="67">
        <f t="shared" si="198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34"/>
        <v>-0.10255642286082002</v>
      </c>
      <c r="H1062" s="70"/>
      <c r="I1062" s="70"/>
      <c r="J1062" s="67">
        <f t="shared" si="241"/>
        <v>-13296542.205143102</v>
      </c>
      <c r="K1062" s="70">
        <f t="shared" si="251"/>
        <v>-0.21917124098554819</v>
      </c>
      <c r="L1062" s="70">
        <f t="shared" si="242"/>
        <v>0.89744357713917999</v>
      </c>
      <c r="M1062" s="70">
        <f>PRODUCT($L$2:L1062)-1</f>
        <v>3.533554758019064E-2</v>
      </c>
      <c r="N1062" s="70">
        <f>PRODUCT($L$909:L1062)-1</f>
        <v>-0.1818635341053253</v>
      </c>
      <c r="O1062" s="70">
        <f>AVERAGE($G$909:G1062)*252</f>
        <v>-0.19174109422986399</v>
      </c>
      <c r="P1062" s="70">
        <f>STDEV($G$909:G1062)*252^0.5</f>
        <v>0.52165125205924678</v>
      </c>
      <c r="Q1062" s="67">
        <f t="shared" si="236"/>
        <v>-12526534.993429899</v>
      </c>
      <c r="R1062" s="70">
        <f t="shared" si="231"/>
        <v>-0.20913333992536395</v>
      </c>
      <c r="S1062" s="67">
        <f t="shared" si="237"/>
        <v>-7587893.4934298992</v>
      </c>
      <c r="T1062" s="70">
        <f t="shared" si="232"/>
        <v>-0.13806532742273059</v>
      </c>
      <c r="U1062" s="67">
        <f t="shared" si="238"/>
        <v>15878276.146570101</v>
      </c>
      <c r="V1062" s="70">
        <f t="shared" si="233"/>
        <v>0.50419151880264423</v>
      </c>
      <c r="W1062" s="87">
        <f t="shared" si="243"/>
        <v>-0.36756567433310194</v>
      </c>
      <c r="X1062" s="142">
        <f t="shared" si="194"/>
        <v>1.7857142857142857E-4</v>
      </c>
      <c r="Y1062" s="139">
        <f t="shared" si="244"/>
        <v>-0.10273499428939145</v>
      </c>
      <c r="Z1062" s="139">
        <f t="shared" si="245"/>
        <v>-0.10273499428939145</v>
      </c>
      <c r="AA1062" s="139">
        <f t="shared" si="246"/>
        <v>1.0554479051641294E-2</v>
      </c>
      <c r="AB1062" s="144">
        <f t="shared" si="247"/>
        <v>1.9601154808375088</v>
      </c>
      <c r="AC1062" s="144">
        <f t="shared" si="248"/>
        <v>-7.9451809676234886E-2</v>
      </c>
      <c r="AD1062" s="144">
        <f t="shared" si="249"/>
        <v>-6.5442496511280451E-2</v>
      </c>
      <c r="AE1062" s="144">
        <f t="shared" si="250"/>
        <v>-4.4192482115166506E-2</v>
      </c>
    </row>
    <row r="1063" spans="1:31">
      <c r="A1063" s="88">
        <v>45510</v>
      </c>
      <c r="B1063" s="78">
        <v>48756449.268375501</v>
      </c>
      <c r="D1063" s="67">
        <f t="shared" si="198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34"/>
        <v>2.925057871528728E-2</v>
      </c>
      <c r="H1063" s="70"/>
      <c r="I1063" s="70"/>
      <c r="J1063" s="67">
        <f t="shared" si="241"/>
        <v>-11910918.153337702</v>
      </c>
      <c r="K1063" s="70">
        <f t="shared" si="251"/>
        <v>-0.19633154790683593</v>
      </c>
      <c r="L1063" s="70">
        <f t="shared" si="242"/>
        <v>1.0292505787152872</v>
      </c>
      <c r="M1063" s="70">
        <f>PRODUCT($L$2:L1063)-1</f>
        <v>6.5619711511420098E-2</v>
      </c>
      <c r="N1063" s="70">
        <f>PRODUCT($L$909:L1063)-1</f>
        <v>-0.15793256900982622</v>
      </c>
      <c r="O1063" s="70">
        <f>AVERAGE($G$909:G1063)*252</f>
        <v>-0.14294827532352686</v>
      </c>
      <c r="P1063" s="70">
        <f>STDEV($G$909:G1063)*252^0.5</f>
        <v>0.52136106408363336</v>
      </c>
      <c r="Q1063" s="67">
        <f t="shared" si="236"/>
        <v>-9283243.471624501</v>
      </c>
      <c r="R1063" s="70">
        <f t="shared" si="231"/>
        <v>-0.15994646135034829</v>
      </c>
      <c r="S1063" s="67">
        <f t="shared" si="237"/>
        <v>-5937564.0916244984</v>
      </c>
      <c r="T1063" s="70">
        <f t="shared" si="232"/>
        <v>-0.10855967091942982</v>
      </c>
      <c r="U1063" s="67">
        <f t="shared" si="238"/>
        <v>18046245.138375502</v>
      </c>
      <c r="V1063" s="70">
        <f t="shared" si="233"/>
        <v>0.58763025677014613</v>
      </c>
      <c r="W1063" s="87">
        <f t="shared" si="243"/>
        <v>-0.27418287473150471</v>
      </c>
      <c r="X1063" s="142">
        <f t="shared" si="194"/>
        <v>1.7857142857142857E-4</v>
      </c>
      <c r="Y1063" s="139">
        <f t="shared" si="244"/>
        <v>2.9072007286715853E-2</v>
      </c>
      <c r="Z1063" s="139">
        <f t="shared" si="245"/>
        <v>0</v>
      </c>
      <c r="AA1063" s="139">
        <f t="shared" si="246"/>
        <v>0</v>
      </c>
      <c r="AB1063" s="144">
        <f t="shared" si="247"/>
        <v>2.0752909164017428</v>
      </c>
      <c r="AC1063" s="144">
        <f t="shared" si="248"/>
        <v>-7.8227022768116841E-2</v>
      </c>
      <c r="AD1063" s="144">
        <f t="shared" si="249"/>
        <v>-6.5390777711809553E-2</v>
      </c>
      <c r="AE1063" s="144">
        <f t="shared" si="250"/>
        <v>-4.4178591541748441E-2</v>
      </c>
    </row>
    <row r="1064" spans="1:31">
      <c r="A1064" s="88">
        <v>45511</v>
      </c>
      <c r="B1064" s="78">
        <v>47312325.508298703</v>
      </c>
      <c r="D1064" s="67">
        <f t="shared" si="198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34"/>
        <v>-2.9619133094121536E-2</v>
      </c>
      <c r="H1064" s="70"/>
      <c r="I1064" s="70"/>
      <c r="J1064" s="67">
        <f t="shared" si="241"/>
        <v>-13355041.913414501</v>
      </c>
      <c r="K1064" s="70">
        <f t="shared" si="251"/>
        <v>-0.22013551075293003</v>
      </c>
      <c r="L1064" s="70">
        <f t="shared" si="242"/>
        <v>0.97038086690587844</v>
      </c>
      <c r="M1064" s="70">
        <f>PRODUCT($L$2:L1064)-1</f>
        <v>3.4056979448443991E-2</v>
      </c>
      <c r="N1064" s="70">
        <f>PRODUCT($L$909:L1064)-1</f>
        <v>-0.18287387632254914</v>
      </c>
      <c r="O1064" s="70">
        <f>AVERAGE($G$909:G1064)*252</f>
        <v>-0.18987823214657235</v>
      </c>
      <c r="P1064" s="70">
        <f>STDEV($G$909:G1064)*252^0.5</f>
        <v>0.52098666215421119</v>
      </c>
      <c r="Q1064" s="67">
        <f t="shared" si="236"/>
        <v>-12686520.511701301</v>
      </c>
      <c r="R1064" s="70">
        <f t="shared" si="231"/>
        <v>-0.21144607527072068</v>
      </c>
      <c r="S1064" s="67">
        <f t="shared" si="237"/>
        <v>-6368142.5417012945</v>
      </c>
      <c r="T1064" s="70">
        <f t="shared" si="232"/>
        <v>-0.11863053309762069</v>
      </c>
      <c r="U1064" s="67">
        <f t="shared" si="238"/>
        <v>17027484.858298704</v>
      </c>
      <c r="V1064" s="70">
        <f t="shared" si="233"/>
        <v>0.56224449238760332</v>
      </c>
      <c r="W1064" s="87">
        <f t="shared" si="243"/>
        <v>-0.36445891217531534</v>
      </c>
      <c r="X1064" s="142">
        <f t="shared" si="194"/>
        <v>1.7857142857142857E-4</v>
      </c>
      <c r="Y1064" s="139">
        <f t="shared" si="244"/>
        <v>-2.9797704522692963E-2</v>
      </c>
      <c r="Z1064" s="139">
        <f t="shared" si="245"/>
        <v>-2.9797704522692963E-2</v>
      </c>
      <c r="AA1064" s="139">
        <f t="shared" si="246"/>
        <v>8.879031948217167E-4</v>
      </c>
      <c r="AB1064" s="144">
        <f t="shared" si="247"/>
        <v>1.9960997629450512</v>
      </c>
      <c r="AC1064" s="144">
        <f t="shared" si="248"/>
        <v>-7.8142499604441432E-2</v>
      </c>
      <c r="AD1064" s="144">
        <f t="shared" si="249"/>
        <v>-6.5847967389616596E-2</v>
      </c>
      <c r="AE1064" s="144">
        <f t="shared" si="250"/>
        <v>-4.4213750351732445E-2</v>
      </c>
    </row>
    <row r="1065" spans="1:31">
      <c r="A1065" s="88">
        <v>45512</v>
      </c>
      <c r="B1065" s="78">
        <v>51762391.9934242</v>
      </c>
      <c r="D1065" s="67">
        <f t="shared" si="198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34"/>
        <v>9.4057234289718947E-2</v>
      </c>
      <c r="H1065" s="70"/>
      <c r="I1065" s="70"/>
      <c r="J1065" s="67">
        <f t="shared" si="241"/>
        <v>-8904975.4282890037</v>
      </c>
      <c r="K1065" s="70">
        <f t="shared" si="251"/>
        <v>-0.14678361377358629</v>
      </c>
      <c r="L1065" s="70">
        <f t="shared" si="242"/>
        <v>1.094057234289719</v>
      </c>
      <c r="M1065" s="70">
        <f>PRODUCT($L$2:L1065)-1</f>
        <v>0.13131751903334554</v>
      </c>
      <c r="N1065" s="70">
        <f>PRODUCT($L$909:L1065)-1</f>
        <v>-0.10601725306356924</v>
      </c>
      <c r="O1065" s="70">
        <f>AVERAGE($G$909:G1065)*252</f>
        <v>-3.7697969260230023E-2</v>
      </c>
      <c r="P1065" s="70">
        <f>STDEV($G$909:G1065)*252^0.5</f>
        <v>0.53302486341112376</v>
      </c>
      <c r="Q1065" s="67">
        <f t="shared" si="236"/>
        <v>-7745352.5465757996</v>
      </c>
      <c r="R1065" s="70">
        <f t="shared" si="231"/>
        <v>-0.13015705109390455</v>
      </c>
      <c r="S1065" s="67">
        <f t="shared" si="237"/>
        <v>-2636116.5265758038</v>
      </c>
      <c r="T1065" s="70">
        <f t="shared" si="232"/>
        <v>-4.8459352991389766E-2</v>
      </c>
      <c r="U1065" s="67">
        <f t="shared" si="238"/>
        <v>21449702.673424199</v>
      </c>
      <c r="V1065" s="70">
        <f t="shared" si="233"/>
        <v>0.70761463778378475</v>
      </c>
      <c r="W1065" s="87">
        <f t="shared" si="243"/>
        <v>-7.0724598134090155E-2</v>
      </c>
      <c r="X1065" s="142">
        <f t="shared" si="194"/>
        <v>1.7857142857142857E-4</v>
      </c>
      <c r="Y1065" s="139">
        <f t="shared" si="244"/>
        <v>9.3878662861147516E-2</v>
      </c>
      <c r="Z1065" s="139">
        <f t="shared" si="245"/>
        <v>0</v>
      </c>
      <c r="AA1065" s="139">
        <f t="shared" si="246"/>
        <v>0</v>
      </c>
      <c r="AB1065" s="144">
        <f t="shared" si="247"/>
        <v>2.9667434471522438</v>
      </c>
      <c r="AC1065" s="144">
        <f t="shared" si="248"/>
        <v>-8.1132244067314244E-2</v>
      </c>
      <c r="AD1065" s="144">
        <f t="shared" si="249"/>
        <v>-6.6551704027889555E-2</v>
      </c>
      <c r="AE1065" s="144">
        <f t="shared" si="250"/>
        <v>-4.4592603858099725E-2</v>
      </c>
    </row>
    <row r="1066" spans="1:31">
      <c r="A1066" s="88">
        <v>45513</v>
      </c>
      <c r="B1066" s="78">
        <v>52521250.0197547</v>
      </c>
      <c r="D1066" s="67">
        <f t="shared" si="198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34"/>
        <v>1.4660412649146987E-2</v>
      </c>
      <c r="H1066" s="70"/>
      <c r="I1066" s="70"/>
      <c r="J1066" s="67">
        <f t="shared" si="241"/>
        <v>-8146117.4019585028</v>
      </c>
      <c r="K1066" s="70">
        <f t="shared" si="251"/>
        <v>-0.1342751094724931</v>
      </c>
      <c r="L1066" s="70">
        <f t="shared" si="242"/>
        <v>1.014660412649147</v>
      </c>
      <c r="M1066" s="70">
        <f>PRODUCT($L$2:L1066)-1</f>
        <v>0.14790310069958368</v>
      </c>
      <c r="N1066" s="70">
        <f>PRODUCT($L$909:L1066)-1</f>
        <v>-9.2911097092263195E-2</v>
      </c>
      <c r="O1066" s="70">
        <f>AVERAGE($G$909:G1066)*252</f>
        <v>-1.4076944216905524E-2</v>
      </c>
      <c r="P1066" s="70">
        <f>STDEV($G$909:G1066)*252^0.5</f>
        <v>0.53165372159007884</v>
      </c>
      <c r="Q1066" s="67">
        <f t="shared" si="236"/>
        <v>-6203317.590245299</v>
      </c>
      <c r="R1066" s="70">
        <f t="shared" si="231"/>
        <v>-0.10563411265013653</v>
      </c>
      <c r="S1066" s="67">
        <f t="shared" si="237"/>
        <v>1294090.8297547027</v>
      </c>
      <c r="T1066" s="70">
        <f t="shared" si="232"/>
        <v>2.5261811316824315E-2</v>
      </c>
      <c r="U1066" s="67">
        <f t="shared" si="238"/>
        <v>21462405.439754702</v>
      </c>
      <c r="V1066" s="70">
        <f t="shared" si="233"/>
        <v>0.69102394921590815</v>
      </c>
      <c r="W1066" s="87">
        <f t="shared" si="243"/>
        <v>-2.6477655747060257E-2</v>
      </c>
      <c r="X1066" s="142">
        <f t="shared" si="194"/>
        <v>1.7857142857142857E-4</v>
      </c>
      <c r="Y1066" s="139">
        <f t="shared" si="244"/>
        <v>1.4481841220575558E-2</v>
      </c>
      <c r="Z1066" s="139">
        <f t="shared" si="245"/>
        <v>0</v>
      </c>
      <c r="AA1066" s="139">
        <f t="shared" si="246"/>
        <v>0</v>
      </c>
      <c r="AB1066" s="144">
        <f t="shared" si="247"/>
        <v>3.3419908738868833</v>
      </c>
      <c r="AC1066" s="144">
        <f t="shared" si="248"/>
        <v>-8.0600799592018699E-2</v>
      </c>
      <c r="AD1066" s="144">
        <f t="shared" si="249"/>
        <v>-6.6545516927610363E-2</v>
      </c>
      <c r="AE1066" s="144">
        <f t="shared" si="250"/>
        <v>-4.4568774090769994E-2</v>
      </c>
    </row>
    <row r="1067" spans="1:31">
      <c r="A1067" s="88">
        <v>45516</v>
      </c>
      <c r="B1067" s="78">
        <v>53400219.769905001</v>
      </c>
      <c r="D1067" s="67">
        <f t="shared" ref="D1067:D1130" si="252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34"/>
        <v>1.6735507053234559E-2</v>
      </c>
      <c r="H1067" s="70"/>
      <c r="I1067" s="70"/>
      <c r="J1067" s="67">
        <f t="shared" si="241"/>
        <v>-7267147.6518082023</v>
      </c>
      <c r="K1067" s="70">
        <f t="shared" si="251"/>
        <v>-0.11978676446090941</v>
      </c>
      <c r="L1067" s="70">
        <f t="shared" si="242"/>
        <v>1.0167355070532345</v>
      </c>
      <c r="M1067" s="70">
        <f>PRODUCT($L$2:L1067)-1</f>
        <v>0.16711384113777128</v>
      </c>
      <c r="N1067" s="70">
        <f>PRODUCT($L$909:L1067)-1</f>
        <v>-7.7730504359740049E-2</v>
      </c>
      <c r="O1067" s="70">
        <f>AVERAGE($G$909:G1067)*252</f>
        <v>1.2535789881409033E-2</v>
      </c>
      <c r="P1067" s="70">
        <f>STDEV($G$909:G1067)*252^0.5</f>
        <v>0.5303900299711678</v>
      </c>
      <c r="Q1067" s="67">
        <f t="shared" si="236"/>
        <v>-5994702.990094997</v>
      </c>
      <c r="R1067" s="70">
        <f t="shared" si="231"/>
        <v>-0.10092955275517555</v>
      </c>
      <c r="S1067" s="67">
        <f t="shared" si="237"/>
        <v>144232.25990500301</v>
      </c>
      <c r="T1067" s="70">
        <f t="shared" si="232"/>
        <v>2.7082825171145346E-3</v>
      </c>
      <c r="U1067" s="67">
        <f t="shared" si="238"/>
        <v>22297115.359905001</v>
      </c>
      <c r="V1067" s="70">
        <f t="shared" si="233"/>
        <v>0.71687748804702034</v>
      </c>
      <c r="W1067" s="87">
        <f t="shared" si="243"/>
        <v>2.3635040579647552E-2</v>
      </c>
      <c r="X1067" s="142">
        <f t="shared" si="194"/>
        <v>1.7857142857142857E-4</v>
      </c>
      <c r="Y1067" s="139">
        <f t="shared" si="244"/>
        <v>1.6556935624663132E-2</v>
      </c>
      <c r="Z1067" s="139">
        <f t="shared" si="245"/>
        <v>0</v>
      </c>
      <c r="AA1067" s="139">
        <f t="shared" si="246"/>
        <v>0</v>
      </c>
      <c r="AB1067" s="144">
        <f t="shared" si="247"/>
        <v>3.4866088485900173</v>
      </c>
      <c r="AC1067" s="144">
        <f t="shared" si="248"/>
        <v>-7.9827956277325557E-2</v>
      </c>
      <c r="AD1067" s="144">
        <f t="shared" si="249"/>
        <v>-6.500660589178385E-2</v>
      </c>
      <c r="AE1067" s="144">
        <f t="shared" si="250"/>
        <v>-4.4566194611227697E-2</v>
      </c>
    </row>
    <row r="1068" spans="1:31">
      <c r="A1068" s="88">
        <v>45517</v>
      </c>
      <c r="B1068" s="78">
        <v>56544654.715252496</v>
      </c>
      <c r="D1068" s="67">
        <f t="shared" si="252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34"/>
        <v>5.888430719754488E-2</v>
      </c>
      <c r="H1068" s="70"/>
      <c r="I1068" s="70"/>
      <c r="J1068" s="67">
        <f t="shared" si="241"/>
        <v>-4122712.7064607069</v>
      </c>
      <c r="K1068" s="70">
        <f t="shared" si="251"/>
        <v>-6.7956017900080656E-2</v>
      </c>
      <c r="L1068" s="70">
        <f t="shared" si="242"/>
        <v>1.0588843071975449</v>
      </c>
      <c r="M1068" s="70">
        <f>PRODUCT($L$2:L1068)-1</f>
        <v>0.23583853109383446</v>
      </c>
      <c r="N1068" s="70">
        <f>PRODUCT($L$909:L1068)-1</f>
        <v>-2.3423304059534189E-2</v>
      </c>
      <c r="O1068" s="70">
        <f>AVERAGE($G$909:G1068)*252</f>
        <v>0.10520022503078341</v>
      </c>
      <c r="P1068" s="70">
        <f>STDEV($G$909:G1068)*252^0.5</f>
        <v>0.53385034187920588</v>
      </c>
      <c r="Q1068" s="67">
        <f t="shared" si="236"/>
        <v>-3118395.0747475028</v>
      </c>
      <c r="R1068" s="70">
        <f t="shared" si="231"/>
        <v>-5.2266772914283215E-2</v>
      </c>
      <c r="S1068" s="67">
        <f t="shared" si="237"/>
        <v>3134529.0452524945</v>
      </c>
      <c r="T1068" s="70">
        <f t="shared" si="232"/>
        <v>5.8687917430105055E-2</v>
      </c>
      <c r="U1068" s="67">
        <f t="shared" si="238"/>
        <v>24361840.135252498</v>
      </c>
      <c r="V1068" s="70">
        <f t="shared" si="233"/>
        <v>0.75698289454124246</v>
      </c>
      <c r="W1068" s="87">
        <f t="shared" si="243"/>
        <v>0.19705939432476197</v>
      </c>
      <c r="X1068" s="142">
        <f t="shared" si="194"/>
        <v>1.7857142857142857E-4</v>
      </c>
      <c r="Y1068" s="139">
        <f t="shared" si="244"/>
        <v>5.8705735768973449E-2</v>
      </c>
      <c r="Z1068" s="139">
        <f t="shared" si="245"/>
        <v>0</v>
      </c>
      <c r="AA1068" s="139">
        <f t="shared" si="246"/>
        <v>0</v>
      </c>
      <c r="AB1068" s="144">
        <f t="shared" si="247"/>
        <v>3.8009851175101836</v>
      </c>
      <c r="AC1068" s="144">
        <f t="shared" si="248"/>
        <v>-8.0299037623874428E-2</v>
      </c>
      <c r="AD1068" s="144">
        <f t="shared" si="249"/>
        <v>-6.5210584537627694E-2</v>
      </c>
      <c r="AE1068" s="144">
        <f t="shared" si="250"/>
        <v>-4.4670905104690052E-2</v>
      </c>
    </row>
    <row r="1069" spans="1:31">
      <c r="A1069" s="88">
        <v>45518</v>
      </c>
      <c r="B1069" s="78">
        <v>56692038.266765103</v>
      </c>
      <c r="D1069" s="67">
        <f t="shared" si="252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34"/>
        <v>2.6064983906047418E-3</v>
      </c>
      <c r="H1069" s="70"/>
      <c r="I1069" s="70"/>
      <c r="J1069" s="67">
        <f t="shared" si="241"/>
        <v>-3975329.1549481004</v>
      </c>
      <c r="K1069" s="70">
        <f t="shared" si="251"/>
        <v>-6.5526646760764473E-2</v>
      </c>
      <c r="L1069" s="70">
        <f t="shared" si="242"/>
        <v>1.0026064983906047</v>
      </c>
      <c r="M1069" s="70">
        <f>PRODUCT($L$2:L1069)-1</f>
        <v>0.23905974223617776</v>
      </c>
      <c r="N1069" s="70">
        <f>PRODUCT($L$909:L1069)-1</f>
        <v>-2.0877858473263289E-2</v>
      </c>
      <c r="O1069" s="70">
        <f>AVERAGE($G$909:G1069)*252</f>
        <v>0.10862654409538969</v>
      </c>
      <c r="P1069" s="70">
        <f>STDEV($G$909:G1069)*252^0.5</f>
        <v>0.53218649145984542</v>
      </c>
      <c r="Q1069" s="67">
        <f t="shared" si="236"/>
        <v>-4251638.6879028007</v>
      </c>
      <c r="R1069" s="70">
        <f t="shared" si="231"/>
        <v>-6.9763409435655191E-2</v>
      </c>
      <c r="S1069" s="67">
        <f t="shared" si="237"/>
        <v>3104181.346765101</v>
      </c>
      <c r="T1069" s="70">
        <f t="shared" si="232"/>
        <v>5.7926954447893995E-2</v>
      </c>
      <c r="U1069" s="67">
        <f t="shared" si="238"/>
        <v>24800430.936765105</v>
      </c>
      <c r="V1069" s="70">
        <f t="shared" si="233"/>
        <v>0.77764756978666538</v>
      </c>
      <c r="W1069" s="87">
        <f t="shared" si="243"/>
        <v>0.20411368164835464</v>
      </c>
      <c r="X1069" s="142">
        <f t="shared" si="194"/>
        <v>1.7857142857142857E-4</v>
      </c>
      <c r="Y1069" s="139">
        <f t="shared" si="244"/>
        <v>2.4279269620333132E-3</v>
      </c>
      <c r="Z1069" s="139">
        <f t="shared" si="245"/>
        <v>0</v>
      </c>
      <c r="AA1069" s="139">
        <f t="shared" si="246"/>
        <v>0</v>
      </c>
      <c r="AB1069" s="144">
        <f t="shared" si="247"/>
        <v>3.8316610818634333</v>
      </c>
      <c r="AC1069" s="144">
        <f t="shared" si="248"/>
        <v>-8.0348929854976658E-2</v>
      </c>
      <c r="AD1069" s="144">
        <f t="shared" si="249"/>
        <v>-6.5213542249027992E-2</v>
      </c>
      <c r="AE1069" s="144">
        <f t="shared" si="250"/>
        <v>-4.467166384418824E-2</v>
      </c>
    </row>
    <row r="1070" spans="1:31">
      <c r="A1070" s="88">
        <v>45519</v>
      </c>
      <c r="B1070" s="78">
        <v>59805518.4498135</v>
      </c>
      <c r="D1070" s="67">
        <f t="shared" si="252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34"/>
        <v>5.491917874601504E-2</v>
      </c>
      <c r="H1070" s="70"/>
      <c r="I1070" s="70"/>
      <c r="J1070" s="67">
        <f t="shared" si="241"/>
        <v>-861848.97189970315</v>
      </c>
      <c r="K1070" s="70">
        <f t="shared" si="251"/>
        <v>-1.4206137640830896E-2</v>
      </c>
      <c r="L1070" s="70">
        <f t="shared" si="242"/>
        <v>1.054919178746015</v>
      </c>
      <c r="M1070" s="70">
        <f>PRODUCT($L$2:L1070)-1</f>
        <v>0.30710788569703773</v>
      </c>
      <c r="N1070" s="70">
        <f>PRODUCT($L$909:L1070)-1</f>
        <v>3.2894725431424687E-2</v>
      </c>
      <c r="O1070" s="70">
        <f>AVERAGE($G$909:G1070)*252</f>
        <v>0.19338584347749094</v>
      </c>
      <c r="P1070" s="70">
        <f>STDEV($G$909:G1070)*252^0.5</f>
        <v>0.53486604952156702</v>
      </c>
      <c r="Q1070" s="67">
        <f t="shared" si="236"/>
        <v>-4056302.1406579018</v>
      </c>
      <c r="R1070" s="70">
        <f t="shared" si="231"/>
        <v>-6.3516857226321041E-2</v>
      </c>
      <c r="S1070" s="67">
        <f t="shared" si="237"/>
        <v>8783664.6798134968</v>
      </c>
      <c r="T1070" s="70">
        <f t="shared" si="232"/>
        <v>0.17215494990458666</v>
      </c>
      <c r="U1070" s="67">
        <f t="shared" si="238"/>
        <v>27829290.1298135</v>
      </c>
      <c r="V1070" s="70">
        <f t="shared" si="233"/>
        <v>0.87031184076225976</v>
      </c>
      <c r="W1070" s="87">
        <f t="shared" si="243"/>
        <v>0.36155939164669898</v>
      </c>
      <c r="X1070" s="142">
        <f t="shared" si="194"/>
        <v>1.7857142857142857E-4</v>
      </c>
      <c r="Y1070" s="139">
        <f t="shared" si="244"/>
        <v>5.474060731744361E-2</v>
      </c>
      <c r="Z1070" s="139">
        <f t="shared" si="245"/>
        <v>0</v>
      </c>
      <c r="AA1070" s="139">
        <f t="shared" si="246"/>
        <v>0</v>
      </c>
      <c r="AB1070" s="144">
        <f t="shared" si="247"/>
        <v>4.0259059771739256</v>
      </c>
      <c r="AC1070" s="144">
        <f t="shared" si="248"/>
        <v>-8.0719159503922736E-2</v>
      </c>
      <c r="AD1070" s="144">
        <f t="shared" si="249"/>
        <v>-6.5281022465036545E-2</v>
      </c>
      <c r="AE1070" s="144">
        <f t="shared" si="250"/>
        <v>-4.4712993892033898E-2</v>
      </c>
    </row>
    <row r="1071" spans="1:31">
      <c r="A1071" s="88">
        <v>45520</v>
      </c>
      <c r="B1071" s="78">
        <v>61136510.623112902</v>
      </c>
      <c r="D1071" s="67">
        <f t="shared" si="252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34"/>
        <v>2.2255340440135465E-2</v>
      </c>
      <c r="H1071" s="70"/>
      <c r="I1071" s="70"/>
      <c r="J1071" s="67">
        <f t="shared" si="241"/>
        <v>469143.20139969885</v>
      </c>
      <c r="K1071" s="70">
        <f t="shared" si="251"/>
        <v>7.733040369768629E-3</v>
      </c>
      <c r="L1071" s="70">
        <f t="shared" si="242"/>
        <v>1.0222553404401356</v>
      </c>
      <c r="M1071" s="70">
        <f>PRODUCT($L$2:L1071)-1</f>
        <v>0.33619801668521099</v>
      </c>
      <c r="N1071" s="70">
        <f>PRODUCT($L$909:L1071)-1</f>
        <v>5.5882149184721452E-2</v>
      </c>
      <c r="O1071" s="70">
        <f>AVERAGE($G$909:G1071)*252</f>
        <v>0.2266064566519489</v>
      </c>
      <c r="P1071" s="70">
        <f>STDEV($G$909:G1071)*252^0.5</f>
        <v>0.53388163199978622</v>
      </c>
      <c r="Q1071" s="67">
        <f t="shared" si="236"/>
        <v>-2908109.2441542968</v>
      </c>
      <c r="R1071" s="70">
        <f t="shared" si="231"/>
        <v>-4.5407549458195987E-2</v>
      </c>
      <c r="S1071" s="67">
        <f t="shared" si="237"/>
        <v>7051097.573112905</v>
      </c>
      <c r="T1071" s="70">
        <f t="shared" si="232"/>
        <v>0.13036967225514987</v>
      </c>
      <c r="U1071" s="67">
        <f t="shared" si="238"/>
        <v>29112080.803112902</v>
      </c>
      <c r="V1071" s="70">
        <f t="shared" si="233"/>
        <v>0.90905852084622385</v>
      </c>
      <c r="W1071" s="87">
        <f t="shared" si="243"/>
        <v>0.42445074538926941</v>
      </c>
      <c r="X1071" s="142">
        <f t="shared" si="194"/>
        <v>1.7857142857142857E-4</v>
      </c>
      <c r="Y1071" s="139">
        <f t="shared" si="244"/>
        <v>2.2076769011564037E-2</v>
      </c>
      <c r="Z1071" s="139">
        <f t="shared" si="245"/>
        <v>0</v>
      </c>
      <c r="AA1071" s="139">
        <f t="shared" si="246"/>
        <v>0</v>
      </c>
      <c r="AB1071" s="144">
        <f t="shared" si="247"/>
        <v>4.5982819948086755</v>
      </c>
      <c r="AC1071" s="144">
        <f t="shared" si="248"/>
        <v>-8.0528959398175101E-2</v>
      </c>
      <c r="AD1071" s="144">
        <f t="shared" si="249"/>
        <v>-6.4046429550001033E-2</v>
      </c>
      <c r="AE1071" s="144">
        <f t="shared" si="250"/>
        <v>-4.4692518152149703E-2</v>
      </c>
    </row>
    <row r="1072" spans="1:31">
      <c r="A1072" s="88">
        <v>45523</v>
      </c>
      <c r="B1072" s="78">
        <v>63198667.8479895</v>
      </c>
      <c r="D1072" s="67">
        <f t="shared" si="252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34"/>
        <v>3.3730371652859602E-2</v>
      </c>
      <c r="H1072" s="70"/>
      <c r="I1072" s="70"/>
      <c r="J1072" s="67">
        <f t="shared" si="241"/>
        <v>2531300.4262762964</v>
      </c>
      <c r="K1072" s="70">
        <f t="shared" si="251"/>
        <v>4.1724250348307068E-2</v>
      </c>
      <c r="L1072" s="70">
        <f t="shared" si="242"/>
        <v>1.0337303716528596</v>
      </c>
      <c r="M1072" s="70">
        <f>PRODUCT($L$2:L1072)-1</f>
        <v>0.3812684723898172</v>
      </c>
      <c r="N1072" s="70">
        <f>PRODUCT($L$909:L1072)-1</f>
        <v>9.1497446498342239E-2</v>
      </c>
      <c r="O1072" s="70">
        <f>AVERAGE($G$909:G1072)*252</f>
        <v>0.27705430543163589</v>
      </c>
      <c r="P1072" s="70">
        <f>STDEV($G$909:G1072)*252^0.5</f>
        <v>0.53379510069166414</v>
      </c>
      <c r="Q1072" s="67">
        <f t="shared" si="236"/>
        <v>-1444881.6065388024</v>
      </c>
      <c r="R1072" s="70">
        <f t="shared" si="231"/>
        <v>-2.235152027899031E-2</v>
      </c>
      <c r="S1072" s="67">
        <f t="shared" si="237"/>
        <v>14072665.877989501</v>
      </c>
      <c r="T1072" s="70">
        <f t="shared" si="232"/>
        <v>0.28646063822949241</v>
      </c>
      <c r="U1072" s="67">
        <f t="shared" si="238"/>
        <v>31513165.247989498</v>
      </c>
      <c r="V1072" s="70">
        <f t="shared" si="233"/>
        <v>0.99456100304968797</v>
      </c>
      <c r="W1072" s="87">
        <f t="shared" si="243"/>
        <v>0.51902744156445657</v>
      </c>
      <c r="X1072" s="142">
        <f t="shared" si="194"/>
        <v>1.7857142857142857E-4</v>
      </c>
      <c r="Y1072" s="139">
        <f t="shared" si="244"/>
        <v>3.3551800224288171E-2</v>
      </c>
      <c r="Z1072" s="139">
        <f t="shared" si="245"/>
        <v>0</v>
      </c>
      <c r="AA1072" s="139">
        <f t="shared" si="246"/>
        <v>0</v>
      </c>
      <c r="AB1072" s="144">
        <f t="shared" si="247"/>
        <v>4.7743446639816378</v>
      </c>
      <c r="AC1072" s="144">
        <f t="shared" si="248"/>
        <v>-8.0193099093444978E-2</v>
      </c>
      <c r="AD1072" s="144">
        <f t="shared" si="249"/>
        <v>-6.3811691438501184E-2</v>
      </c>
      <c r="AE1072" s="144">
        <f t="shared" si="250"/>
        <v>-4.4684815335688771E-2</v>
      </c>
    </row>
    <row r="1073" spans="1:31">
      <c r="A1073" s="88">
        <v>45524</v>
      </c>
      <c r="B1073" s="78">
        <v>61777804.835665397</v>
      </c>
      <c r="D1073" s="67">
        <f t="shared" si="252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34"/>
        <v>-2.2482483582433665E-2</v>
      </c>
      <c r="H1073" s="70"/>
      <c r="I1073" s="70"/>
      <c r="J1073" s="67">
        <f t="shared" si="241"/>
        <v>1110437.4139521942</v>
      </c>
      <c r="K1073" s="70">
        <f t="shared" si="251"/>
        <v>1.8303701992428145E-2</v>
      </c>
      <c r="L1073" s="70">
        <f t="shared" si="242"/>
        <v>0.97751751641756635</v>
      </c>
      <c r="M1073" s="70">
        <f>PRODUCT($L$2:L1073)-1</f>
        <v>0.35021412663637985</v>
      </c>
      <c r="N1073" s="70">
        <f>PRODUCT($L$909:L1073)-1</f>
        <v>6.6957873077174934E-2</v>
      </c>
      <c r="O1073" s="70">
        <f>AVERAGE($G$909:G1073)*252</f>
        <v>0.24103830441221219</v>
      </c>
      <c r="P1073" s="70">
        <f>STDEV($G$909:G1073)*252^0.5</f>
        <v>0.53296258165383947</v>
      </c>
      <c r="Q1073" s="67">
        <f t="shared" si="236"/>
        <v>-3242680.2577375025</v>
      </c>
      <c r="R1073" s="70">
        <f t="shared" si="231"/>
        <v>-4.9871671259901301E-2</v>
      </c>
      <c r="S1073" s="67">
        <f t="shared" si="237"/>
        <v>15072205.5356654</v>
      </c>
      <c r="T1073" s="70">
        <f t="shared" si="232"/>
        <v>0.32270660823455916</v>
      </c>
      <c r="U1073" s="67">
        <f t="shared" si="238"/>
        <v>29331017.415665396</v>
      </c>
      <c r="V1073" s="70">
        <f t="shared" si="233"/>
        <v>0.90397292761211656</v>
      </c>
      <c r="W1073" s="87">
        <f t="shared" si="243"/>
        <v>0.45226121440691902</v>
      </c>
      <c r="X1073" s="142">
        <f t="shared" ref="X1073:X1168" si="253">4.5%/252</f>
        <v>1.7857142857142857E-4</v>
      </c>
      <c r="Y1073" s="139">
        <f t="shared" si="244"/>
        <v>-2.2661055011005092E-2</v>
      </c>
      <c r="Z1073" s="139">
        <f t="shared" si="245"/>
        <v>-2.2661055011005092E-2</v>
      </c>
      <c r="AA1073" s="139">
        <f t="shared" si="246"/>
        <v>5.1352341421179897E-4</v>
      </c>
      <c r="AB1073" s="144">
        <f t="shared" si="247"/>
        <v>4.4660562302020708</v>
      </c>
      <c r="AC1073" s="144">
        <f t="shared" si="248"/>
        <v>-8.1269869803149652E-2</v>
      </c>
      <c r="AD1073" s="144">
        <f t="shared" si="249"/>
        <v>-6.1171751022899637E-2</v>
      </c>
      <c r="AE1073" s="144">
        <f t="shared" si="250"/>
        <v>-4.4752093909164549E-2</v>
      </c>
    </row>
    <row r="1074" spans="1:31">
      <c r="A1074" s="88">
        <v>45525</v>
      </c>
      <c r="B1074" s="78">
        <v>62658444.354868598</v>
      </c>
      <c r="D1074" s="67">
        <f t="shared" si="252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34"/>
        <v>1.4254950002606639E-2</v>
      </c>
      <c r="H1074" s="70"/>
      <c r="I1074" s="70"/>
      <c r="J1074" s="67">
        <f t="shared" si="241"/>
        <v>1991076.9331553951</v>
      </c>
      <c r="K1074" s="70">
        <f t="shared" si="251"/>
        <v>3.2819570351799499E-2</v>
      </c>
      <c r="L1074" s="70">
        <f t="shared" si="242"/>
        <v>1.0142549500026066</v>
      </c>
      <c r="M1074" s="70">
        <f>PRODUCT($L$2:L1074)-1</f>
        <v>0.36946136150439446</v>
      </c>
      <c r="N1074" s="70">
        <f>PRODUCT($L$909:L1074)-1</f>
        <v>8.2167304212777514E-2</v>
      </c>
      <c r="O1074" s="70">
        <f>AVERAGE($G$909:G1074)*252</f>
        <v>0.26122631101609567</v>
      </c>
      <c r="P1074" s="70">
        <f>STDEV($G$909:G1074)*252^0.5</f>
        <v>0.5315976606765398</v>
      </c>
      <c r="Q1074" s="67">
        <f t="shared" si="236"/>
        <v>-2432640.5803930983</v>
      </c>
      <c r="R1074" s="70">
        <f t="shared" si="231"/>
        <v>-3.7372868846978879E-2</v>
      </c>
      <c r="S1074" s="67">
        <f t="shared" si="237"/>
        <v>16811050.674868599</v>
      </c>
      <c r="T1074" s="70">
        <f t="shared" si="232"/>
        <v>0.36667407513291383</v>
      </c>
      <c r="U1074" s="67">
        <f t="shared" si="238"/>
        <v>29849776.624868598</v>
      </c>
      <c r="V1074" s="70">
        <f t="shared" si="233"/>
        <v>0.90981373795846598</v>
      </c>
      <c r="W1074" s="87">
        <f t="shared" si="243"/>
        <v>0.49139853377767878</v>
      </c>
      <c r="X1074" s="142">
        <f t="shared" si="253"/>
        <v>1.7857142857142857E-4</v>
      </c>
      <c r="Y1074" s="139">
        <f t="shared" si="244"/>
        <v>1.407637857403521E-2</v>
      </c>
      <c r="Z1074" s="139">
        <f t="shared" si="245"/>
        <v>0</v>
      </c>
      <c r="AA1074" s="139">
        <f t="shared" si="246"/>
        <v>0</v>
      </c>
      <c r="AB1074" s="144">
        <f t="shared" si="247"/>
        <v>4.2938672160864808</v>
      </c>
      <c r="AC1074" s="144">
        <f t="shared" si="248"/>
        <v>-8.1103480295332334E-2</v>
      </c>
      <c r="AD1074" s="144">
        <f t="shared" si="249"/>
        <v>-5.9860386435248519E-2</v>
      </c>
      <c r="AE1074" s="144">
        <f t="shared" si="250"/>
        <v>-4.4752104738345254E-2</v>
      </c>
    </row>
    <row r="1075" spans="1:31">
      <c r="A1075" s="88">
        <v>45526</v>
      </c>
      <c r="B1075" s="78">
        <v>60262248.670911402</v>
      </c>
      <c r="D1075" s="67">
        <f t="shared" si="252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34"/>
        <v>-3.8242182815555505E-2</v>
      </c>
      <c r="H1075" s="70"/>
      <c r="I1075" s="70"/>
      <c r="J1075" s="67">
        <f t="shared" si="241"/>
        <v>-405118.75080180168</v>
      </c>
      <c r="K1075" s="70">
        <f t="shared" si="251"/>
        <v>-6.6777044730774726E-3</v>
      </c>
      <c r="L1075" s="70">
        <f t="shared" si="242"/>
        <v>0.96175781718444453</v>
      </c>
      <c r="M1075" s="70">
        <f>PRODUCT($L$2:L1075)-1</f>
        <v>0.31709016975890392</v>
      </c>
      <c r="N1075" s="70">
        <f>PRODUCT($L$909:L1075)-1</f>
        <v>4.0782864328055668E-2</v>
      </c>
      <c r="O1075" s="70">
        <f>AVERAGE($G$909:G1075)*252</f>
        <v>0.20195531472546049</v>
      </c>
      <c r="P1075" s="70">
        <f>STDEV($G$909:G1075)*252^0.5</f>
        <v>0.53218585116301709</v>
      </c>
      <c r="Q1075" s="67">
        <f t="shared" si="236"/>
        <v>-7141000.8480926007</v>
      </c>
      <c r="R1075" s="70">
        <f t="shared" si="231"/>
        <v>-0.10594445963735372</v>
      </c>
      <c r="S1075" s="67">
        <f t="shared" si="237"/>
        <v>17317385.370911404</v>
      </c>
      <c r="T1075" s="70">
        <f t="shared" si="232"/>
        <v>0.40324695528630095</v>
      </c>
      <c r="U1075" s="67">
        <f t="shared" si="238"/>
        <v>28196612.490911402</v>
      </c>
      <c r="V1075" s="70">
        <f t="shared" si="233"/>
        <v>0.87934049811549386</v>
      </c>
      <c r="W1075" s="87">
        <f t="shared" si="243"/>
        <v>0.37948268313431416</v>
      </c>
      <c r="X1075" s="142">
        <f t="shared" si="253"/>
        <v>1.7857142857142857E-4</v>
      </c>
      <c r="Y1075" s="139">
        <f t="shared" si="244"/>
        <v>-3.8420754244126935E-2</v>
      </c>
      <c r="Z1075" s="139">
        <f t="shared" si="245"/>
        <v>-3.8420754244126935E-2</v>
      </c>
      <c r="AA1075" s="139">
        <f t="shared" si="246"/>
        <v>1.476154356687598E-3</v>
      </c>
      <c r="AB1075" s="144">
        <f t="shared" si="247"/>
        <v>3.8711461611851568</v>
      </c>
      <c r="AC1075" s="144">
        <f t="shared" si="248"/>
        <v>-8.3074553963738473E-2</v>
      </c>
      <c r="AD1075" s="144">
        <f t="shared" si="249"/>
        <v>-6.0373034956450827E-2</v>
      </c>
      <c r="AE1075" s="144">
        <f t="shared" si="250"/>
        <v>-4.5007024513745129E-2</v>
      </c>
    </row>
    <row r="1076" spans="1:31">
      <c r="A1076" s="88">
        <v>45527</v>
      </c>
      <c r="B1076" s="78">
        <v>63505365.288649</v>
      </c>
      <c r="D1076" s="67">
        <f t="shared" si="252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34"/>
        <v>5.3816720903464253E-2</v>
      </c>
      <c r="H1076" s="70"/>
      <c r="I1076" s="70"/>
      <c r="J1076" s="67">
        <f t="shared" si="241"/>
        <v>2837997.866935797</v>
      </c>
      <c r="K1076" s="70">
        <f t="shared" si="251"/>
        <v>4.6779644272483489E-2</v>
      </c>
      <c r="L1076" s="70">
        <f t="shared" si="242"/>
        <v>1.0538167209034643</v>
      </c>
      <c r="M1076" s="70">
        <f>PRODUCT($L$2:L1076)-1</f>
        <v>0.38797164382951532</v>
      </c>
      <c r="N1076" s="70">
        <f>PRODUCT($L$909:L1076)-1</f>
        <v>9.6794385258706761E-2</v>
      </c>
      <c r="O1076" s="70">
        <f>AVERAGE($G$909:G1076)*252</f>
        <v>0.28147828111205292</v>
      </c>
      <c r="P1076" s="70">
        <f>STDEV($G$909:G1076)*252^0.5</f>
        <v>0.53454819816669352</v>
      </c>
      <c r="Q1076" s="67">
        <f t="shared" si="236"/>
        <v>-1938987.6923824027</v>
      </c>
      <c r="R1076" s="70">
        <f t="shared" si="231"/>
        <v>-2.9628036706916563E-2</v>
      </c>
      <c r="S1076" s="67">
        <f t="shared" si="237"/>
        <v>21440568.118648998</v>
      </c>
      <c r="T1076" s="70">
        <f t="shared" si="232"/>
        <v>0.50970335199761996</v>
      </c>
      <c r="U1076" s="67">
        <f t="shared" si="238"/>
        <v>31745629.818649001</v>
      </c>
      <c r="V1076" s="70">
        <f t="shared" si="233"/>
        <v>0.99955586370156257</v>
      </c>
      <c r="W1076" s="87">
        <f t="shared" si="243"/>
        <v>0.52657231298771812</v>
      </c>
      <c r="X1076" s="142">
        <f t="shared" si="253"/>
        <v>1.7857142857142857E-4</v>
      </c>
      <c r="Y1076" s="139">
        <f t="shared" si="244"/>
        <v>5.3638149474892823E-2</v>
      </c>
      <c r="Z1076" s="139">
        <f t="shared" si="245"/>
        <v>0</v>
      </c>
      <c r="AA1076" s="139">
        <f t="shared" si="246"/>
        <v>0</v>
      </c>
      <c r="AB1076" s="144">
        <f t="shared" si="247"/>
        <v>4.2907580904481541</v>
      </c>
      <c r="AC1076" s="144">
        <f t="shared" si="248"/>
        <v>-8.3401318600104371E-2</v>
      </c>
      <c r="AD1076" s="144">
        <f t="shared" si="249"/>
        <v>-5.8605081251070515E-2</v>
      </c>
      <c r="AE1076" s="144">
        <f t="shared" si="250"/>
        <v>-4.4963749539636708E-2</v>
      </c>
    </row>
    <row r="1077" spans="1:31">
      <c r="A1077" s="88">
        <v>45530</v>
      </c>
      <c r="B1077" s="78">
        <v>62382833.512212202</v>
      </c>
      <c r="D1077" s="67">
        <f t="shared" si="252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34"/>
        <v>-1.7676172262525991E-2</v>
      </c>
      <c r="H1077" s="70"/>
      <c r="I1077" s="70"/>
      <c r="J1077" s="67">
        <f t="shared" si="241"/>
        <v>1715466.0904989988</v>
      </c>
      <c r="K1077" s="70">
        <f t="shared" si="251"/>
        <v>2.827658695941726E-2</v>
      </c>
      <c r="L1077" s="70">
        <f t="shared" si="242"/>
        <v>0.98232382773747395</v>
      </c>
      <c r="M1077" s="70">
        <f>PRODUCT($L$2:L1077)-1</f>
        <v>0.36343761795768326</v>
      </c>
      <c r="N1077" s="70">
        <f>PRODUCT($L$909:L1077)-1</f>
        <v>7.7407258768302567E-2</v>
      </c>
      <c r="O1077" s="70">
        <f>AVERAGE($G$909:G1077)*252</f>
        <v>0.25345535986194284</v>
      </c>
      <c r="P1077" s="70">
        <f>STDEV($G$909:G1077)*252^0.5</f>
        <v>0.53344875218517973</v>
      </c>
      <c r="Q1077" s="67">
        <f t="shared" ref="Q1077:Q1108" si="254">B1077-C1077-D1046</f>
        <v>-4770018.6653840989</v>
      </c>
      <c r="R1077" s="70">
        <f t="shared" si="231"/>
        <v>-7.1032257167112312E-2</v>
      </c>
      <c r="S1077" s="67">
        <f t="shared" ref="S1077:S1108" si="255">B1077-C1077-D986</f>
        <v>23613646.682212204</v>
      </c>
      <c r="T1077" s="70">
        <f t="shared" si="232"/>
        <v>0.60908284679161029</v>
      </c>
      <c r="U1077" s="67">
        <f t="shared" ref="U1077:U1108" si="256">B1077-C1077-D711</f>
        <v>30052989.192212202</v>
      </c>
      <c r="V1077" s="70">
        <f t="shared" si="233"/>
        <v>0.9295742006904969</v>
      </c>
      <c r="W1077" s="87">
        <f t="shared" si="243"/>
        <v>0.47512597756336888</v>
      </c>
      <c r="X1077" s="142">
        <f t="shared" si="253"/>
        <v>1.7857142857142857E-4</v>
      </c>
      <c r="Y1077" s="139">
        <f t="shared" si="244"/>
        <v>-1.7854743691097418E-2</v>
      </c>
      <c r="Z1077" s="139">
        <f t="shared" si="245"/>
        <v>-1.7854743691097418E-2</v>
      </c>
      <c r="AA1077" s="139">
        <f t="shared" si="246"/>
        <v>3.1879187227478307E-4</v>
      </c>
      <c r="AB1077" s="144">
        <f t="shared" si="247"/>
        <v>4.1348069104055032</v>
      </c>
      <c r="AC1077" s="144">
        <f t="shared" si="248"/>
        <v>-8.2774040670089533E-2</v>
      </c>
      <c r="AD1077" s="144">
        <f t="shared" si="249"/>
        <v>-5.85427591435735E-2</v>
      </c>
      <c r="AE1077" s="144">
        <f t="shared" si="250"/>
        <v>-4.5005888108991532E-2</v>
      </c>
    </row>
    <row r="1078" spans="1:31">
      <c r="A1078" s="88">
        <v>45531</v>
      </c>
      <c r="B1078" s="78">
        <v>63190385.891591698</v>
      </c>
      <c r="D1078" s="67">
        <f t="shared" si="252"/>
        <v>63190385.891591698</v>
      </c>
      <c r="E1078" s="67">
        <f t="shared" ref="E1078:E1109" si="257">IF(MONTH(A1078)=MONTH(A1077),E1077,D1077)</f>
        <v>60667367.421713203</v>
      </c>
      <c r="F1078" s="67">
        <f t="shared" ref="F1078:F1109" si="258">B1078-C1078-D1077</f>
        <v>807552.37937949598</v>
      </c>
      <c r="G1078" s="70">
        <f t="shared" si="234"/>
        <v>1.2945105791345751E-2</v>
      </c>
      <c r="H1078" s="70"/>
      <c r="I1078" s="70"/>
      <c r="J1078" s="67">
        <f t="shared" ref="J1078:J1109" si="259">IF(MONTH(A1078)=MONTH(A1077),J1077+F1078,F1078)</f>
        <v>2523018.4698784947</v>
      </c>
      <c r="K1078" s="70">
        <f t="shared" si="251"/>
        <v>4.1587736160370703E-2</v>
      </c>
      <c r="L1078" s="70">
        <f t="shared" si="242"/>
        <v>1.0129451057913457</v>
      </c>
      <c r="M1078" s="70">
        <f>PRODUCT($L$2:L1078)-1</f>
        <v>0.3810874621620457</v>
      </c>
      <c r="N1078" s="70">
        <f>PRODUCT($L$909:L1078)-1</f>
        <v>9.1354409713422013E-2</v>
      </c>
      <c r="O1078" s="70">
        <f>AVERAGE($G$909:G1078)*252</f>
        <v>0.27115366162404397</v>
      </c>
      <c r="P1078" s="70">
        <f>STDEV($G$909:G1078)*252^0.5</f>
        <v>0.53206676770928707</v>
      </c>
      <c r="Q1078" s="67">
        <f t="shared" si="254"/>
        <v>-3886146.2396564037</v>
      </c>
      <c r="R1078" s="70">
        <f t="shared" si="231"/>
        <v>-5.7936004086383192E-2</v>
      </c>
      <c r="S1078" s="67">
        <f t="shared" si="255"/>
        <v>22198201.211591698</v>
      </c>
      <c r="T1078" s="70">
        <f t="shared" si="232"/>
        <v>0.54152276549491041</v>
      </c>
      <c r="U1078" s="67">
        <f t="shared" si="256"/>
        <v>30502978.1515917</v>
      </c>
      <c r="V1078" s="70">
        <f t="shared" si="233"/>
        <v>0.93317213754655792</v>
      </c>
      <c r="W1078" s="87">
        <f t="shared" si="243"/>
        <v>0.50962337450888884</v>
      </c>
      <c r="X1078" s="142">
        <f t="shared" si="253"/>
        <v>1.7857142857142857E-4</v>
      </c>
      <c r="Y1078" s="139">
        <f t="shared" si="244"/>
        <v>1.2766534362774322E-2</v>
      </c>
      <c r="Z1078" s="139">
        <f t="shared" si="245"/>
        <v>0</v>
      </c>
      <c r="AA1078" s="139">
        <f t="shared" si="246"/>
        <v>0</v>
      </c>
      <c r="AB1078" s="144">
        <f t="shared" si="247"/>
        <v>4.2515042995321295</v>
      </c>
      <c r="AC1078" s="144">
        <f t="shared" si="248"/>
        <v>-8.289806384698481E-2</v>
      </c>
      <c r="AD1078" s="144">
        <f t="shared" si="249"/>
        <v>-5.589759617039642E-2</v>
      </c>
      <c r="AE1078" s="144">
        <f t="shared" si="250"/>
        <v>-4.5008910322364218E-2</v>
      </c>
    </row>
    <row r="1079" spans="1:31">
      <c r="A1079" s="88">
        <v>45532</v>
      </c>
      <c r="B1079" s="78">
        <v>61388535.955951601</v>
      </c>
      <c r="D1079" s="67">
        <f t="shared" si="252"/>
        <v>61388535.955951601</v>
      </c>
      <c r="E1079" s="67">
        <f t="shared" si="257"/>
        <v>60667367.421713203</v>
      </c>
      <c r="F1079" s="67">
        <f t="shared" si="258"/>
        <v>-1801849.9356400967</v>
      </c>
      <c r="G1079" s="70">
        <f t="shared" si="234"/>
        <v>-2.8514621492125691E-2</v>
      </c>
      <c r="H1079" s="70"/>
      <c r="I1079" s="70"/>
      <c r="J1079" s="67">
        <f t="shared" si="259"/>
        <v>721168.53423839808</v>
      </c>
      <c r="K1079" s="70">
        <f t="shared" si="251"/>
        <v>1.1887256112917743E-2</v>
      </c>
      <c r="L1079" s="70">
        <f t="shared" si="242"/>
        <v>0.97148537850787431</v>
      </c>
      <c r="M1079" s="70">
        <f>PRODUCT($L$2:L1079)-1</f>
        <v>0.34170627593097458</v>
      </c>
      <c r="N1079" s="70">
        <f>PRODUCT($L$909:L1079)-1</f>
        <v>6.0234851806681533E-2</v>
      </c>
      <c r="O1079" s="70">
        <f>AVERAGE($G$909:G1079)*252</f>
        <v>0.22754642023433802</v>
      </c>
      <c r="P1079" s="70">
        <f>STDEV($G$909:G1079)*252^0.5</f>
        <v>0.53171434623307423</v>
      </c>
      <c r="Q1079" s="67">
        <f t="shared" si="254"/>
        <v>-7610282.4457273036</v>
      </c>
      <c r="R1079" s="70">
        <f t="shared" si="231"/>
        <v>-0.11029583726236865</v>
      </c>
      <c r="S1079" s="67">
        <f t="shared" si="255"/>
        <v>17558006.405951604</v>
      </c>
      <c r="T1079" s="70">
        <f t="shared" si="232"/>
        <v>0.4005885072851374</v>
      </c>
      <c r="U1079" s="67">
        <f t="shared" si="256"/>
        <v>27893896.3559516</v>
      </c>
      <c r="V1079" s="70">
        <f t="shared" si="233"/>
        <v>0.83278687840998888</v>
      </c>
      <c r="W1079" s="87">
        <f t="shared" si="243"/>
        <v>0.42794861911548693</v>
      </c>
      <c r="X1079" s="142">
        <f t="shared" si="253"/>
        <v>1.7857142857142857E-4</v>
      </c>
      <c r="Y1079" s="139">
        <f t="shared" si="244"/>
        <v>-2.8693192920697119E-2</v>
      </c>
      <c r="Z1079" s="139">
        <f t="shared" si="245"/>
        <v>-2.8693192920697119E-2</v>
      </c>
      <c r="AA1079" s="139">
        <f t="shared" si="246"/>
        <v>8.2329931998434327E-4</v>
      </c>
      <c r="AB1079" s="144">
        <f t="shared" si="247"/>
        <v>4.0087066066605672</v>
      </c>
      <c r="AC1079" s="144">
        <f t="shared" si="248"/>
        <v>-8.4139744463737454E-2</v>
      </c>
      <c r="AD1079" s="144">
        <f t="shared" si="249"/>
        <v>-5.6462673124658767E-2</v>
      </c>
      <c r="AE1079" s="144">
        <f t="shared" si="250"/>
        <v>-4.5182936505545758E-2</v>
      </c>
    </row>
    <row r="1080" spans="1:31">
      <c r="A1080" s="88">
        <v>45533</v>
      </c>
      <c r="B1080" s="78">
        <v>60263866.115877703</v>
      </c>
      <c r="D1080" s="67">
        <f t="shared" si="252"/>
        <v>60263866.115877703</v>
      </c>
      <c r="E1080" s="67">
        <f t="shared" si="257"/>
        <v>60667367.421713203</v>
      </c>
      <c r="F1080" s="67">
        <f t="shared" si="258"/>
        <v>-1124669.8400738984</v>
      </c>
      <c r="G1080" s="70">
        <f t="shared" si="234"/>
        <v>-1.8320519011577146E-2</v>
      </c>
      <c r="H1080" s="70"/>
      <c r="I1080" s="70"/>
      <c r="J1080" s="67">
        <f t="shared" si="259"/>
        <v>-403501.30583550036</v>
      </c>
      <c r="K1080" s="70">
        <f t="shared" si="251"/>
        <v>-6.6510436002715778E-3</v>
      </c>
      <c r="L1080" s="70">
        <f t="shared" si="242"/>
        <v>0.98167948098842284</v>
      </c>
      <c r="M1080" s="70">
        <f>PRODUCT($L$2:L1080)-1</f>
        <v>0.31712552059482868</v>
      </c>
      <c r="N1080" s="70">
        <f>PRODUCT($L$909:L1080)-1</f>
        <v>4.0810799047420465E-2</v>
      </c>
      <c r="O1080" s="70">
        <f>AVERAGE($G$909:G1080)*252</f>
        <v>0.19938178528578118</v>
      </c>
      <c r="P1080" s="70">
        <f>STDEV($G$909:G1080)*252^0.5</f>
        <v>0.53066772478425694</v>
      </c>
      <c r="Q1080" s="67">
        <f t="shared" si="254"/>
        <v>-2087532.0791593939</v>
      </c>
      <c r="R1080" s="70">
        <f t="shared" si="231"/>
        <v>-3.3480116558565844E-2</v>
      </c>
      <c r="S1080" s="67">
        <f t="shared" si="255"/>
        <v>16193507.765877701</v>
      </c>
      <c r="T1080" s="70">
        <f t="shared" si="232"/>
        <v>0.36744670050720613</v>
      </c>
      <c r="U1080" s="67">
        <f t="shared" si="256"/>
        <v>26549517.455877706</v>
      </c>
      <c r="V1080" s="70">
        <f t="shared" si="233"/>
        <v>0.78748421699088256</v>
      </c>
      <c r="W1080" s="87">
        <f t="shared" si="243"/>
        <v>0.37571869547340547</v>
      </c>
      <c r="X1080" s="142">
        <f t="shared" si="253"/>
        <v>1.7857142857142857E-4</v>
      </c>
      <c r="Y1080" s="139">
        <f t="shared" si="244"/>
        <v>-1.8499090440148573E-2</v>
      </c>
      <c r="Z1080" s="139">
        <f t="shared" si="245"/>
        <v>-1.8499090440148573E-2</v>
      </c>
      <c r="AA1080" s="139">
        <f t="shared" si="246"/>
        <v>3.4221634711279636E-4</v>
      </c>
      <c r="AB1080" s="144">
        <f t="shared" si="247"/>
        <v>3.9773334581617017</v>
      </c>
      <c r="AC1080" s="144">
        <f t="shared" si="248"/>
        <v>-8.5131389137528851E-2</v>
      </c>
      <c r="AD1080" s="144">
        <f t="shared" si="249"/>
        <v>-5.6523952163162451E-2</v>
      </c>
      <c r="AE1080" s="144">
        <f t="shared" si="250"/>
        <v>-4.5290737217195988E-2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2"/>
        <v>62205008.162722297</v>
      </c>
      <c r="E1081" s="80">
        <f t="shared" si="257"/>
        <v>60667367.421713203</v>
      </c>
      <c r="F1081" s="80">
        <f t="shared" si="258"/>
        <v>1941142.0468445942</v>
      </c>
      <c r="G1081" s="81">
        <f t="shared" si="234"/>
        <v>3.2210712188827893E-2</v>
      </c>
      <c r="H1081" s="81"/>
      <c r="I1081" s="81"/>
      <c r="J1081" s="80">
        <f t="shared" si="259"/>
        <v>1537640.7410090938</v>
      </c>
      <c r="K1081" s="81">
        <f t="shared" si="251"/>
        <v>2.534543373739262E-2</v>
      </c>
      <c r="L1081" s="81">
        <f t="shared" si="242"/>
        <v>1.032210712188828</v>
      </c>
      <c r="M1081" s="81">
        <f>PRODUCT($L$2:L1081)-1</f>
        <v>0.35955107165526901</v>
      </c>
      <c r="N1081" s="81">
        <f>PRODUCT($L$909:L1081)-1</f>
        <v>7.4336056138561091E-2</v>
      </c>
      <c r="O1081" s="81">
        <f>AVERAGE($G$909:G1081)*252</f>
        <v>0.24514893954184391</v>
      </c>
      <c r="P1081" s="81">
        <f>STDEV($G$909:G1081)*252^0.5</f>
        <v>0.53047993244342129</v>
      </c>
      <c r="Q1081" s="80">
        <f t="shared" si="254"/>
        <v>754761.04609839618</v>
      </c>
      <c r="R1081" s="81">
        <f t="shared" si="231"/>
        <v>1.2282473733034241E-2</v>
      </c>
      <c r="S1081" s="80">
        <f t="shared" si="255"/>
        <v>17383582.852722295</v>
      </c>
      <c r="T1081" s="81">
        <f t="shared" si="232"/>
        <v>0.38784092055287417</v>
      </c>
      <c r="U1081" s="80">
        <f t="shared" si="256"/>
        <v>28391853.0427223</v>
      </c>
      <c r="V1081" s="81">
        <f t="shared" si="233"/>
        <v>0.83966884906072914</v>
      </c>
      <c r="W1081" s="136">
        <f t="shared" si="243"/>
        <v>0.46212669801225786</v>
      </c>
      <c r="X1081" s="143">
        <f t="shared" si="253"/>
        <v>1.7857142857142857E-4</v>
      </c>
      <c r="Y1081" s="140">
        <f t="shared" si="244"/>
        <v>3.2032140760256463E-2</v>
      </c>
      <c r="Z1081" s="140">
        <f t="shared" si="245"/>
        <v>0</v>
      </c>
      <c r="AA1081" s="140">
        <f t="shared" si="246"/>
        <v>0</v>
      </c>
      <c r="AB1081" s="145">
        <f t="shared" si="247"/>
        <v>4.3103609499596276</v>
      </c>
      <c r="AC1081" s="145">
        <f t="shared" si="248"/>
        <v>-7.6754438447849016E-2</v>
      </c>
      <c r="AD1081" s="145">
        <f t="shared" si="249"/>
        <v>-5.6424466732614163E-2</v>
      </c>
      <c r="AE1081" s="145">
        <f t="shared" si="250"/>
        <v>-4.529180575644056E-2</v>
      </c>
    </row>
    <row r="1082" spans="1:31">
      <c r="A1082" s="88">
        <v>45537</v>
      </c>
      <c r="B1082" s="78">
        <v>61961389.694617704</v>
      </c>
      <c r="D1082" s="67">
        <f t="shared" si="252"/>
        <v>61961389.694617704</v>
      </c>
      <c r="E1082" s="67">
        <f t="shared" si="257"/>
        <v>62205008.162722297</v>
      </c>
      <c r="F1082" s="67">
        <f t="shared" si="258"/>
        <v>-243618.46810459346</v>
      </c>
      <c r="G1082" s="70">
        <f t="shared" si="234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59"/>
        <v>-243618.46810459346</v>
      </c>
      <c r="K1082" s="85">
        <f>G1082</f>
        <v>-3.9163802931640335E-3</v>
      </c>
      <c r="L1082" s="70">
        <f t="shared" si="242"/>
        <v>0.99608361970683601</v>
      </c>
      <c r="M1082" s="70">
        <f>PRODUCT($L$2:L1082)-1</f>
        <v>0.35422655263068825</v>
      </c>
      <c r="N1082" s="70">
        <f>PRODUCT($L$909:L1082)-1</f>
        <v>7.0128547580064593E-2</v>
      </c>
      <c r="O1082" s="70">
        <f>AVERAGE($G$909:G1082)*252</f>
        <v>0.23806803854518194</v>
      </c>
      <c r="P1082" s="70">
        <f>STDEV($G$909:G1082)*252^0.5</f>
        <v>0.52897725588224531</v>
      </c>
      <c r="Q1082" s="67">
        <f t="shared" si="254"/>
        <v>3424984.5514562055</v>
      </c>
      <c r="R1082" s="70">
        <f t="shared" si="231"/>
        <v>5.8510332895909456E-2</v>
      </c>
      <c r="S1082" s="67">
        <f t="shared" si="255"/>
        <v>13970053.374617703</v>
      </c>
      <c r="T1082" s="70">
        <f t="shared" si="232"/>
        <v>0.29109531940238548</v>
      </c>
      <c r="U1082" s="67">
        <f t="shared" si="256"/>
        <v>28218500.984617703</v>
      </c>
      <c r="V1082" s="70">
        <f t="shared" si="233"/>
        <v>0.83627994114964144</v>
      </c>
      <c r="W1082" s="87">
        <f t="shared" si="243"/>
        <v>0.45005344917547424</v>
      </c>
      <c r="X1082" s="142">
        <f t="shared" si="253"/>
        <v>1.7857142857142857E-4</v>
      </c>
      <c r="Y1082" s="139">
        <f t="shared" si="244"/>
        <v>-4.0949517217354625E-3</v>
      </c>
      <c r="Z1082" s="139">
        <f t="shared" si="245"/>
        <v>-4.0949517217354625E-3</v>
      </c>
      <c r="AA1082" s="139">
        <f t="shared" si="246"/>
        <v>1.6768629603344228E-5</v>
      </c>
      <c r="AB1082" s="144">
        <f t="shared" si="247"/>
        <v>4.2392279919652589</v>
      </c>
      <c r="AC1082" s="144">
        <f t="shared" si="248"/>
        <v>-7.6302603960186691E-2</v>
      </c>
      <c r="AD1082" s="144">
        <f t="shared" si="249"/>
        <v>-5.6628812866326206E-2</v>
      </c>
      <c r="AE1082" s="144">
        <f t="shared" si="250"/>
        <v>-4.5312924162612019E-2</v>
      </c>
    </row>
    <row r="1083" spans="1:31">
      <c r="A1083" s="88">
        <v>45538</v>
      </c>
      <c r="B1083" s="78">
        <v>55698633.107094899</v>
      </c>
      <c r="D1083" s="67">
        <f t="shared" si="252"/>
        <v>55698633.107094899</v>
      </c>
      <c r="E1083" s="67">
        <f t="shared" si="257"/>
        <v>62205008.162722297</v>
      </c>
      <c r="F1083" s="67">
        <f t="shared" si="258"/>
        <v>-6262756.5875228047</v>
      </c>
      <c r="G1083" s="70">
        <f t="shared" si="234"/>
        <v>-0.10107514725524017</v>
      </c>
      <c r="H1083" s="67">
        <f t="shared" ref="H1083:H1102" si="260">IF(WEEKNUM(A1083)=WEEKNUM(A1082),H1082+F1083,F1083)</f>
        <v>-6506375.0556273982</v>
      </c>
      <c r="I1083" s="70">
        <f t="shared" ref="I1083:I1102" si="261">IF(WEEKNUM(A1083)=WEEKNUM(A1082),I1082+G1083,G1083)</f>
        <v>-0.1049915275484042</v>
      </c>
      <c r="J1083" s="67">
        <f t="shared" si="259"/>
        <v>-6506375.0556273982</v>
      </c>
      <c r="K1083" s="70">
        <f t="shared" ref="K1083:K1102" si="262">(1+K1082)*(1+G1083)-1</f>
        <v>-0.10459567883356502</v>
      </c>
      <c r="L1083" s="70">
        <f t="shared" si="242"/>
        <v>0.89892485274475986</v>
      </c>
      <c r="M1083" s="70">
        <f>PRODUCT($L$2:L1083)-1</f>
        <v>0.21734790440658514</v>
      </c>
      <c r="N1083" s="70">
        <f>PRODUCT($L$909:L1083)-1</f>
        <v>-3.8034852948626741E-2</v>
      </c>
      <c r="O1083" s="70">
        <f>AVERAGE($G$909:G1083)*252</f>
        <v>9.1159437705949337E-2</v>
      </c>
      <c r="P1083" s="70">
        <f>STDEV($G$909:G1083)*252^0.5</f>
        <v>0.54147612049147631</v>
      </c>
      <c r="Q1083" s="67">
        <f t="shared" si="254"/>
        <v>-5301874.7954265997</v>
      </c>
      <c r="R1083" s="70">
        <f t="shared" si="231"/>
        <v>-8.6915256572928354E-2</v>
      </c>
      <c r="S1083" s="67">
        <f t="shared" si="255"/>
        <v>6907844.7870948985</v>
      </c>
      <c r="T1083" s="70">
        <f t="shared" si="232"/>
        <v>0.14158092182870674</v>
      </c>
      <c r="U1083" s="67">
        <f t="shared" si="256"/>
        <v>21601221.997094899</v>
      </c>
      <c r="V1083" s="70">
        <f t="shared" si="233"/>
        <v>0.63351501753045847</v>
      </c>
      <c r="W1083" s="87">
        <f t="shared" si="243"/>
        <v>0.16835356954099387</v>
      </c>
      <c r="X1083" s="142">
        <f t="shared" si="253"/>
        <v>1.7857142857142857E-4</v>
      </c>
      <c r="Y1083" s="139">
        <f t="shared" si="244"/>
        <v>-0.1012537186838116</v>
      </c>
      <c r="Z1083" s="139">
        <f t="shared" si="245"/>
        <v>-0.1012537186838116</v>
      </c>
      <c r="AA1083" s="139">
        <f t="shared" si="246"/>
        <v>1.0252315547300458E-2</v>
      </c>
      <c r="AB1083" s="144">
        <f t="shared" si="247"/>
        <v>2.9844776080305828</v>
      </c>
      <c r="AC1083" s="144">
        <f t="shared" si="248"/>
        <v>-8.2363969357801506E-2</v>
      </c>
      <c r="AD1083" s="144">
        <f t="shared" si="249"/>
        <v>-6.0023224272690474E-2</v>
      </c>
      <c r="AE1083" s="144">
        <f t="shared" si="250"/>
        <v>-4.640256304832048E-2</v>
      </c>
    </row>
    <row r="1084" spans="1:31">
      <c r="A1084" s="88">
        <v>45539</v>
      </c>
      <c r="B1084" s="78">
        <v>54381510.365982004</v>
      </c>
      <c r="D1084" s="67">
        <f t="shared" si="252"/>
        <v>54381510.365982004</v>
      </c>
      <c r="E1084" s="67">
        <f t="shared" si="257"/>
        <v>62205008.162722297</v>
      </c>
      <c r="F1084" s="67">
        <f t="shared" si="258"/>
        <v>-1317122.7411128953</v>
      </c>
      <c r="G1084" s="70">
        <f t="shared" si="234"/>
        <v>-2.3647308158898428E-2</v>
      </c>
      <c r="H1084" s="67">
        <f t="shared" si="260"/>
        <v>-7823497.7967402935</v>
      </c>
      <c r="I1084" s="70">
        <f t="shared" si="261"/>
        <v>-0.12863883570730261</v>
      </c>
      <c r="J1084" s="67">
        <f t="shared" si="259"/>
        <v>-7823497.7967402935</v>
      </c>
      <c r="K1084" s="70">
        <f t="shared" si="262"/>
        <v>-0.12576958074299693</v>
      </c>
      <c r="L1084" s="70">
        <f t="shared" si="242"/>
        <v>0.97635269184110163</v>
      </c>
      <c r="M1084" s="70">
        <f>PRODUCT($L$2:L1084)-1</f>
        <v>0.18856090337449349</v>
      </c>
      <c r="N1084" s="70">
        <f>PRODUCT($L$909:L1084)-1</f>
        <v>-6.0782739219070514E-2</v>
      </c>
      <c r="O1084" s="70">
        <f>AVERAGE($G$909:G1084)*252</f>
        <v>5.6782840582379132E-2</v>
      </c>
      <c r="P1084" s="70">
        <f>STDEV($G$909:G1084)*252^0.5</f>
        <v>0.54069060527396262</v>
      </c>
      <c r="Q1084" s="67">
        <f t="shared" si="254"/>
        <v>-5824901.9884676933</v>
      </c>
      <c r="R1084" s="70">
        <f t="shared" si="231"/>
        <v>-9.6748863795023829E-2</v>
      </c>
      <c r="S1084" s="67">
        <f t="shared" si="255"/>
        <v>9185187.8959820047</v>
      </c>
      <c r="T1084" s="70">
        <f t="shared" si="232"/>
        <v>0.2032286565367982</v>
      </c>
      <c r="U1084" s="67">
        <f t="shared" si="256"/>
        <v>20408059.535982005</v>
      </c>
      <c r="V1084" s="70">
        <f t="shared" si="233"/>
        <v>0.60070611131327356</v>
      </c>
      <c r="W1084" s="87">
        <f t="shared" si="243"/>
        <v>0.10501909970047996</v>
      </c>
      <c r="X1084" s="142">
        <f t="shared" si="253"/>
        <v>1.7857142857142857E-4</v>
      </c>
      <c r="Y1084" s="139">
        <f t="shared" si="244"/>
        <v>-2.3825879587469855E-2</v>
      </c>
      <c r="Z1084" s="139">
        <f t="shared" si="245"/>
        <v>-2.3825879587469855E-2</v>
      </c>
      <c r="AA1084" s="139">
        <f t="shared" si="246"/>
        <v>5.6767253811661276E-4</v>
      </c>
      <c r="AB1084" s="144">
        <f t="shared" si="247"/>
        <v>2.9464054972595894</v>
      </c>
      <c r="AC1084" s="144">
        <f t="shared" si="248"/>
        <v>-8.3674192783888685E-2</v>
      </c>
      <c r="AD1084" s="144">
        <f t="shared" si="249"/>
        <v>-6.0568300467842361E-2</v>
      </c>
      <c r="AE1084" s="144">
        <f t="shared" si="250"/>
        <v>-4.6537978512574747E-2</v>
      </c>
    </row>
    <row r="1085" spans="1:31">
      <c r="A1085" s="88">
        <v>45540</v>
      </c>
      <c r="B1085" s="78">
        <v>54434606.4776785</v>
      </c>
      <c r="D1085" s="67">
        <f t="shared" si="252"/>
        <v>54434606.4776785</v>
      </c>
      <c r="E1085" s="67">
        <f t="shared" si="257"/>
        <v>62205008.162722297</v>
      </c>
      <c r="F1085" s="67">
        <f t="shared" si="258"/>
        <v>53096.111696496606</v>
      </c>
      <c r="G1085" s="70">
        <f t="shared" si="234"/>
        <v>9.7636331428026192E-4</v>
      </c>
      <c r="H1085" s="67">
        <f t="shared" si="260"/>
        <v>-7770401.6850437969</v>
      </c>
      <c r="I1085" s="70">
        <f t="shared" si="261"/>
        <v>-0.12766247239302236</v>
      </c>
      <c r="J1085" s="67">
        <f t="shared" si="259"/>
        <v>-7770401.6850437969</v>
      </c>
      <c r="K1085" s="70">
        <f t="shared" si="262"/>
        <v>-0.12491601423340648</v>
      </c>
      <c r="L1085" s="70">
        <f t="shared" si="242"/>
        <v>1.0009763633142803</v>
      </c>
      <c r="M1085" s="70">
        <f>PRODUCT($L$2:L1085)-1</f>
        <v>0.18972137063733618</v>
      </c>
      <c r="N1085" s="70">
        <f>PRODUCT($L$909:L1085)-1</f>
        <v>-5.986572194150519E-2</v>
      </c>
      <c r="O1085" s="70">
        <f>AVERAGE($G$909:G1085)*252</f>
        <v>5.7852110156482221E-2</v>
      </c>
      <c r="P1085" s="70">
        <f>STDEV($G$909:G1085)*252^0.5</f>
        <v>0.53915310904527058</v>
      </c>
      <c r="Q1085" s="67">
        <f t="shared" si="254"/>
        <v>-1969768.1113926023</v>
      </c>
      <c r="R1085" s="70">
        <f t="shared" si="231"/>
        <v>-3.49222578167592E-2</v>
      </c>
      <c r="S1085" s="67">
        <f t="shared" si="255"/>
        <v>11414866.007678501</v>
      </c>
      <c r="T1085" s="70">
        <f t="shared" si="232"/>
        <v>0.26534018762011607</v>
      </c>
      <c r="U1085" s="67">
        <f t="shared" si="256"/>
        <v>20606896.207678497</v>
      </c>
      <c r="V1085" s="70">
        <f t="shared" si="233"/>
        <v>0.60917206760972109</v>
      </c>
      <c r="W1085" s="87">
        <f t="shared" si="243"/>
        <v>0.10730182055135772</v>
      </c>
      <c r="X1085" s="142">
        <f t="shared" si="253"/>
        <v>1.7857142857142857E-4</v>
      </c>
      <c r="Y1085" s="139">
        <f t="shared" si="244"/>
        <v>7.9779188570883338E-4</v>
      </c>
      <c r="Z1085" s="139">
        <f t="shared" si="245"/>
        <v>0</v>
      </c>
      <c r="AA1085" s="139">
        <f t="shared" si="246"/>
        <v>0</v>
      </c>
      <c r="AB1085" s="144">
        <f t="shared" si="247"/>
        <v>2.9114701463393891</v>
      </c>
      <c r="AC1085" s="144">
        <f t="shared" si="248"/>
        <v>-8.3179073598131301E-2</v>
      </c>
      <c r="AD1085" s="144">
        <f t="shared" si="249"/>
        <v>-5.8368852935611497E-2</v>
      </c>
      <c r="AE1085" s="144">
        <f t="shared" si="250"/>
        <v>-4.6523449368695104E-2</v>
      </c>
    </row>
    <row r="1086" spans="1:31">
      <c r="A1086" s="88">
        <v>45541</v>
      </c>
      <c r="B1086" s="78">
        <v>50975553.849122301</v>
      </c>
      <c r="D1086" s="67">
        <f t="shared" si="252"/>
        <v>50975553.849122301</v>
      </c>
      <c r="E1086" s="67">
        <f t="shared" si="257"/>
        <v>62205008.162722297</v>
      </c>
      <c r="F1086" s="67">
        <f t="shared" si="258"/>
        <v>-3459052.6285561994</v>
      </c>
      <c r="G1086" s="70">
        <f t="shared" si="234"/>
        <v>-6.3545102139658555E-2</v>
      </c>
      <c r="H1086" s="67">
        <f t="shared" si="260"/>
        <v>-11229454.313599996</v>
      </c>
      <c r="I1086" s="70">
        <f t="shared" si="261"/>
        <v>-0.19120757453268092</v>
      </c>
      <c r="J1086" s="67">
        <f t="shared" si="259"/>
        <v>-11229454.313599996</v>
      </c>
      <c r="K1086" s="70">
        <f t="shared" si="262"/>
        <v>-0.18052331548972422</v>
      </c>
      <c r="L1086" s="70">
        <f t="shared" si="242"/>
        <v>0.93645489786034142</v>
      </c>
      <c r="M1086" s="70">
        <f>PRODUCT($L$2:L1086)-1</f>
        <v>0.11412040462245199</v>
      </c>
      <c r="N1086" s="70">
        <f>PRODUCT($L$909:L1086)-1</f>
        <v>-0.1196066506657264</v>
      </c>
      <c r="O1086" s="70">
        <f>AVERAGE($G$909:G1086)*252</f>
        <v>-3.2435630570205626E-2</v>
      </c>
      <c r="P1086" s="70">
        <f>STDEV($G$909:G1086)*252^0.5</f>
        <v>0.54295658391413337</v>
      </c>
      <c r="Q1086" s="67">
        <f t="shared" si="254"/>
        <v>-4603438.7955484986</v>
      </c>
      <c r="R1086" s="70">
        <f t="shared" si="231"/>
        <v>-8.2826956310261587E-2</v>
      </c>
      <c r="S1086" s="67">
        <f t="shared" si="255"/>
        <v>5197220.2091223001</v>
      </c>
      <c r="T1086" s="70">
        <f t="shared" si="232"/>
        <v>0.11353013086918251</v>
      </c>
      <c r="U1086" s="67">
        <f t="shared" si="256"/>
        <v>17545937.289122302</v>
      </c>
      <c r="V1086" s="70">
        <f t="shared" si="233"/>
        <v>0.52486205630359473</v>
      </c>
      <c r="W1086" s="87">
        <f t="shared" si="243"/>
        <v>-5.9738902761579192E-2</v>
      </c>
      <c r="X1086" s="142">
        <f t="shared" si="253"/>
        <v>1.7857142857142857E-4</v>
      </c>
      <c r="Y1086" s="139">
        <f t="shared" si="244"/>
        <v>-6.3723673568229985E-2</v>
      </c>
      <c r="Z1086" s="139">
        <f t="shared" si="245"/>
        <v>-6.3723673568229985E-2</v>
      </c>
      <c r="AA1086" s="139">
        <f t="shared" si="246"/>
        <v>4.0607065730303331E-3</v>
      </c>
      <c r="AB1086" s="144">
        <f t="shared" si="247"/>
        <v>2.2116909647311536</v>
      </c>
      <c r="AC1086" s="144">
        <f t="shared" si="248"/>
        <v>-8.3217472513318513E-2</v>
      </c>
      <c r="AD1086" s="144">
        <f t="shared" si="249"/>
        <v>-5.897251267792139E-2</v>
      </c>
      <c r="AE1086" s="144">
        <f t="shared" si="250"/>
        <v>-4.7005993723245251E-2</v>
      </c>
    </row>
    <row r="1087" spans="1:31">
      <c r="A1087" s="88">
        <v>45544</v>
      </c>
      <c r="B1087" s="78">
        <v>52872142.811052501</v>
      </c>
      <c r="D1087" s="67">
        <f t="shared" si="252"/>
        <v>52872142.811052501</v>
      </c>
      <c r="E1087" s="67">
        <f t="shared" si="257"/>
        <v>62205008.162722297</v>
      </c>
      <c r="F1087" s="67">
        <f t="shared" si="258"/>
        <v>1896588.9619302005</v>
      </c>
      <c r="G1087" s="70">
        <f t="shared" si="234"/>
        <v>3.7205852976972729E-2</v>
      </c>
      <c r="H1087" s="67">
        <f t="shared" si="260"/>
        <v>1896588.9619302005</v>
      </c>
      <c r="I1087" s="70">
        <f t="shared" si="261"/>
        <v>3.7205852976972729E-2</v>
      </c>
      <c r="J1087" s="67">
        <f t="shared" si="259"/>
        <v>-9332865.3516697958</v>
      </c>
      <c r="K1087" s="70">
        <f t="shared" si="262"/>
        <v>-0.15003398644777777</v>
      </c>
      <c r="L1087" s="70">
        <f t="shared" si="242"/>
        <v>1.0372058529769728</v>
      </c>
      <c r="M1087" s="70">
        <f>PRODUCT($L$2:L1087)-1</f>
        <v>0.15557220459548038</v>
      </c>
      <c r="N1087" s="70">
        <f>PRODUCT($L$909:L1087)-1</f>
        <v>-8.685086514849083E-2</v>
      </c>
      <c r="O1087" s="70">
        <f>AVERAGE($G$909:G1087)*252</f>
        <v>2.0124763735757129E-2</v>
      </c>
      <c r="P1087" s="70">
        <f>STDEV($G$909:G1087)*252^0.5</f>
        <v>0.54323842034171144</v>
      </c>
      <c r="Q1087" s="67">
        <f t="shared" si="254"/>
        <v>-4716931.0596693978</v>
      </c>
      <c r="R1087" s="70">
        <f t="shared" si="231"/>
        <v>-8.1906701091567141E-2</v>
      </c>
      <c r="S1087" s="67">
        <f t="shared" si="255"/>
        <v>3857968.9410525039</v>
      </c>
      <c r="T1087" s="70">
        <f t="shared" si="232"/>
        <v>7.8711291784392248E-2</v>
      </c>
      <c r="U1087" s="67">
        <f t="shared" si="256"/>
        <v>19777248.361052502</v>
      </c>
      <c r="V1087" s="70">
        <f t="shared" si="233"/>
        <v>0.59759212681376306</v>
      </c>
      <c r="W1087" s="87">
        <f t="shared" si="243"/>
        <v>3.7045913879025928E-2</v>
      </c>
      <c r="X1087" s="142">
        <f t="shared" si="253"/>
        <v>1.7857142857142857E-4</v>
      </c>
      <c r="Y1087" s="139">
        <f t="shared" si="244"/>
        <v>3.7027281548401299E-2</v>
      </c>
      <c r="Z1087" s="139">
        <f t="shared" si="245"/>
        <v>0</v>
      </c>
      <c r="AA1087" s="139">
        <f t="shared" si="246"/>
        <v>0</v>
      </c>
      <c r="AB1087" s="144">
        <f t="shared" si="247"/>
        <v>2.7537883620378647</v>
      </c>
      <c r="AC1087" s="144">
        <f t="shared" si="248"/>
        <v>-8.228759684703274E-2</v>
      </c>
      <c r="AD1087" s="144">
        <f t="shared" si="249"/>
        <v>-5.8632843188448858E-2</v>
      </c>
      <c r="AE1087" s="144">
        <f t="shared" si="250"/>
        <v>-4.6957766982398487E-2</v>
      </c>
    </row>
    <row r="1088" spans="1:31">
      <c r="A1088" s="88">
        <v>45545</v>
      </c>
      <c r="B1088" s="78">
        <v>53540814.445052102</v>
      </c>
      <c r="D1088" s="67">
        <f t="shared" si="252"/>
        <v>53540814.445052102</v>
      </c>
      <c r="E1088" s="67">
        <f t="shared" si="257"/>
        <v>62205008.162722297</v>
      </c>
      <c r="F1088" s="67">
        <f t="shared" si="258"/>
        <v>668671.63399960101</v>
      </c>
      <c r="G1088" s="70">
        <f t="shared" si="234"/>
        <v>1.2646955437180059E-2</v>
      </c>
      <c r="H1088" s="67">
        <f t="shared" si="260"/>
        <v>2565260.5959298015</v>
      </c>
      <c r="I1088" s="70">
        <f t="shared" si="261"/>
        <v>4.9852808414152787E-2</v>
      </c>
      <c r="J1088" s="67">
        <f t="shared" si="259"/>
        <v>-8664193.7176701948</v>
      </c>
      <c r="K1088" s="70">
        <f t="shared" si="262"/>
        <v>-0.13928450415126525</v>
      </c>
      <c r="L1088" s="70">
        <f t="shared" ref="L1088:L1119" si="263">1+G1088</f>
        <v>1.01264695543718</v>
      </c>
      <c r="M1088" s="70">
        <f>PRODUCT($L$2:L1088)-1</f>
        <v>0.17018667477144334</v>
      </c>
      <c r="N1088" s="70">
        <f>PRODUCT($L$909:L1088)-1</f>
        <v>-7.5302308732524303E-2</v>
      </c>
      <c r="O1088" s="70">
        <f>AVERAGE($G$909:G1088)*252</f>
        <v>3.7718697104832784E-2</v>
      </c>
      <c r="P1088" s="70">
        <f>STDEV($G$909:G1088)*252^0.5</f>
        <v>0.54192290783066932</v>
      </c>
      <c r="Q1088" s="67">
        <f t="shared" si="254"/>
        <v>-3546873.3140679002</v>
      </c>
      <c r="R1088" s="70">
        <f t="shared" si="231"/>
        <v>-6.2130267546197333E-2</v>
      </c>
      <c r="S1088" s="67">
        <f t="shared" si="255"/>
        <v>1937897.6050520986</v>
      </c>
      <c r="T1088" s="70">
        <f t="shared" si="232"/>
        <v>3.755403228582492E-2</v>
      </c>
      <c r="U1088" s="67">
        <f t="shared" si="256"/>
        <v>19617304.2750521</v>
      </c>
      <c r="V1088" s="70">
        <f t="shared" si="233"/>
        <v>0.57828049564282746</v>
      </c>
      <c r="W1088" s="87">
        <f t="shared" ref="W1088:W1119" si="264">O1088/P1088</f>
        <v>6.960159196041675E-2</v>
      </c>
      <c r="X1088" s="142">
        <f t="shared" si="253"/>
        <v>1.7857142857142857E-4</v>
      </c>
      <c r="Y1088" s="139">
        <f t="shared" ref="Y1088:Y1119" si="265">G1088-X1088</f>
        <v>1.246838400860863E-2</v>
      </c>
      <c r="Z1088" s="139">
        <f t="shared" ref="Z1088:Z1119" si="266">IF(Y1088&lt;0,Y1088,0)</f>
        <v>0</v>
      </c>
      <c r="AA1088" s="139">
        <f t="shared" ref="AA1088:AA1119" si="267">Z1088^2</f>
        <v>0</v>
      </c>
      <c r="AB1088" s="144">
        <f t="shared" ref="AB1088:AB1119" si="268">AVERAGE(Y835:Y1088)/AVERAGE(AA835:AA1088)</f>
        <v>2.8764395030126204</v>
      </c>
      <c r="AC1088" s="144">
        <f t="shared" ref="AC1088:AC1119" si="269">AVERAGE(G1057:G1088)-_xlfn.NORM.S.INV(0.95)*_xlfn.STDEV.S(G1057:G1088)</f>
        <v>-8.2390766208945018E-2</v>
      </c>
      <c r="AD1088" s="144">
        <f t="shared" ref="AD1088:AD1119" si="270">AVERAGE(G997:G1088)-_xlfn.NORM.S.INV(0.95)*_xlfn.STDEV.S(G997:G1088)</f>
        <v>-5.8124877629602591E-2</v>
      </c>
      <c r="AE1088" s="144">
        <f t="shared" ref="AE1088:AE1119" si="271">AVERAGE(G722:G1088)-_xlfn.NORM.S.INV(0.95)*_xlfn.STDEV.S(G722:G1088)</f>
        <v>-4.6895594751696607E-2</v>
      </c>
    </row>
    <row r="1089" spans="1:31">
      <c r="A1089" s="88">
        <v>45546</v>
      </c>
      <c r="B1089" s="78">
        <v>56818392.436094403</v>
      </c>
      <c r="D1089" s="67">
        <f t="shared" si="252"/>
        <v>56818392.436094403</v>
      </c>
      <c r="E1089" s="67">
        <f t="shared" si="257"/>
        <v>62205008.162722297</v>
      </c>
      <c r="F1089" s="67">
        <f t="shared" si="258"/>
        <v>3277577.9910423011</v>
      </c>
      <c r="G1089" s="70">
        <f t="shared" si="234"/>
        <v>6.1216438804942271E-2</v>
      </c>
      <c r="H1089" s="67">
        <f t="shared" si="260"/>
        <v>5842838.5869721025</v>
      </c>
      <c r="I1089" s="70">
        <f t="shared" si="261"/>
        <v>0.11106924721909506</v>
      </c>
      <c r="J1089" s="67">
        <f t="shared" si="259"/>
        <v>-5386615.7266278937</v>
      </c>
      <c r="K1089" s="70">
        <f t="shared" si="262"/>
        <v>-8.6594566671175599E-2</v>
      </c>
      <c r="L1089" s="70">
        <f t="shared" si="263"/>
        <v>1.0612164388049423</v>
      </c>
      <c r="M1089" s="70">
        <f>PRODUCT($L$2:L1089)-1</f>
        <v>0.2418213357379484</v>
      </c>
      <c r="N1089" s="70">
        <f>PRODUCT($L$909:L1089)-1</f>
        <v>-1.8695609101977428E-2</v>
      </c>
      <c r="O1089" s="70">
        <f>AVERAGE($G$909:G1089)*252</f>
        <v>0.12273982352328924</v>
      </c>
      <c r="P1089" s="70">
        <f>STDEV($G$909:G1089)*252^0.5</f>
        <v>0.5451979868694995</v>
      </c>
      <c r="Q1089" s="67">
        <f t="shared" si="254"/>
        <v>1945847.0385647044</v>
      </c>
      <c r="R1089" s="70">
        <f t="shared" si="231"/>
        <v>3.5461213334789174E-2</v>
      </c>
      <c r="S1089" s="67">
        <f t="shared" si="255"/>
        <v>5904929.0560944006</v>
      </c>
      <c r="T1089" s="70">
        <f t="shared" si="232"/>
        <v>0.11597971664237626</v>
      </c>
      <c r="U1089" s="67">
        <f t="shared" si="256"/>
        <v>23572043.136094403</v>
      </c>
      <c r="V1089" s="70">
        <f t="shared" si="233"/>
        <v>0.70901147441455781</v>
      </c>
      <c r="W1089" s="87">
        <f t="shared" si="264"/>
        <v>0.22512890083849241</v>
      </c>
      <c r="X1089" s="142">
        <f t="shared" si="253"/>
        <v>1.7857142857142857E-4</v>
      </c>
      <c r="Y1089" s="139">
        <f t="shared" si="265"/>
        <v>6.103786737637084E-2</v>
      </c>
      <c r="Z1089" s="139">
        <f t="shared" si="266"/>
        <v>0</v>
      </c>
      <c r="AA1089" s="139">
        <f t="shared" si="267"/>
        <v>0</v>
      </c>
      <c r="AB1089" s="144">
        <f t="shared" si="268"/>
        <v>3.3707916870171242</v>
      </c>
      <c r="AC1089" s="144">
        <f t="shared" si="269"/>
        <v>-8.2152359423227614E-2</v>
      </c>
      <c r="AD1089" s="144">
        <f t="shared" si="270"/>
        <v>-5.8264868777448284E-2</v>
      </c>
      <c r="AE1089" s="144">
        <f t="shared" si="271"/>
        <v>-4.7026523624340587E-2</v>
      </c>
    </row>
    <row r="1090" spans="1:31">
      <c r="A1090" s="88">
        <v>45547</v>
      </c>
      <c r="B1090" s="78">
        <v>58637478.353476003</v>
      </c>
      <c r="D1090" s="67">
        <f t="shared" si="252"/>
        <v>58637478.353476003</v>
      </c>
      <c r="E1090" s="67">
        <f t="shared" si="257"/>
        <v>62205008.162722297</v>
      </c>
      <c r="F1090" s="67">
        <f t="shared" si="258"/>
        <v>1819085.9173815995</v>
      </c>
      <c r="G1090" s="70">
        <f t="shared" si="234"/>
        <v>3.2015793467363371E-2</v>
      </c>
      <c r="H1090" s="67">
        <f t="shared" si="260"/>
        <v>7661924.5043537021</v>
      </c>
      <c r="I1090" s="70">
        <f t="shared" si="261"/>
        <v>0.14308504068645844</v>
      </c>
      <c r="J1090" s="67">
        <f t="shared" si="259"/>
        <v>-3567529.8092462942</v>
      </c>
      <c r="K1090" s="70">
        <f t="shared" si="262"/>
        <v>-5.7351166965752487E-2</v>
      </c>
      <c r="L1090" s="70">
        <f t="shared" si="263"/>
        <v>1.0320157934673633</v>
      </c>
      <c r="M1090" s="70">
        <f>PRODUCT($L$2:L1090)-1</f>
        <v>0.28157923114629968</v>
      </c>
      <c r="N1090" s="70">
        <f>PRODUCT($L$909:L1090)-1</f>
        <v>1.272162960563028E-2</v>
      </c>
      <c r="O1090" s="70">
        <f>AVERAGE($G$909:G1090)*252</f>
        <v>0.16639498907412595</v>
      </c>
      <c r="P1090" s="70">
        <f>STDEV($G$909:G1090)*252^0.5</f>
        <v>0.54495414690703414</v>
      </c>
      <c r="Q1090" s="67">
        <f t="shared" si="254"/>
        <v>-2029889.0682372004</v>
      </c>
      <c r="R1090" s="70">
        <f t="shared" si="231"/>
        <v>-3.345932343045252E-2</v>
      </c>
      <c r="S1090" s="67">
        <f t="shared" si="255"/>
        <v>7785176.8434760049</v>
      </c>
      <c r="T1090" s="70">
        <f t="shared" si="232"/>
        <v>0.15309389373350321</v>
      </c>
      <c r="U1090" s="67">
        <f t="shared" si="256"/>
        <v>25816116.733476002</v>
      </c>
      <c r="V1090" s="70">
        <f t="shared" si="233"/>
        <v>0.78656446470352137</v>
      </c>
      <c r="W1090" s="87">
        <f t="shared" si="264"/>
        <v>0.3053375958665967</v>
      </c>
      <c r="X1090" s="142">
        <f t="shared" si="253"/>
        <v>1.7857142857142857E-4</v>
      </c>
      <c r="Y1090" s="139">
        <f t="shared" si="265"/>
        <v>3.183722203879194E-2</v>
      </c>
      <c r="Z1090" s="139">
        <f t="shared" si="266"/>
        <v>0</v>
      </c>
      <c r="AA1090" s="139">
        <f t="shared" si="267"/>
        <v>0</v>
      </c>
      <c r="AB1090" s="144">
        <f t="shared" si="268"/>
        <v>3.8206143240006085</v>
      </c>
      <c r="AC1090" s="144">
        <f t="shared" si="269"/>
        <v>-7.9522451588577042E-2</v>
      </c>
      <c r="AD1090" s="144">
        <f t="shared" si="270"/>
        <v>-5.7938332344213146E-2</v>
      </c>
      <c r="AE1090" s="144">
        <f t="shared" si="271"/>
        <v>-4.6919560484804987E-2</v>
      </c>
    </row>
    <row r="1091" spans="1:31">
      <c r="A1091" s="88">
        <v>45548</v>
      </c>
      <c r="B1091" s="78">
        <v>59971224.9107861</v>
      </c>
      <c r="D1091" s="67">
        <f t="shared" si="252"/>
        <v>59971224.9107861</v>
      </c>
      <c r="E1091" s="67">
        <f t="shared" si="257"/>
        <v>62205008.162722297</v>
      </c>
      <c r="F1091" s="67">
        <f t="shared" si="258"/>
        <v>1333746.5573100969</v>
      </c>
      <c r="G1091" s="70">
        <f t="shared" si="234"/>
        <v>2.2745632908530981E-2</v>
      </c>
      <c r="H1091" s="67">
        <f t="shared" si="260"/>
        <v>8995671.061663799</v>
      </c>
      <c r="I1091" s="70">
        <f t="shared" si="261"/>
        <v>0.16583067359498943</v>
      </c>
      <c r="J1091" s="67">
        <f t="shared" si="259"/>
        <v>-2233783.2519361973</v>
      </c>
      <c r="K1091" s="70">
        <f t="shared" si="262"/>
        <v>-3.5910022647900441E-2</v>
      </c>
      <c r="L1091" s="70">
        <f t="shared" si="263"/>
        <v>1.0227456329085309</v>
      </c>
      <c r="M1091" s="70">
        <f>PRODUCT($L$2:L1091)-1</f>
        <v>0.31072956188115075</v>
      </c>
      <c r="N1091" s="70">
        <f>PRODUCT($L$909:L1091)-1</f>
        <v>3.5756624031169082E-2</v>
      </c>
      <c r="O1091" s="70">
        <f>AVERAGE($G$909:G1091)*252</f>
        <v>0.19680758199147941</v>
      </c>
      <c r="P1091" s="70">
        <f>STDEV($G$909:G1091)*252^0.5</f>
        <v>0.54407257204596726</v>
      </c>
      <c r="Q1091" s="67">
        <f t="shared" si="254"/>
        <v>3986974.4610570967</v>
      </c>
      <c r="R1091" s="70">
        <f t="shared" si="231"/>
        <v>7.1216001447356986E-2</v>
      </c>
      <c r="S1091" s="67">
        <f t="shared" si="255"/>
        <v>8750268.2307861</v>
      </c>
      <c r="T1091" s="70">
        <f t="shared" si="232"/>
        <v>0.17083375239265641</v>
      </c>
      <c r="U1091" s="67">
        <f t="shared" si="256"/>
        <v>27024811.400786098</v>
      </c>
      <c r="V1091" s="70">
        <f t="shared" si="233"/>
        <v>0.82026565327310785</v>
      </c>
      <c r="W1091" s="87">
        <f t="shared" si="264"/>
        <v>0.36173038690664167</v>
      </c>
      <c r="X1091" s="142">
        <f t="shared" si="253"/>
        <v>1.7857142857142857E-4</v>
      </c>
      <c r="Y1091" s="139">
        <f t="shared" si="265"/>
        <v>2.2567061479959554E-2</v>
      </c>
      <c r="Z1091" s="139">
        <f t="shared" si="266"/>
        <v>0</v>
      </c>
      <c r="AA1091" s="139">
        <f t="shared" si="267"/>
        <v>0</v>
      </c>
      <c r="AB1091" s="144">
        <f t="shared" si="268"/>
        <v>4.3317827693544038</v>
      </c>
      <c r="AC1091" s="144">
        <f t="shared" si="269"/>
        <v>-7.6495161935793948E-2</v>
      </c>
      <c r="AD1091" s="144">
        <f t="shared" si="270"/>
        <v>-5.7778452017883411E-2</v>
      </c>
      <c r="AE1091" s="144">
        <f t="shared" si="271"/>
        <v>-4.684014303435171E-2</v>
      </c>
    </row>
    <row r="1092" spans="1:31">
      <c r="A1092" s="88">
        <v>45551</v>
      </c>
      <c r="B1092" s="78">
        <v>59486150.511345498</v>
      </c>
      <c r="D1092" s="67">
        <f t="shared" si="252"/>
        <v>59486150.511345498</v>
      </c>
      <c r="E1092" s="67">
        <f t="shared" si="257"/>
        <v>62205008.162722297</v>
      </c>
      <c r="F1092" s="67">
        <f t="shared" si="258"/>
        <v>-485074.39944060147</v>
      </c>
      <c r="G1092" s="70">
        <f t="shared" si="234"/>
        <v>-8.0884524230112661E-3</v>
      </c>
      <c r="H1092" s="67">
        <f t="shared" si="260"/>
        <v>-485074.39944060147</v>
      </c>
      <c r="I1092" s="70">
        <f t="shared" si="261"/>
        <v>-8.0884524230112661E-3</v>
      </c>
      <c r="J1092" s="67">
        <f t="shared" si="259"/>
        <v>-2718857.6513767987</v>
      </c>
      <c r="K1092" s="70">
        <f t="shared" si="262"/>
        <v>-4.3708018561214868E-2</v>
      </c>
      <c r="L1092" s="70">
        <f t="shared" si="263"/>
        <v>0.99191154757698874</v>
      </c>
      <c r="M1092" s="70">
        <f>PRODUCT($L$2:L1092)-1</f>
        <v>0.30012778818044072</v>
      </c>
      <c r="N1092" s="70">
        <f>PRODUCT($L$909:L1092)-1</f>
        <v>2.7378955855874132E-2</v>
      </c>
      <c r="O1092" s="70">
        <f>AVERAGE($G$909:G1092)*252</f>
        <v>0.18466031246653203</v>
      </c>
      <c r="P1092" s="70">
        <f>STDEV($G$909:G1092)*252^0.5</f>
        <v>0.54268327315431419</v>
      </c>
      <c r="Q1092" s="67">
        <f t="shared" si="254"/>
        <v>6701968.3930933997</v>
      </c>
      <c r="R1092" s="70">
        <f t="shared" si="231"/>
        <v>0.12696925715508897</v>
      </c>
      <c r="S1092" s="67">
        <f t="shared" si="255"/>
        <v>6942530.0313455015</v>
      </c>
      <c r="T1092" s="70">
        <f t="shared" si="232"/>
        <v>0.1321288858271211</v>
      </c>
      <c r="U1092" s="67">
        <f t="shared" si="256"/>
        <v>26843632.711345498</v>
      </c>
      <c r="V1092" s="70">
        <f t="shared" si="233"/>
        <v>0.82235178290522359</v>
      </c>
      <c r="W1092" s="87">
        <f t="shared" si="264"/>
        <v>0.34027271817906779</v>
      </c>
      <c r="X1092" s="142">
        <f t="shared" si="253"/>
        <v>1.7857142857142857E-4</v>
      </c>
      <c r="Y1092" s="139">
        <f t="shared" si="265"/>
        <v>-8.2670238515826951E-3</v>
      </c>
      <c r="Z1092" s="139">
        <f t="shared" si="266"/>
        <v>-8.2670238515826951E-3</v>
      </c>
      <c r="AA1092" s="139">
        <f t="shared" si="267"/>
        <v>6.8343683362637181E-5</v>
      </c>
      <c r="AB1092" s="144">
        <f t="shared" si="268"/>
        <v>4.2322810922099787</v>
      </c>
      <c r="AC1092" s="144">
        <f t="shared" si="269"/>
        <v>-7.0782540730774418E-2</v>
      </c>
      <c r="AD1092" s="144">
        <f t="shared" si="270"/>
        <v>-5.7966039668233355E-2</v>
      </c>
      <c r="AE1092" s="144">
        <f t="shared" si="271"/>
        <v>-4.6879672348927176E-2</v>
      </c>
    </row>
    <row r="1093" spans="1:31">
      <c r="A1093" s="88">
        <v>45552</v>
      </c>
      <c r="B1093" s="78">
        <v>59580701.894372702</v>
      </c>
      <c r="D1093" s="67">
        <f t="shared" si="252"/>
        <v>59580701.894372702</v>
      </c>
      <c r="E1093" s="67">
        <f t="shared" si="257"/>
        <v>62205008.162722297</v>
      </c>
      <c r="F1093" s="67">
        <f t="shared" si="258"/>
        <v>94551.383027203381</v>
      </c>
      <c r="G1093" s="70">
        <f t="shared" si="234"/>
        <v>1.5894688463522289E-3</v>
      </c>
      <c r="H1093" s="67">
        <f t="shared" si="260"/>
        <v>-390523.01641339809</v>
      </c>
      <c r="I1093" s="70">
        <f t="shared" si="261"/>
        <v>-6.4989835766590372E-3</v>
      </c>
      <c r="J1093" s="67">
        <f t="shared" si="259"/>
        <v>-2624306.2683495954</v>
      </c>
      <c r="K1093" s="70">
        <f t="shared" si="262"/>
        <v>-4.218802224870144E-2</v>
      </c>
      <c r="L1093" s="70">
        <f t="shared" si="263"/>
        <v>1.0015894688463522</v>
      </c>
      <c r="M1093" s="70">
        <f>PRODUCT($L$2:L1093)-1</f>
        <v>0.30219430079603038</v>
      </c>
      <c r="N1093" s="70">
        <f>PRODUCT($L$909:L1093)-1</f>
        <v>2.9011942699604942E-2</v>
      </c>
      <c r="O1093" s="70">
        <f>AVERAGE($G$909:G1093)*252</f>
        <v>0.18582726293579813</v>
      </c>
      <c r="P1093" s="70">
        <f>STDEV($G$909:G1093)*252^0.5</f>
        <v>0.54120750483563818</v>
      </c>
      <c r="Q1093" s="67">
        <f t="shared" si="254"/>
        <v>12209876.6778026</v>
      </c>
      <c r="R1093" s="70">
        <f t="shared" si="231"/>
        <v>0.25775098115731454</v>
      </c>
      <c r="S1093" s="67">
        <f t="shared" si="255"/>
        <v>7284125.514372699</v>
      </c>
      <c r="T1093" s="70">
        <f t="shared" si="232"/>
        <v>0.13928494021184909</v>
      </c>
      <c r="U1093" s="67">
        <f t="shared" si="256"/>
        <v>26899135.414372701</v>
      </c>
      <c r="V1093" s="70">
        <f t="shared" si="233"/>
        <v>0.82306750598488143</v>
      </c>
      <c r="W1093" s="87">
        <f t="shared" si="264"/>
        <v>0.34335677402003667</v>
      </c>
      <c r="X1093" s="142">
        <f t="shared" si="253"/>
        <v>1.7857142857142857E-4</v>
      </c>
      <c r="Y1093" s="139">
        <f t="shared" si="265"/>
        <v>1.4108974177808003E-3</v>
      </c>
      <c r="Z1093" s="139">
        <f t="shared" si="266"/>
        <v>0</v>
      </c>
      <c r="AA1093" s="139">
        <f t="shared" si="267"/>
        <v>0</v>
      </c>
      <c r="AB1093" s="144">
        <f t="shared" si="268"/>
        <v>4.2285445332168692</v>
      </c>
      <c r="AC1093" s="144">
        <f t="shared" si="269"/>
        <v>-6.67142178846033E-2</v>
      </c>
      <c r="AD1093" s="144">
        <f t="shared" si="270"/>
        <v>-5.8090675604226462E-2</v>
      </c>
      <c r="AE1093" s="144">
        <f t="shared" si="271"/>
        <v>-4.6840993272273271E-2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2"/>
        <v>58296770.351896398</v>
      </c>
      <c r="E1094" s="67">
        <f t="shared" si="257"/>
        <v>62205008.162722297</v>
      </c>
      <c r="F1094" s="67">
        <f t="shared" si="258"/>
        <v>-1013931.5424763039</v>
      </c>
      <c r="G1094" s="70">
        <f t="shared" si="234"/>
        <v>-1.7095254483449368E-2</v>
      </c>
      <c r="H1094" s="67">
        <f t="shared" si="260"/>
        <v>-1404454.558889702</v>
      </c>
      <c r="I1094" s="70">
        <f t="shared" si="261"/>
        <v>-2.3594238060108404E-2</v>
      </c>
      <c r="J1094" s="67">
        <f t="shared" si="259"/>
        <v>-3638237.8108258992</v>
      </c>
      <c r="K1094" s="70">
        <f t="shared" si="262"/>
        <v>-5.8562061755655814E-2</v>
      </c>
      <c r="L1094" s="70">
        <f t="shared" si="263"/>
        <v>0.9829047455165506</v>
      </c>
      <c r="M1094" s="70">
        <f>PRODUCT($L$2:L1094)-1</f>
        <v>0.27993295783702488</v>
      </c>
      <c r="N1094" s="70">
        <f>PRODUCT($L$909:L1094)-1</f>
        <v>1.1420721672646517E-2</v>
      </c>
      <c r="O1094" s="70">
        <f>AVERAGE($G$909:G1094)*252</f>
        <v>0.16166687910372804</v>
      </c>
      <c r="P1094" s="70">
        <f>STDEV($G$909:G1094)*252^0.5</f>
        <v>0.54014177211962755</v>
      </c>
      <c r="Q1094" s="67">
        <f t="shared" si="254"/>
        <v>9810321.0835208967</v>
      </c>
      <c r="R1094" s="70">
        <f t="shared" si="231"/>
        <v>0.2012107368508495</v>
      </c>
      <c r="S1094" s="67">
        <f t="shared" si="255"/>
        <v>5041445.9518963993</v>
      </c>
      <c r="T1094" s="70">
        <f t="shared" si="232"/>
        <v>9.4188050393140627E-2</v>
      </c>
      <c r="U1094" s="67">
        <f t="shared" si="256"/>
        <v>26047296.621896397</v>
      </c>
      <c r="V1094" s="70">
        <f t="shared" si="233"/>
        <v>0.80097534290252481</v>
      </c>
      <c r="W1094" s="87">
        <f t="shared" si="264"/>
        <v>0.29930452975209437</v>
      </c>
      <c r="X1094" s="142">
        <f t="shared" si="253"/>
        <v>1.7857142857142857E-4</v>
      </c>
      <c r="Y1094" s="139">
        <f t="shared" si="265"/>
        <v>-1.7273825912020795E-2</v>
      </c>
      <c r="Z1094" s="139">
        <f t="shared" si="266"/>
        <v>-1.7273825912020795E-2</v>
      </c>
      <c r="AA1094" s="139">
        <f t="shared" si="267"/>
        <v>2.9838506163880108E-4</v>
      </c>
      <c r="AB1094" s="144">
        <f t="shared" si="268"/>
        <v>4.2937235345879188</v>
      </c>
      <c r="AC1094" s="144">
        <f t="shared" si="269"/>
        <v>-5.6797149753500649E-2</v>
      </c>
      <c r="AD1094" s="144">
        <f t="shared" si="270"/>
        <v>-5.8303965709200503E-2</v>
      </c>
      <c r="AE1094" s="144">
        <f t="shared" si="271"/>
        <v>-4.6917872465115945E-2</v>
      </c>
    </row>
    <row r="1095" spans="1:31">
      <c r="A1095" s="88">
        <v>45554</v>
      </c>
      <c r="B1095" s="78">
        <v>62621199.177230798</v>
      </c>
      <c r="D1095" s="67">
        <f t="shared" si="252"/>
        <v>62621199.177230798</v>
      </c>
      <c r="E1095" s="67">
        <f t="shared" si="257"/>
        <v>62205008.162722297</v>
      </c>
      <c r="F1095" s="67">
        <f t="shared" si="258"/>
        <v>4324428.8253343999</v>
      </c>
      <c r="G1095" s="70">
        <f t="shared" si="234"/>
        <v>7.417956087843082E-2</v>
      </c>
      <c r="H1095" s="67">
        <f t="shared" si="260"/>
        <v>2919974.266444698</v>
      </c>
      <c r="I1095" s="70">
        <f t="shared" si="261"/>
        <v>5.0585322818322412E-2</v>
      </c>
      <c r="J1095" s="67">
        <f t="shared" si="259"/>
        <v>686191.0145085007</v>
      </c>
      <c r="K1095" s="70">
        <f t="shared" si="262"/>
        <v>1.1273391097604835E-2</v>
      </c>
      <c r="L1095" s="70">
        <f t="shared" si="263"/>
        <v>1.0741795608784308</v>
      </c>
      <c r="M1095" s="70">
        <f>PRODUCT($L$2:L1095)-1</f>
        <v>0.37487782260320657</v>
      </c>
      <c r="N1095" s="70">
        <f>PRODUCT($L$909:L1095)-1</f>
        <v>8.6447466669669071E-2</v>
      </c>
      <c r="O1095" s="70">
        <f>AVERAGE($G$909:G1095)*252</f>
        <v>0.26076625055966834</v>
      </c>
      <c r="P1095" s="70">
        <f>STDEV($G$909:G1095)*252^0.5</f>
        <v>0.54541006671261094</v>
      </c>
      <c r="Q1095" s="67">
        <f t="shared" si="254"/>
        <v>15308873.668932095</v>
      </c>
      <c r="R1095" s="70">
        <f t="shared" si="231"/>
        <v>0.32357051792448627</v>
      </c>
      <c r="S1095" s="67">
        <f t="shared" si="255"/>
        <v>6345751.2272307947</v>
      </c>
      <c r="T1095" s="70">
        <f t="shared" si="232"/>
        <v>0.11276234056579898</v>
      </c>
      <c r="U1095" s="67">
        <f t="shared" si="256"/>
        <v>29814848.887230799</v>
      </c>
      <c r="V1095" s="70">
        <f t="shared" si="233"/>
        <v>0.90881334326052521</v>
      </c>
      <c r="W1095" s="87">
        <f t="shared" si="264"/>
        <v>0.47811044656986879</v>
      </c>
      <c r="X1095" s="142">
        <f t="shared" si="253"/>
        <v>1.7857142857142857E-4</v>
      </c>
      <c r="Y1095" s="139">
        <f t="shared" si="265"/>
        <v>7.4000989449859389E-2</v>
      </c>
      <c r="Z1095" s="139">
        <f t="shared" si="266"/>
        <v>0</v>
      </c>
      <c r="AA1095" s="139">
        <f t="shared" si="267"/>
        <v>0</v>
      </c>
      <c r="AB1095" s="144">
        <f t="shared" si="268"/>
        <v>4.806412952148996</v>
      </c>
      <c r="AC1095" s="144">
        <f t="shared" si="269"/>
        <v>-5.8004857898199522E-2</v>
      </c>
      <c r="AD1095" s="144">
        <f t="shared" si="270"/>
        <v>-5.8911857598884933E-2</v>
      </c>
      <c r="AE1095" s="144">
        <f t="shared" si="271"/>
        <v>-4.7105055007352396E-2</v>
      </c>
    </row>
    <row r="1096" spans="1:31">
      <c r="A1096" s="88">
        <v>45555</v>
      </c>
      <c r="B1096" s="78">
        <v>62115518.523997501</v>
      </c>
      <c r="D1096" s="67">
        <f t="shared" si="252"/>
        <v>62115518.523997501</v>
      </c>
      <c r="E1096" s="67">
        <f t="shared" si="257"/>
        <v>62205008.162722297</v>
      </c>
      <c r="F1096" s="67">
        <f t="shared" si="258"/>
        <v>-505680.65323329717</v>
      </c>
      <c r="G1096" s="70">
        <f t="shared" si="234"/>
        <v>-8.0752310699467363E-3</v>
      </c>
      <c r="H1096" s="67">
        <f t="shared" si="260"/>
        <v>2414293.6132114008</v>
      </c>
      <c r="I1096" s="70">
        <f t="shared" si="261"/>
        <v>4.2510091748375674E-2</v>
      </c>
      <c r="J1096" s="67">
        <f t="shared" si="259"/>
        <v>180510.36127520353</v>
      </c>
      <c r="K1096" s="70">
        <f t="shared" si="262"/>
        <v>3.1071247896030663E-3</v>
      </c>
      <c r="L1096" s="70">
        <f t="shared" si="263"/>
        <v>0.99192476893005321</v>
      </c>
      <c r="M1096" s="70">
        <f>PRODUCT($L$2:L1096)-1</f>
        <v>0.36377536649274034</v>
      </c>
      <c r="N1096" s="70">
        <f>PRODUCT($L$909:L1096)-1</f>
        <v>7.7674152330953206E-2</v>
      </c>
      <c r="O1096" s="70">
        <f>AVERAGE($G$909:G1096)*252</f>
        <v>0.2485549501331458</v>
      </c>
      <c r="P1096" s="70">
        <f>STDEV($G$909:G1096)*252^0.5</f>
        <v>0.54405204339642643</v>
      </c>
      <c r="Q1096" s="67">
        <f t="shared" si="254"/>
        <v>10353126.530573301</v>
      </c>
      <c r="R1096" s="70">
        <f t="shared" si="231"/>
        <v>0.20001252128936667</v>
      </c>
      <c r="S1096" s="67">
        <f t="shared" si="255"/>
        <v>6473217.8239974976</v>
      </c>
      <c r="T1096" s="70">
        <f t="shared" si="232"/>
        <v>0.11633627191115585</v>
      </c>
      <c r="U1096" s="67">
        <f t="shared" si="256"/>
        <v>29538500.873997502</v>
      </c>
      <c r="V1096" s="70">
        <f t="shared" si="233"/>
        <v>0.90672820917348473</v>
      </c>
      <c r="W1096" s="87">
        <f t="shared" si="264"/>
        <v>0.45685877509338735</v>
      </c>
      <c r="X1096" s="142">
        <f t="shared" si="253"/>
        <v>1.7857142857142857E-4</v>
      </c>
      <c r="Y1096" s="139">
        <f t="shared" si="265"/>
        <v>-8.2538024985181653E-3</v>
      </c>
      <c r="Z1096" s="139">
        <f t="shared" si="266"/>
        <v>-8.2538024985181653E-3</v>
      </c>
      <c r="AA1096" s="139">
        <f t="shared" si="267"/>
        <v>6.8125255684544706E-5</v>
      </c>
      <c r="AB1096" s="144">
        <f t="shared" si="268"/>
        <v>4.679249846888049</v>
      </c>
      <c r="AC1096" s="144">
        <f t="shared" si="269"/>
        <v>-5.6539381682813111E-2</v>
      </c>
      <c r="AD1096" s="144">
        <f t="shared" si="270"/>
        <v>-5.8991322050270793E-2</v>
      </c>
      <c r="AE1096" s="144">
        <f t="shared" si="271"/>
        <v>-4.7155084792612365E-2</v>
      </c>
    </row>
    <row r="1097" spans="1:31">
      <c r="A1097" s="88">
        <v>45558</v>
      </c>
      <c r="B1097" s="78">
        <v>62521188.067773402</v>
      </c>
      <c r="D1097" s="67">
        <f t="shared" si="252"/>
        <v>62521188.067773402</v>
      </c>
      <c r="E1097" s="67">
        <f t="shared" si="257"/>
        <v>62205008.162722297</v>
      </c>
      <c r="F1097" s="67">
        <f t="shared" si="258"/>
        <v>405669.5437759012</v>
      </c>
      <c r="G1097" s="70">
        <f t="shared" si="234"/>
        <v>6.5308887926159099E-3</v>
      </c>
      <c r="H1097" s="67">
        <f t="shared" si="260"/>
        <v>405669.5437759012</v>
      </c>
      <c r="I1097" s="70">
        <f t="shared" si="261"/>
        <v>6.5308887926159099E-3</v>
      </c>
      <c r="J1097" s="67">
        <f t="shared" si="259"/>
        <v>586179.90505110472</v>
      </c>
      <c r="K1097" s="70">
        <f t="shared" si="262"/>
        <v>9.6583058686845469E-3</v>
      </c>
      <c r="L1097" s="70">
        <f t="shared" si="263"/>
        <v>1.0065308887926159</v>
      </c>
      <c r="M1097" s="70">
        <f>PRODUCT($L$2:L1097)-1</f>
        <v>0.37268203174941328</v>
      </c>
      <c r="N1097" s="70">
        <f>PRODUCT($L$909:L1097)-1</f>
        <v>8.4712322374503213E-2</v>
      </c>
      <c r="O1097" s="70">
        <f>AVERAGE($G$909:G1097)*252</f>
        <v>0.25594769630037362</v>
      </c>
      <c r="P1097" s="70">
        <f>STDEV($G$909:G1097)*252^0.5</f>
        <v>0.54264093707022321</v>
      </c>
      <c r="Q1097" s="67">
        <f t="shared" si="254"/>
        <v>9999938.0480187014</v>
      </c>
      <c r="R1097" s="70">
        <f t="shared" si="231"/>
        <v>0.19039794453211695</v>
      </c>
      <c r="S1097" s="67">
        <f t="shared" si="255"/>
        <v>6647816.0077733994</v>
      </c>
      <c r="T1097" s="70">
        <f t="shared" si="232"/>
        <v>0.11898003937608413</v>
      </c>
      <c r="U1097" s="67">
        <f t="shared" si="256"/>
        <v>30338177.107773401</v>
      </c>
      <c r="V1097" s="70">
        <f t="shared" si="233"/>
        <v>0.94267677892166368</v>
      </c>
      <c r="W1097" s="87">
        <f t="shared" si="264"/>
        <v>0.47167045243999239</v>
      </c>
      <c r="X1097" s="142">
        <f t="shared" si="253"/>
        <v>1.7857142857142857E-4</v>
      </c>
      <c r="Y1097" s="139">
        <f t="shared" si="265"/>
        <v>6.3523173640444809E-3</v>
      </c>
      <c r="Z1097" s="139">
        <f t="shared" si="266"/>
        <v>0</v>
      </c>
      <c r="AA1097" s="139">
        <f t="shared" si="267"/>
        <v>0</v>
      </c>
      <c r="AB1097" s="144">
        <f t="shared" si="268"/>
        <v>4.7541736253255884</v>
      </c>
      <c r="AC1097" s="144">
        <f t="shared" si="269"/>
        <v>-5.4196214431764284E-2</v>
      </c>
      <c r="AD1097" s="144">
        <f t="shared" si="270"/>
        <v>-5.8761342846570232E-2</v>
      </c>
      <c r="AE1097" s="144">
        <f t="shared" si="271"/>
        <v>-4.711383058452219E-2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2"/>
        <v>65022483.825473301</v>
      </c>
      <c r="E1098" s="67">
        <f t="shared" si="257"/>
        <v>62205008.162722297</v>
      </c>
      <c r="F1098" s="67">
        <f t="shared" si="258"/>
        <v>2501295.7576998994</v>
      </c>
      <c r="G1098" s="70">
        <f t="shared" si="234"/>
        <v>4.0007169329355635E-2</v>
      </c>
      <c r="H1098" s="67">
        <f t="shared" si="260"/>
        <v>2906965.3014758006</v>
      </c>
      <c r="I1098" s="70">
        <f t="shared" si="261"/>
        <v>4.6538058121971544E-2</v>
      </c>
      <c r="J1098" s="67">
        <f t="shared" si="259"/>
        <v>3087475.6627510041</v>
      </c>
      <c r="K1098" s="70">
        <f t="shared" si="262"/>
        <v>5.0051876676363349E-2</v>
      </c>
      <c r="L1098" s="70">
        <f t="shared" si="263"/>
        <v>1.0400071693293556</v>
      </c>
      <c r="M1098" s="70">
        <f>PRODUCT($L$2:L1098)-1</f>
        <v>0.42759915422897588</v>
      </c>
      <c r="N1098" s="70">
        <f>PRODUCT($L$909:L1098)-1</f>
        <v>0.12810859192937851</v>
      </c>
      <c r="O1098" s="70">
        <f>AVERAGE($G$909:G1098)*252</f>
        <v>0.30766274353562229</v>
      </c>
      <c r="P1098" s="70">
        <f>STDEV($G$909:G1098)*252^0.5</f>
        <v>0.54306320896793003</v>
      </c>
      <c r="Q1098" s="67">
        <f t="shared" si="254"/>
        <v>11622264.0555683</v>
      </c>
      <c r="R1098" s="70">
        <f t="shared" si="231"/>
        <v>0.21764449857411095</v>
      </c>
      <c r="S1098" s="67">
        <f t="shared" si="255"/>
        <v>8236395.1354733035</v>
      </c>
      <c r="T1098" s="70">
        <f t="shared" si="232"/>
        <v>0.14504248004183687</v>
      </c>
      <c r="U1098" s="67">
        <f t="shared" si="256"/>
        <v>31724092.6354733</v>
      </c>
      <c r="V1098" s="70">
        <f t="shared" si="233"/>
        <v>0.95272148298265269</v>
      </c>
      <c r="W1098" s="87">
        <f t="shared" si="264"/>
        <v>0.56653210612503668</v>
      </c>
      <c r="X1098" s="142">
        <f t="shared" si="253"/>
        <v>1.7857142857142857E-4</v>
      </c>
      <c r="Y1098" s="139">
        <f t="shared" si="265"/>
        <v>3.9828597900784204E-2</v>
      </c>
      <c r="Z1098" s="139">
        <f t="shared" si="266"/>
        <v>0</v>
      </c>
      <c r="AA1098" s="139">
        <f t="shared" si="267"/>
        <v>0</v>
      </c>
      <c r="AB1098" s="144">
        <f t="shared" si="268"/>
        <v>5.0307792189009373</v>
      </c>
      <c r="AC1098" s="144">
        <f t="shared" si="269"/>
        <v>-5.4133350313761326E-2</v>
      </c>
      <c r="AD1098" s="144">
        <f t="shared" si="270"/>
        <v>-5.8720588382069221E-2</v>
      </c>
      <c r="AE1098" s="144">
        <f t="shared" si="271"/>
        <v>-4.7065424325717704E-2</v>
      </c>
    </row>
    <row r="1099" spans="1:31">
      <c r="A1099" s="88">
        <v>45560</v>
      </c>
      <c r="B1099" s="78">
        <v>65068145.0645753</v>
      </c>
      <c r="D1099" s="67">
        <f t="shared" si="252"/>
        <v>65068145.0645753</v>
      </c>
      <c r="E1099" s="67">
        <f t="shared" si="257"/>
        <v>62205008.162722297</v>
      </c>
      <c r="F1099" s="67">
        <f t="shared" si="258"/>
        <v>45661.239101998508</v>
      </c>
      <c r="G1099" s="70">
        <f t="shared" si="234"/>
        <v>7.0223769403453945E-4</v>
      </c>
      <c r="H1099" s="67">
        <f t="shared" si="260"/>
        <v>2952626.5405777991</v>
      </c>
      <c r="I1099" s="70">
        <f t="shared" si="261"/>
        <v>4.7240295816006084E-2</v>
      </c>
      <c r="J1099" s="67">
        <f t="shared" si="259"/>
        <v>3133136.9018530026</v>
      </c>
      <c r="K1099" s="70">
        <f t="shared" si="262"/>
        <v>5.0789262684857173E-2</v>
      </c>
      <c r="L1099" s="70">
        <f t="shared" si="263"/>
        <v>1.0007022376940344</v>
      </c>
      <c r="M1099" s="70">
        <f>PRODUCT($L$2:L1099)-1</f>
        <v>0.42860166816704703</v>
      </c>
      <c r="N1099" s="70">
        <f>PRODUCT($L$909:L1099)-1</f>
        <v>0.12890079230559537</v>
      </c>
      <c r="O1099" s="70">
        <f>AVERAGE($G$909:G1099)*252</f>
        <v>0.30697845639091592</v>
      </c>
      <c r="P1099" s="70">
        <f>STDEV($G$909:G1099)*252^0.5</f>
        <v>0.54163253750600304</v>
      </c>
      <c r="Q1099" s="67">
        <f t="shared" si="254"/>
        <v>8523490.3493228033</v>
      </c>
      <c r="R1099" s="70">
        <f t="shared" si="231"/>
        <v>0.15073909978308977</v>
      </c>
      <c r="S1099" s="67">
        <f t="shared" si="255"/>
        <v>8282056.374575302</v>
      </c>
      <c r="T1099" s="70">
        <f t="shared" si="232"/>
        <v>0.14584657203259305</v>
      </c>
      <c r="U1099" s="67">
        <f t="shared" si="256"/>
        <v>30924377.804575302</v>
      </c>
      <c r="V1099" s="70">
        <f t="shared" si="233"/>
        <v>0.90571077201559225</v>
      </c>
      <c r="W1099" s="87">
        <f t="shared" si="264"/>
        <v>0.56676516851152725</v>
      </c>
      <c r="X1099" s="142">
        <f t="shared" si="253"/>
        <v>1.7857142857142857E-4</v>
      </c>
      <c r="Y1099" s="139">
        <f t="shared" si="265"/>
        <v>5.2366626546311091E-4</v>
      </c>
      <c r="Z1099" s="139">
        <f t="shared" si="266"/>
        <v>0</v>
      </c>
      <c r="AA1099" s="139">
        <f t="shared" si="267"/>
        <v>0</v>
      </c>
      <c r="AB1099" s="144">
        <f t="shared" si="268"/>
        <v>5.3496288888565466</v>
      </c>
      <c r="AC1099" s="144">
        <f t="shared" si="269"/>
        <v>-5.4601596939036705E-2</v>
      </c>
      <c r="AD1099" s="144">
        <f t="shared" si="270"/>
        <v>-5.8842834750950056E-2</v>
      </c>
      <c r="AE1099" s="144">
        <f t="shared" si="271"/>
        <v>-4.7078079198781424E-2</v>
      </c>
    </row>
    <row r="1100" spans="1:31">
      <c r="A1100" s="88">
        <v>45561</v>
      </c>
      <c r="B1100" s="78">
        <v>66938914.518993497</v>
      </c>
      <c r="D1100" s="67">
        <f t="shared" si="252"/>
        <v>66938914.518993497</v>
      </c>
      <c r="E1100" s="67">
        <f t="shared" si="257"/>
        <v>62205008.162722297</v>
      </c>
      <c r="F1100" s="67">
        <f t="shared" si="258"/>
        <v>1870769.4544181973</v>
      </c>
      <c r="G1100" s="70">
        <f t="shared" si="234"/>
        <v>2.8750926471956401E-2</v>
      </c>
      <c r="H1100" s="67">
        <f t="shared" si="260"/>
        <v>4823395.9949959964</v>
      </c>
      <c r="I1100" s="70">
        <f t="shared" si="261"/>
        <v>7.5991222287962484E-2</v>
      </c>
      <c r="J1100" s="67">
        <f t="shared" si="259"/>
        <v>5003906.3562711999</v>
      </c>
      <c r="K1100" s="70">
        <f t="shared" si="262"/>
        <v>8.1000427513830742E-2</v>
      </c>
      <c r="L1100" s="70">
        <f t="shared" si="263"/>
        <v>1.0287509264719563</v>
      </c>
      <c r="M1100" s="70">
        <f>PRODUCT($L$2:L1100)-1</f>
        <v>0.46967528968623196</v>
      </c>
      <c r="N1100" s="70">
        <f>PRODUCT($L$909:L1100)-1</f>
        <v>0.1613577359793068</v>
      </c>
      <c r="O1100" s="70">
        <f>AVERAGE($G$909:G1100)*252</f>
        <v>0.34311520125832273</v>
      </c>
      <c r="P1100" s="70">
        <f>STDEV($G$909:G1100)*252^0.5</f>
        <v>0.54113288877104937</v>
      </c>
      <c r="Q1100" s="67">
        <f t="shared" si="254"/>
        <v>10246876.252228394</v>
      </c>
      <c r="R1100" s="70">
        <f t="shared" si="231"/>
        <v>0.18074630169428005</v>
      </c>
      <c r="S1100" s="67">
        <f t="shared" si="255"/>
        <v>11631696.3989935</v>
      </c>
      <c r="T1100" s="70">
        <f t="shared" si="232"/>
        <v>0.21031063926875193</v>
      </c>
      <c r="U1100" s="67">
        <f t="shared" si="256"/>
        <v>33807591.038993493</v>
      </c>
      <c r="V1100" s="70">
        <f t="shared" si="233"/>
        <v>1.0204117278744307</v>
      </c>
      <c r="W1100" s="87">
        <f t="shared" si="264"/>
        <v>0.63406828226161105</v>
      </c>
      <c r="X1100" s="142">
        <f t="shared" si="253"/>
        <v>1.7857142857142857E-4</v>
      </c>
      <c r="Y1100" s="139">
        <f t="shared" si="265"/>
        <v>2.8572355043384973E-2</v>
      </c>
      <c r="Z1100" s="139">
        <f t="shared" si="266"/>
        <v>0</v>
      </c>
      <c r="AA1100" s="139">
        <f t="shared" si="267"/>
        <v>0</v>
      </c>
      <c r="AB1100" s="144">
        <f t="shared" si="268"/>
        <v>5.3727548671900838</v>
      </c>
      <c r="AC1100" s="144">
        <f t="shared" si="269"/>
        <v>-5.3931900215979225E-2</v>
      </c>
      <c r="AD1100" s="144">
        <f t="shared" si="270"/>
        <v>-5.869886420458096E-2</v>
      </c>
      <c r="AE1100" s="144">
        <f t="shared" si="271"/>
        <v>-4.7081607599497116E-2</v>
      </c>
    </row>
    <row r="1101" spans="1:31">
      <c r="A1101" s="88">
        <v>45562</v>
      </c>
      <c r="B1101" s="78">
        <v>65600574.063981697</v>
      </c>
      <c r="D1101" s="67">
        <f t="shared" si="252"/>
        <v>65600574.063981697</v>
      </c>
      <c r="E1101" s="67">
        <f t="shared" si="257"/>
        <v>62205008.162722297</v>
      </c>
      <c r="F1101" s="67">
        <f t="shared" si="258"/>
        <v>-1338340.4550117999</v>
      </c>
      <c r="G1101" s="70">
        <f t="shared" si="234"/>
        <v>-1.9993459180340522E-2</v>
      </c>
      <c r="H1101" s="67">
        <f t="shared" si="260"/>
        <v>3485055.5399841964</v>
      </c>
      <c r="I1101" s="70">
        <f t="shared" si="261"/>
        <v>5.5997763107621959E-2</v>
      </c>
      <c r="J1101" s="67">
        <f t="shared" si="259"/>
        <v>3665565.9012594</v>
      </c>
      <c r="K1101" s="70">
        <f t="shared" si="262"/>
        <v>5.9387489592402254E-2</v>
      </c>
      <c r="L1101" s="70">
        <f t="shared" si="263"/>
        <v>0.98000654081965943</v>
      </c>
      <c r="M1101" s="70">
        <f>PRODUCT($L$2:L1101)-1</f>
        <v>0.44029139677353513</v>
      </c>
      <c r="N1101" s="70">
        <f>PRODUCT($L$909:L1101)-1</f>
        <v>0.13813817749123181</v>
      </c>
      <c r="O1101" s="70">
        <f>AVERAGE($G$909:G1101)*252</f>
        <v>0.31523195299560697</v>
      </c>
      <c r="P1101" s="70">
        <f>STDEV($G$909:G1101)*252^0.5</f>
        <v>0.54027319168874477</v>
      </c>
      <c r="Q1101" s="67">
        <f t="shared" si="254"/>
        <v>5795055.6141681969</v>
      </c>
      <c r="R1101" s="70">
        <f t="shared" ref="R1101:R1154" si="272">Q1101/B1070</f>
        <v>9.6898342567353302E-2</v>
      </c>
      <c r="S1101" s="67">
        <f t="shared" si="255"/>
        <v>10897999.383981697</v>
      </c>
      <c r="T1101" s="70">
        <f t="shared" ref="T1101:T1154" si="273">S1101/B1010</f>
        <v>0.19922278700286028</v>
      </c>
      <c r="U1101" s="67">
        <f t="shared" si="256"/>
        <v>32011918.883981697</v>
      </c>
      <c r="V1101" s="70">
        <f t="shared" ref="V1101:V1154" si="274">U1101/B735</f>
        <v>0.95305747468695468</v>
      </c>
      <c r="W1101" s="87">
        <f t="shared" si="264"/>
        <v>0.58346769346500227</v>
      </c>
      <c r="X1101" s="142">
        <f t="shared" si="253"/>
        <v>1.7857142857142857E-4</v>
      </c>
      <c r="Y1101" s="139">
        <f t="shared" si="265"/>
        <v>-2.0172030608911949E-2</v>
      </c>
      <c r="Z1101" s="139">
        <f t="shared" si="266"/>
        <v>-2.0172030608911949E-2</v>
      </c>
      <c r="AA1101" s="139">
        <f t="shared" si="267"/>
        <v>4.0691081888688058E-4</v>
      </c>
      <c r="AB1101" s="144">
        <f t="shared" si="268"/>
        <v>5.2815020064022269</v>
      </c>
      <c r="AC1101" s="144">
        <f t="shared" si="269"/>
        <v>-5.5110301229997237E-2</v>
      </c>
      <c r="AD1101" s="144">
        <f t="shared" si="270"/>
        <v>-5.8892566982101727E-2</v>
      </c>
      <c r="AE1101" s="144">
        <f t="shared" si="271"/>
        <v>-4.7016225723792951E-2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2"/>
        <v>65466153.520501398</v>
      </c>
      <c r="E1102" s="80">
        <f t="shared" si="257"/>
        <v>62205008.162722297</v>
      </c>
      <c r="F1102" s="80">
        <f t="shared" si="258"/>
        <v>-134420.54348029941</v>
      </c>
      <c r="G1102" s="81">
        <f t="shared" ref="G1102:G1165" si="275">F1102/(B1101+C1102)</f>
        <v>-2.0490757192032508E-3</v>
      </c>
      <c r="H1102" s="80">
        <f t="shared" si="260"/>
        <v>-134420.54348029941</v>
      </c>
      <c r="I1102" s="81">
        <f t="shared" si="261"/>
        <v>-2.0490757192032508E-3</v>
      </c>
      <c r="J1102" s="80">
        <f t="shared" si="259"/>
        <v>3531145.3577791005</v>
      </c>
      <c r="K1102" s="81">
        <f t="shared" si="262"/>
        <v>5.721672441025083E-2</v>
      </c>
      <c r="L1102" s="81">
        <f t="shared" si="263"/>
        <v>0.99795092428079679</v>
      </c>
      <c r="M1102" s="81">
        <f>PRODUCT($L$2:L1102)-1</f>
        <v>0.43734013064382915</v>
      </c>
      <c r="N1102" s="81">
        <f>PRODUCT($L$909:L1102)-1</f>
        <v>0.13580604618663639</v>
      </c>
      <c r="O1102" s="81">
        <f>AVERAGE($G$909:G1102)*252</f>
        <v>0.31094536003563367</v>
      </c>
      <c r="P1102" s="81">
        <f>STDEV($G$909:G1102)*252^0.5</f>
        <v>0.5388848276219218</v>
      </c>
      <c r="Q1102" s="80">
        <f t="shared" si="254"/>
        <v>4329642.8973884955</v>
      </c>
      <c r="R1102" s="81">
        <f t="shared" si="272"/>
        <v>7.0819267459985791E-2</v>
      </c>
      <c r="S1102" s="80">
        <f t="shared" si="255"/>
        <v>9379498.7305013984</v>
      </c>
      <c r="T1102" s="81">
        <f t="shared" si="273"/>
        <v>0.16723227237602556</v>
      </c>
      <c r="U1102" s="80">
        <f t="shared" si="256"/>
        <v>32173473.740501396</v>
      </c>
      <c r="V1102" s="81">
        <f t="shared" si="274"/>
        <v>0.96638281907931756</v>
      </c>
      <c r="W1102" s="136">
        <f t="shared" si="264"/>
        <v>0.5770163569232849</v>
      </c>
      <c r="X1102" s="143">
        <f t="shared" si="253"/>
        <v>1.7857142857142857E-4</v>
      </c>
      <c r="Y1102" s="140">
        <f t="shared" si="265"/>
        <v>-2.2276471477746793E-3</v>
      </c>
      <c r="Z1102" s="140">
        <f t="shared" si="266"/>
        <v>-2.2276471477746793E-3</v>
      </c>
      <c r="AA1102" s="140">
        <f t="shared" si="267"/>
        <v>4.9624118149886645E-6</v>
      </c>
      <c r="AB1102" s="145">
        <f t="shared" si="268"/>
        <v>4.9803859365338052</v>
      </c>
      <c r="AC1102" s="145">
        <f t="shared" si="269"/>
        <v>-5.5058590424697379E-2</v>
      </c>
      <c r="AD1102" s="145">
        <f t="shared" si="270"/>
        <v>-5.8757566292863328E-2</v>
      </c>
      <c r="AE1102" s="145">
        <f t="shared" si="271"/>
        <v>-4.7050199904156556E-2</v>
      </c>
    </row>
    <row r="1103" spans="1:31">
      <c r="A1103" s="88">
        <v>45566</v>
      </c>
      <c r="B1103" s="78">
        <v>63233929.359802604</v>
      </c>
      <c r="D1103" s="67">
        <f t="shared" si="252"/>
        <v>63233929.359802604</v>
      </c>
      <c r="E1103" s="67">
        <f t="shared" si="257"/>
        <v>65466153.520501398</v>
      </c>
      <c r="F1103" s="67">
        <f t="shared" si="258"/>
        <v>-2232224.1606987938</v>
      </c>
      <c r="G1103" s="70">
        <f t="shared" si="275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59"/>
        <v>-2232224.1606987938</v>
      </c>
      <c r="K1103" s="85">
        <f>G1103</f>
        <v>-3.4097377662485544E-2</v>
      </c>
      <c r="L1103" s="70">
        <f t="shared" si="263"/>
        <v>0.96590262233751445</v>
      </c>
      <c r="M1103" s="70">
        <f>PRODUCT($L$2:L1103)-1</f>
        <v>0.38833060137982023</v>
      </c>
      <c r="N1103" s="70">
        <f>PRODUCT($L$909:L1103)-1</f>
        <v>9.7078038478476181E-2</v>
      </c>
      <c r="O1103" s="70">
        <f>AVERAGE($G$909:G1103)*252</f>
        <v>0.26528646500495678</v>
      </c>
      <c r="P1103" s="70">
        <f>STDEV($G$909:G1103)*252^0.5</f>
        <v>0.53899272164409118</v>
      </c>
      <c r="Q1103" s="67">
        <f t="shared" si="254"/>
        <v>35261.511813104153</v>
      </c>
      <c r="R1103" s="70">
        <f t="shared" si="272"/>
        <v>5.5794707410475753E-4</v>
      </c>
      <c r="S1103" s="67">
        <f t="shared" si="255"/>
        <v>7147274.5698026046</v>
      </c>
      <c r="T1103" s="70">
        <f t="shared" si="273"/>
        <v>0.12743271276497903</v>
      </c>
      <c r="U1103" s="67">
        <f t="shared" si="256"/>
        <v>30006586.579802603</v>
      </c>
      <c r="V1103" s="70">
        <f t="shared" si="274"/>
        <v>0.90306910120613026</v>
      </c>
      <c r="W1103" s="87">
        <f t="shared" si="264"/>
        <v>0.49218932715037905</v>
      </c>
      <c r="X1103" s="142">
        <f t="shared" si="253"/>
        <v>1.7857142857142857E-4</v>
      </c>
      <c r="Y1103" s="139">
        <f t="shared" si="265"/>
        <v>-3.4275949091056974E-2</v>
      </c>
      <c r="Z1103" s="139">
        <f t="shared" si="266"/>
        <v>-3.4275949091056974E-2</v>
      </c>
      <c r="AA1103" s="139">
        <f t="shared" si="267"/>
        <v>1.1748406860927294E-3</v>
      </c>
      <c r="AB1103" s="144">
        <f t="shared" si="268"/>
        <v>4.6322753741551148</v>
      </c>
      <c r="AC1103" s="144">
        <f t="shared" si="269"/>
        <v>-5.7539343726330294E-2</v>
      </c>
      <c r="AD1103" s="144">
        <f t="shared" si="270"/>
        <v>-5.9591761662354997E-2</v>
      </c>
      <c r="AE1103" s="144">
        <f t="shared" si="271"/>
        <v>-4.7208256285371071E-2</v>
      </c>
    </row>
    <row r="1104" spans="1:31">
      <c r="A1104" s="88">
        <v>45567</v>
      </c>
      <c r="B1104" s="78">
        <v>64994249.600867599</v>
      </c>
      <c r="D1104" s="67">
        <f t="shared" si="252"/>
        <v>64994249.600867599</v>
      </c>
      <c r="E1104" s="67">
        <f t="shared" si="257"/>
        <v>65466153.520501398</v>
      </c>
      <c r="F1104" s="67">
        <f t="shared" si="258"/>
        <v>1760320.2410649955</v>
      </c>
      <c r="G1104" s="70">
        <f t="shared" si="275"/>
        <v>2.7838223227418468E-2</v>
      </c>
      <c r="H1104" s="67">
        <f t="shared" ref="H1104:H1121" si="276">IF(WEEKNUM(A1104)=WEEKNUM(A1103),H1103+F1104,F1104)</f>
        <v>-471903.9196337983</v>
      </c>
      <c r="I1104" s="70">
        <f t="shared" ref="I1104:I1121" si="277">IF(WEEKNUM(A1104)=WEEKNUM(A1103),I1103+G1104,G1104)</f>
        <v>-6.2591544350670755E-3</v>
      </c>
      <c r="J1104" s="67">
        <f t="shared" si="259"/>
        <v>-471903.9196337983</v>
      </c>
      <c r="K1104" s="70">
        <f t="shared" ref="K1104:K1125" si="278">(1+K1103)*(1+G1104)-1</f>
        <v>-7.2083648459050353E-3</v>
      </c>
      <c r="L1104" s="70">
        <f t="shared" si="263"/>
        <v>1.0278382232274184</v>
      </c>
      <c r="M1104" s="70">
        <f>PRODUCT($L$2:L1104)-1</f>
        <v>0.4269792585744876</v>
      </c>
      <c r="N1104" s="70">
        <f>PRODUCT($L$909:L1104)-1</f>
        <v>0.12761874181153821</v>
      </c>
      <c r="O1104" s="70">
        <f>AVERAGE($G$909:G1104)*252</f>
        <v>0.29972496392487763</v>
      </c>
      <c r="P1104" s="70">
        <f>STDEV($G$909:G1104)*252^0.5</f>
        <v>0.53846615058248115</v>
      </c>
      <c r="Q1104" s="67">
        <f t="shared" si="254"/>
        <v>3216444.7652022019</v>
      </c>
      <c r="R1104" s="70">
        <f t="shared" si="272"/>
        <v>5.2064730589865382E-2</v>
      </c>
      <c r="S1104" s="67">
        <f t="shared" si="255"/>
        <v>7415708.6808675975</v>
      </c>
      <c r="T1104" s="70">
        <f t="shared" si="273"/>
        <v>0.12879292462744116</v>
      </c>
      <c r="U1104" s="67">
        <f t="shared" si="256"/>
        <v>31238350.260867596</v>
      </c>
      <c r="V1104" s="70">
        <f t="shared" si="274"/>
        <v>0.92541898961793723</v>
      </c>
      <c r="W1104" s="87">
        <f t="shared" si="264"/>
        <v>0.55662730814305172</v>
      </c>
      <c r="X1104" s="142">
        <f t="shared" si="253"/>
        <v>1.7857142857142857E-4</v>
      </c>
      <c r="Y1104" s="139">
        <f t="shared" si="265"/>
        <v>2.7659651798847041E-2</v>
      </c>
      <c r="Z1104" s="139">
        <f t="shared" si="266"/>
        <v>0</v>
      </c>
      <c r="AA1104" s="139">
        <f t="shared" si="267"/>
        <v>0</v>
      </c>
      <c r="AB1104" s="144">
        <f t="shared" si="268"/>
        <v>4.7789685067559411</v>
      </c>
      <c r="AC1104" s="144">
        <f t="shared" si="269"/>
        <v>-5.7471405780406659E-2</v>
      </c>
      <c r="AD1104" s="144">
        <f t="shared" si="270"/>
        <v>-5.9449876710480923E-2</v>
      </c>
      <c r="AE1104" s="144">
        <f t="shared" si="271"/>
        <v>-4.7176214464638835E-2</v>
      </c>
    </row>
    <row r="1105" spans="1:31">
      <c r="A1105" s="88">
        <v>45568</v>
      </c>
      <c r="B1105" s="78">
        <v>65768492.211809203</v>
      </c>
      <c r="D1105" s="67">
        <f t="shared" si="252"/>
        <v>65768492.211809203</v>
      </c>
      <c r="E1105" s="67">
        <f t="shared" si="257"/>
        <v>65466153.520501398</v>
      </c>
      <c r="F1105" s="67">
        <f t="shared" si="258"/>
        <v>774242.61094160378</v>
      </c>
      <c r="G1105" s="70">
        <f t="shared" si="275"/>
        <v>1.1912478653054077E-2</v>
      </c>
      <c r="H1105" s="67">
        <f t="shared" si="276"/>
        <v>302338.69130780548</v>
      </c>
      <c r="I1105" s="70">
        <f t="shared" si="277"/>
        <v>5.6533242179870012E-3</v>
      </c>
      <c r="J1105" s="67">
        <f t="shared" si="259"/>
        <v>302338.69130780548</v>
      </c>
      <c r="K1105" s="70">
        <f t="shared" si="278"/>
        <v>4.6182443147986252E-3</v>
      </c>
      <c r="L1105" s="70">
        <f t="shared" si="263"/>
        <v>1.011912478653054</v>
      </c>
      <c r="M1105" s="70">
        <f>PRODUCT($L$2:L1105)-1</f>
        <v>0.44397811853060709</v>
      </c>
      <c r="N1105" s="70">
        <f>PRODUCT($L$909:L1105)-1</f>
        <v>0.14105147600215173</v>
      </c>
      <c r="O1105" s="70">
        <f>AVERAGE($G$909:G1105)*252</f>
        <v>0.31344181497383583</v>
      </c>
      <c r="P1105" s="70">
        <f>STDEV($G$909:G1105)*252^0.5</f>
        <v>0.53722766786747844</v>
      </c>
      <c r="Q1105" s="67">
        <f t="shared" si="254"/>
        <v>3110047.8569406047</v>
      </c>
      <c r="R1105" s="70">
        <f t="shared" si="272"/>
        <v>4.9634935705181647E-2</v>
      </c>
      <c r="S1105" s="67">
        <f t="shared" si="255"/>
        <v>9758072.9218092039</v>
      </c>
      <c r="T1105" s="70">
        <f t="shared" si="273"/>
        <v>0.17421888722678056</v>
      </c>
      <c r="U1105" s="67">
        <f t="shared" si="256"/>
        <v>32384237.011809204</v>
      </c>
      <c r="V1105" s="70">
        <f t="shared" si="274"/>
        <v>0.97004521496136908</v>
      </c>
      <c r="W1105" s="87">
        <f t="shared" si="264"/>
        <v>0.58344317264604217</v>
      </c>
      <c r="X1105" s="142">
        <f t="shared" si="253"/>
        <v>1.7857142857142857E-4</v>
      </c>
      <c r="Y1105" s="139">
        <f t="shared" si="265"/>
        <v>1.1733907224482648E-2</v>
      </c>
      <c r="Z1105" s="139">
        <f t="shared" si="266"/>
        <v>0</v>
      </c>
      <c r="AA1105" s="139">
        <f t="shared" si="267"/>
        <v>0</v>
      </c>
      <c r="AB1105" s="144">
        <f t="shared" si="268"/>
        <v>4.7872580628267514</v>
      </c>
      <c r="AC1105" s="144">
        <f t="shared" si="269"/>
        <v>-5.6015911907967418E-2</v>
      </c>
      <c r="AD1105" s="144">
        <f t="shared" si="270"/>
        <v>-5.948738500318905E-2</v>
      </c>
      <c r="AE1105" s="144">
        <f t="shared" si="271"/>
        <v>-4.7179949966161032E-2</v>
      </c>
    </row>
    <row r="1106" spans="1:31">
      <c r="A1106" s="88">
        <v>45569</v>
      </c>
      <c r="B1106" s="78">
        <v>68053355.274336606</v>
      </c>
      <c r="D1106" s="67">
        <f t="shared" si="252"/>
        <v>68053355.274336606</v>
      </c>
      <c r="E1106" s="67">
        <f t="shared" si="257"/>
        <v>65466153.520501398</v>
      </c>
      <c r="F1106" s="67">
        <f t="shared" si="258"/>
        <v>2284863.0625274032</v>
      </c>
      <c r="G1106" s="70">
        <f t="shared" si="275"/>
        <v>3.4740998093265391E-2</v>
      </c>
      <c r="H1106" s="67">
        <f t="shared" si="276"/>
        <v>2587201.7538352087</v>
      </c>
      <c r="I1106" s="70">
        <f t="shared" si="277"/>
        <v>4.0394322311252395E-2</v>
      </c>
      <c r="J1106" s="67">
        <f t="shared" si="259"/>
        <v>2587201.7538352087</v>
      </c>
      <c r="K1106" s="70">
        <f t="shared" si="278"/>
        <v>3.9519684824998569E-2</v>
      </c>
      <c r="L1106" s="70">
        <f t="shared" si="263"/>
        <v>1.0347409980932654</v>
      </c>
      <c r="M1106" s="70">
        <f>PRODUCT($L$2:L1106)-1</f>
        <v>0.49414335959319589</v>
      </c>
      <c r="N1106" s="70">
        <f>PRODUCT($L$909:L1106)-1</f>
        <v>0.1806927431542602</v>
      </c>
      <c r="O1106" s="70">
        <f>AVERAGE($G$909:G1106)*252</f>
        <v>0.35607459125933605</v>
      </c>
      <c r="P1106" s="70">
        <f>STDEV($G$909:G1106)*252^0.5</f>
        <v>0.53719326268468859</v>
      </c>
      <c r="Q1106" s="67">
        <f t="shared" si="254"/>
        <v>7791106.6034252048</v>
      </c>
      <c r="R1106" s="70">
        <f t="shared" si="272"/>
        <v>0.12928668901772949</v>
      </c>
      <c r="S1106" s="67">
        <f t="shared" si="255"/>
        <v>13306728.244336605</v>
      </c>
      <c r="T1106" s="70">
        <f t="shared" si="273"/>
        <v>0.24306023889005615</v>
      </c>
      <c r="U1106" s="67">
        <f t="shared" si="256"/>
        <v>34827267.274336606</v>
      </c>
      <c r="V1106" s="70">
        <f t="shared" si="274"/>
        <v>1.0481904241732161</v>
      </c>
      <c r="W1106" s="87">
        <f t="shared" si="264"/>
        <v>0.66284262293203389</v>
      </c>
      <c r="X1106" s="142">
        <f t="shared" si="253"/>
        <v>1.7857142857142857E-4</v>
      </c>
      <c r="Y1106" s="139">
        <f t="shared" si="265"/>
        <v>3.456242666469396E-2</v>
      </c>
      <c r="Z1106" s="139">
        <f t="shared" si="266"/>
        <v>0</v>
      </c>
      <c r="AA1106" s="139">
        <f t="shared" si="267"/>
        <v>0</v>
      </c>
      <c r="AB1106" s="144">
        <f t="shared" si="268"/>
        <v>5.1032281939437265</v>
      </c>
      <c r="AC1106" s="144">
        <f t="shared" si="269"/>
        <v>-5.6025095661105369E-2</v>
      </c>
      <c r="AD1106" s="144">
        <f t="shared" si="270"/>
        <v>-5.8857097407057746E-2</v>
      </c>
      <c r="AE1106" s="144">
        <f t="shared" si="271"/>
        <v>-4.7122678790623804E-2</v>
      </c>
    </row>
    <row r="1107" spans="1:31">
      <c r="A1107" s="88">
        <v>45572</v>
      </c>
      <c r="B1107" s="78">
        <v>67645256.446463093</v>
      </c>
      <c r="D1107" s="67">
        <f t="shared" si="252"/>
        <v>67645256.446463093</v>
      </c>
      <c r="E1107" s="67">
        <f t="shared" si="257"/>
        <v>65466153.520501398</v>
      </c>
      <c r="F1107" s="67">
        <f t="shared" si="258"/>
        <v>-408098.8278735131</v>
      </c>
      <c r="G1107" s="70">
        <f t="shared" si="275"/>
        <v>-5.996748084328621E-3</v>
      </c>
      <c r="H1107" s="67">
        <f t="shared" si="276"/>
        <v>-408098.8278735131</v>
      </c>
      <c r="I1107" s="70">
        <f t="shared" si="277"/>
        <v>-5.996748084328621E-3</v>
      </c>
      <c r="J1107" s="67">
        <f t="shared" si="259"/>
        <v>2179102.9259616956</v>
      </c>
      <c r="K1107" s="70">
        <f t="shared" si="278"/>
        <v>3.3285947146402428E-2</v>
      </c>
      <c r="L1107" s="70">
        <f t="shared" si="263"/>
        <v>0.9940032519156714</v>
      </c>
      <c r="M1107" s="70">
        <f>PRODUCT($L$2:L1107)-1</f>
        <v>0.48518335826384318</v>
      </c>
      <c r="N1107" s="70">
        <f>PRODUCT($L$909:L1107)-1</f>
        <v>0.1736124262085692</v>
      </c>
      <c r="O1107" s="70">
        <f>AVERAGE($G$909:G1107)*252</f>
        <v>0.34669139975928503</v>
      </c>
      <c r="P1107" s="70">
        <f>STDEV($G$909:G1107)*252^0.5</f>
        <v>0.53589987024014829</v>
      </c>
      <c r="Q1107" s="67">
        <f t="shared" si="254"/>
        <v>4139891.1578140929</v>
      </c>
      <c r="R1107" s="70">
        <f t="shared" si="272"/>
        <v>6.5189628293564991E-2</v>
      </c>
      <c r="S1107" s="67">
        <f t="shared" si="255"/>
        <v>12341587.866463095</v>
      </c>
      <c r="T1107" s="70">
        <f t="shared" si="273"/>
        <v>0.22316038308761135</v>
      </c>
      <c r="U1107" s="67">
        <f t="shared" si="256"/>
        <v>33531733.916463092</v>
      </c>
      <c r="V1107" s="70">
        <f t="shared" si="274"/>
        <v>0.98294551338035308</v>
      </c>
      <c r="W1107" s="87">
        <f t="shared" si="264"/>
        <v>0.6469331660855322</v>
      </c>
      <c r="X1107" s="142">
        <f t="shared" si="253"/>
        <v>1.7857142857142857E-4</v>
      </c>
      <c r="Y1107" s="139">
        <f t="shared" si="265"/>
        <v>-6.17531951290005E-3</v>
      </c>
      <c r="Z1107" s="139">
        <f t="shared" si="266"/>
        <v>-6.17531951290005E-3</v>
      </c>
      <c r="AA1107" s="139">
        <f t="shared" si="267"/>
        <v>3.813457108640411E-5</v>
      </c>
      <c r="AB1107" s="144">
        <f t="shared" si="268"/>
        <v>5.2144051422407394</v>
      </c>
      <c r="AC1107" s="144">
        <f t="shared" si="269"/>
        <v>-5.377290062050908E-2</v>
      </c>
      <c r="AD1107" s="144">
        <f t="shared" si="270"/>
        <v>-5.854061261849941E-2</v>
      </c>
      <c r="AE1107" s="144">
        <f t="shared" si="271"/>
        <v>-4.7127524253361537E-2</v>
      </c>
    </row>
    <row r="1108" spans="1:31">
      <c r="A1108" s="88">
        <v>45573</v>
      </c>
      <c r="B1108" s="78">
        <v>68642659.184191197</v>
      </c>
      <c r="D1108" s="67">
        <f t="shared" si="252"/>
        <v>68642659.184191197</v>
      </c>
      <c r="E1108" s="67">
        <f t="shared" si="257"/>
        <v>65466153.520501398</v>
      </c>
      <c r="F1108" s="67">
        <f t="shared" si="258"/>
        <v>997402.737728104</v>
      </c>
      <c r="G1108" s="70">
        <f t="shared" si="275"/>
        <v>1.4744607236687537E-2</v>
      </c>
      <c r="H1108" s="67">
        <f t="shared" si="276"/>
        <v>589303.90985459089</v>
      </c>
      <c r="I1108" s="70">
        <f t="shared" si="277"/>
        <v>8.7478591523589173E-3</v>
      </c>
      <c r="J1108" s="67">
        <f t="shared" si="259"/>
        <v>3176505.6636897996</v>
      </c>
      <c r="K1108" s="70">
        <f t="shared" si="278"/>
        <v>4.8521342600264639E-2</v>
      </c>
      <c r="L1108" s="70">
        <f t="shared" si="263"/>
        <v>1.0147446072366875</v>
      </c>
      <c r="M1108" s="70">
        <f>PRODUCT($L$2:L1108)-1</f>
        <v>0.50708180355590793</v>
      </c>
      <c r="N1108" s="70">
        <f>PRODUCT($L$909:L1108)-1</f>
        <v>0.19091688048111033</v>
      </c>
      <c r="O1108" s="70">
        <f>AVERAGE($G$909:G1108)*252</f>
        <v>0.36353614787871491</v>
      </c>
      <c r="P1108" s="70">
        <f>STDEV($G$909:G1108)*252^0.5</f>
        <v>0.53476228984982244</v>
      </c>
      <c r="Q1108" s="67">
        <f t="shared" si="254"/>
        <v>6259825.6719789952</v>
      </c>
      <c r="R1108" s="70">
        <f t="shared" si="272"/>
        <v>0.10034532449946439</v>
      </c>
      <c r="S1108" s="67">
        <f t="shared" si="255"/>
        <v>12256646.854191199</v>
      </c>
      <c r="T1108" s="70">
        <f t="shared" si="273"/>
        <v>0.21737034324149376</v>
      </c>
      <c r="U1108" s="67">
        <f t="shared" si="256"/>
        <v>34225266.354191199</v>
      </c>
      <c r="V1108" s="70">
        <f t="shared" si="274"/>
        <v>0.99441775044502112</v>
      </c>
      <c r="W1108" s="87">
        <f t="shared" si="264"/>
        <v>0.67980886980794208</v>
      </c>
      <c r="X1108" s="142">
        <f t="shared" si="253"/>
        <v>1.7857142857142857E-4</v>
      </c>
      <c r="Y1108" s="139">
        <f t="shared" si="265"/>
        <v>1.4566035808116108E-2</v>
      </c>
      <c r="Z1108" s="139">
        <f t="shared" si="266"/>
        <v>0</v>
      </c>
      <c r="AA1108" s="139">
        <f t="shared" si="267"/>
        <v>0</v>
      </c>
      <c r="AB1108" s="144">
        <f t="shared" si="268"/>
        <v>5.201330309860638</v>
      </c>
      <c r="AC1108" s="144">
        <f t="shared" si="269"/>
        <v>-5.3175712846879511E-2</v>
      </c>
      <c r="AD1108" s="144">
        <f t="shared" si="270"/>
        <v>-5.85122184017682E-2</v>
      </c>
      <c r="AE1108" s="144">
        <f t="shared" si="271"/>
        <v>-4.7126664962039815E-2</v>
      </c>
    </row>
    <row r="1109" spans="1:31">
      <c r="A1109" s="88">
        <v>45574</v>
      </c>
      <c r="B1109" s="78">
        <v>69303142.322780207</v>
      </c>
      <c r="D1109" s="67">
        <f t="shared" si="252"/>
        <v>69303142.322780207</v>
      </c>
      <c r="E1109" s="67">
        <f t="shared" si="257"/>
        <v>65466153.520501398</v>
      </c>
      <c r="F1109" s="67">
        <f t="shared" si="258"/>
        <v>660483.13858900964</v>
      </c>
      <c r="G1109" s="70">
        <f t="shared" si="275"/>
        <v>9.6220505796069562E-3</v>
      </c>
      <c r="H1109" s="67">
        <f t="shared" si="276"/>
        <v>1249787.0484436005</v>
      </c>
      <c r="I1109" s="70">
        <f t="shared" si="277"/>
        <v>1.8369909731965874E-2</v>
      </c>
      <c r="J1109" s="67">
        <f t="shared" si="259"/>
        <v>3836988.8022788092</v>
      </c>
      <c r="K1109" s="70">
        <f t="shared" si="278"/>
        <v>5.8610267992561749E-2</v>
      </c>
      <c r="L1109" s="70">
        <f t="shared" si="263"/>
        <v>1.009622050579607</v>
      </c>
      <c r="M1109" s="70">
        <f>PRODUCT($L$2:L1109)-1</f>
        <v>0.52158302089732822</v>
      </c>
      <c r="N1109" s="70">
        <f>PRODUCT($L$909:L1109)-1</f>
        <v>0.20237594294120731</v>
      </c>
      <c r="O1109" s="70">
        <f>AVERAGE($G$909:G1109)*252</f>
        <v>0.37379097672539274</v>
      </c>
      <c r="P1109" s="70">
        <f>STDEV($G$909:G1109)*252^0.5</f>
        <v>0.53350232608619375</v>
      </c>
      <c r="Q1109" s="67">
        <f t="shared" ref="Q1109:Q1140" si="279">B1109-C1109-D1078</f>
        <v>6112756.4311885089</v>
      </c>
      <c r="R1109" s="70">
        <f t="shared" si="272"/>
        <v>9.6735545208972845E-2</v>
      </c>
      <c r="S1109" s="67">
        <f t="shared" ref="S1109:S1140" si="280">B1109-C1109-D1018</f>
        <v>14202886.312780209</v>
      </c>
      <c r="T1109" s="70">
        <f t="shared" si="273"/>
        <v>0.25776443416528888</v>
      </c>
      <c r="U1109" s="67">
        <f t="shared" ref="U1109:U1140" si="281">B1109-C1109-D743</f>
        <v>35314957.082780205</v>
      </c>
      <c r="V1109" s="70">
        <f t="shared" si="274"/>
        <v>1.0390362660851558</v>
      </c>
      <c r="W1109" s="87">
        <f t="shared" si="264"/>
        <v>0.70063607682378182</v>
      </c>
      <c r="X1109" s="142">
        <f t="shared" si="253"/>
        <v>1.7857142857142857E-4</v>
      </c>
      <c r="Y1109" s="139">
        <f t="shared" si="265"/>
        <v>9.4434791510355272E-3</v>
      </c>
      <c r="Z1109" s="139">
        <f t="shared" si="266"/>
        <v>0</v>
      </c>
      <c r="AA1109" s="139">
        <f t="shared" si="267"/>
        <v>0</v>
      </c>
      <c r="AB1109" s="144">
        <f t="shared" si="268"/>
        <v>5.3259448574292509</v>
      </c>
      <c r="AC1109" s="144">
        <f t="shared" si="269"/>
        <v>-5.2000023705061356E-2</v>
      </c>
      <c r="AD1109" s="144">
        <f t="shared" si="270"/>
        <v>-5.8563581294285301E-2</v>
      </c>
      <c r="AE1109" s="144">
        <f t="shared" si="271"/>
        <v>-4.7125488563034265E-2</v>
      </c>
    </row>
    <row r="1110" spans="1:31">
      <c r="A1110" s="88">
        <v>45575</v>
      </c>
      <c r="B1110" s="78">
        <v>69906175.585444197</v>
      </c>
      <c r="D1110" s="67">
        <f t="shared" si="252"/>
        <v>69906175.585444197</v>
      </c>
      <c r="E1110" s="67">
        <f t="shared" ref="E1110:E1141" si="282">IF(MONTH(A1110)=MONTH(A1109),E1109,D1109)</f>
        <v>65466153.520501398</v>
      </c>
      <c r="F1110" s="67">
        <f t="shared" ref="F1110:F1141" si="283">B1110-C1110-D1109</f>
        <v>603033.26266399026</v>
      </c>
      <c r="G1110" s="70">
        <f t="shared" si="275"/>
        <v>8.7013841285198245E-3</v>
      </c>
      <c r="H1110" s="67">
        <f t="shared" si="276"/>
        <v>1852820.3111075908</v>
      </c>
      <c r="I1110" s="70">
        <f t="shared" si="277"/>
        <v>2.70712938604857E-2</v>
      </c>
      <c r="J1110" s="67">
        <f t="shared" ref="J1110:J1141" si="284">IF(MONTH(A1110)=MONTH(A1109),J1109+F1110,F1110)</f>
        <v>4440022.0649427995</v>
      </c>
      <c r="K1110" s="70">
        <f t="shared" si="278"/>
        <v>6.7821642576760155E-2</v>
      </c>
      <c r="L1110" s="70">
        <f t="shared" si="263"/>
        <v>1.0087013841285197</v>
      </c>
      <c r="M1110" s="70">
        <f>PRODUCT($L$2:L1110)-1</f>
        <v>0.53482289924558923</v>
      </c>
      <c r="N1110" s="70">
        <f>PRODUCT($L$909:L1110)-1</f>
        <v>0.21283827788762988</v>
      </c>
      <c r="O1110" s="70">
        <f>AVERAGE($G$909:G1110)*252</f>
        <v>0.3827957184266878</v>
      </c>
      <c r="P1110" s="70">
        <f>STDEV($G$909:G1110)*252^0.5</f>
        <v>0.53223461509218084</v>
      </c>
      <c r="Q1110" s="67">
        <f t="shared" si="279"/>
        <v>8517639.6294925958</v>
      </c>
      <c r="R1110" s="70">
        <f t="shared" si="272"/>
        <v>0.1387496785328827</v>
      </c>
      <c r="S1110" s="67">
        <f t="shared" si="280"/>
        <v>12252565.885444194</v>
      </c>
      <c r="T1110" s="70">
        <f t="shared" si="273"/>
        <v>0.21252035994277377</v>
      </c>
      <c r="U1110" s="67">
        <f t="shared" si="281"/>
        <v>36019677.975444198</v>
      </c>
      <c r="V1110" s="70">
        <f t="shared" si="274"/>
        <v>1.0629507478168736</v>
      </c>
      <c r="W1110" s="87">
        <f t="shared" si="264"/>
        <v>0.71922364230366553</v>
      </c>
      <c r="X1110" s="142">
        <f t="shared" si="253"/>
        <v>1.7857142857142857E-4</v>
      </c>
      <c r="Y1110" s="139">
        <f t="shared" si="265"/>
        <v>8.5228126999483955E-3</v>
      </c>
      <c r="Z1110" s="139">
        <f t="shared" si="266"/>
        <v>0</v>
      </c>
      <c r="AA1110" s="139">
        <f t="shared" si="267"/>
        <v>0</v>
      </c>
      <c r="AB1110" s="144">
        <f t="shared" si="268"/>
        <v>5.5987742997061671</v>
      </c>
      <c r="AC1110" s="144">
        <f t="shared" si="269"/>
        <v>-5.2087094023508355E-2</v>
      </c>
      <c r="AD1110" s="144">
        <f t="shared" si="270"/>
        <v>-5.806842705932809E-2</v>
      </c>
      <c r="AE1110" s="144">
        <f t="shared" si="271"/>
        <v>-4.7055072104946895E-2</v>
      </c>
    </row>
    <row r="1111" spans="1:31">
      <c r="A1111" s="88">
        <v>45576</v>
      </c>
      <c r="B1111" s="78">
        <v>71568160.597763598</v>
      </c>
      <c r="D1111" s="67">
        <f t="shared" si="252"/>
        <v>71568160.597763598</v>
      </c>
      <c r="E1111" s="67">
        <f t="shared" si="282"/>
        <v>65466153.520501398</v>
      </c>
      <c r="F1111" s="67">
        <f t="shared" si="283"/>
        <v>1661985.0123194009</v>
      </c>
      <c r="G1111" s="70">
        <f t="shared" si="275"/>
        <v>2.3774509167477014E-2</v>
      </c>
      <c r="H1111" s="67">
        <f t="shared" si="276"/>
        <v>3514805.3234269917</v>
      </c>
      <c r="I1111" s="70">
        <f t="shared" si="277"/>
        <v>5.084580302796271E-2</v>
      </c>
      <c r="J1111" s="67">
        <f t="shared" si="284"/>
        <v>6102007.0772622004</v>
      </c>
      <c r="K1111" s="70">
        <f t="shared" si="278"/>
        <v>9.3208578007431653E-2</v>
      </c>
      <c r="L1111" s="70">
        <f t="shared" si="263"/>
        <v>1.023774509167477</v>
      </c>
      <c r="M1111" s="70">
        <f>PRODUCT($L$2:L1111)-1</f>
        <v>0.57131256033415712</v>
      </c>
      <c r="N1111" s="70">
        <f>PRODUCT($L$909:L1111)-1</f>
        <v>0.24167291264393631</v>
      </c>
      <c r="O1111" s="70">
        <f>AVERAGE($G$909:G1111)*252</f>
        <v>0.41042320902657708</v>
      </c>
      <c r="P1111" s="70">
        <f>STDEV($G$909:G1111)*252^0.5</f>
        <v>0.5314943118686356</v>
      </c>
      <c r="Q1111" s="67">
        <f t="shared" si="279"/>
        <v>11304294.481885895</v>
      </c>
      <c r="R1111" s="70">
        <f t="shared" si="272"/>
        <v>0.18757997470904966</v>
      </c>
      <c r="S1111" s="67">
        <f t="shared" si="280"/>
        <v>13625244.5177636</v>
      </c>
      <c r="T1111" s="70">
        <f t="shared" si="273"/>
        <v>0.23514944430742224</v>
      </c>
      <c r="U1111" s="67">
        <f t="shared" si="281"/>
        <v>38016285.537763596</v>
      </c>
      <c r="V1111" s="70">
        <f t="shared" si="274"/>
        <v>1.1330599398626753</v>
      </c>
      <c r="W1111" s="87">
        <f t="shared" si="264"/>
        <v>0.77220621154646996</v>
      </c>
      <c r="X1111" s="142">
        <f t="shared" si="253"/>
        <v>1.7857142857142857E-4</v>
      </c>
      <c r="Y1111" s="139">
        <f t="shared" si="265"/>
        <v>2.3595937738905587E-2</v>
      </c>
      <c r="Z1111" s="139">
        <f t="shared" si="266"/>
        <v>0</v>
      </c>
      <c r="AA1111" s="139">
        <f t="shared" si="267"/>
        <v>0</v>
      </c>
      <c r="AB1111" s="144">
        <f t="shared" si="268"/>
        <v>5.9365858520571537</v>
      </c>
      <c r="AC1111" s="144">
        <f t="shared" si="269"/>
        <v>-4.9874343600901469E-2</v>
      </c>
      <c r="AD1111" s="144">
        <f t="shared" si="270"/>
        <v>-5.7960955368886881E-2</v>
      </c>
      <c r="AE1111" s="144">
        <f t="shared" si="271"/>
        <v>-4.701514177733359E-2</v>
      </c>
    </row>
    <row r="1112" spans="1:31">
      <c r="A1112" s="88">
        <v>45579</v>
      </c>
      <c r="B1112" s="78">
        <v>73318170.655941799</v>
      </c>
      <c r="D1112" s="67">
        <f t="shared" si="252"/>
        <v>73318170.655941799</v>
      </c>
      <c r="E1112" s="67">
        <f t="shared" si="282"/>
        <v>65466153.520501398</v>
      </c>
      <c r="F1112" s="67">
        <f t="shared" si="283"/>
        <v>1750010.0581782013</v>
      </c>
      <c r="G1112" s="70">
        <f t="shared" si="275"/>
        <v>2.4452354839938233E-2</v>
      </c>
      <c r="H1112" s="67">
        <f t="shared" si="276"/>
        <v>1750010.0581782013</v>
      </c>
      <c r="I1112" s="70">
        <f t="shared" si="277"/>
        <v>2.4452354839938233E-2</v>
      </c>
      <c r="J1112" s="67">
        <f t="shared" si="284"/>
        <v>7852017.1354404017</v>
      </c>
      <c r="K1112" s="70">
        <f t="shared" si="278"/>
        <v>0.11994010207093364</v>
      </c>
      <c r="L1112" s="70">
        <f t="shared" si="263"/>
        <v>1.0244523548399382</v>
      </c>
      <c r="M1112" s="70">
        <f>PRODUCT($L$2:L1112)-1</f>
        <v>0.6097348526238997</v>
      </c>
      <c r="N1112" s="70">
        <f>PRODUCT($L$909:L1112)-1</f>
        <v>0.27203473929904542</v>
      </c>
      <c r="O1112" s="70">
        <f>AVERAGE($G$909:G1112)*252</f>
        <v>0.43861718064735095</v>
      </c>
      <c r="P1112" s="70">
        <f>STDEV($G$909:G1112)*252^0.5</f>
        <v>0.53079010578655139</v>
      </c>
      <c r="Q1112" s="67">
        <f t="shared" si="279"/>
        <v>11113162.493219502</v>
      </c>
      <c r="R1112" s="70">
        <f t="shared" si="272"/>
        <v>0.17865382260136584</v>
      </c>
      <c r="S1112" s="67">
        <f t="shared" si="280"/>
        <v>16278024.525941797</v>
      </c>
      <c r="T1112" s="70">
        <f t="shared" si="273"/>
        <v>0.28537838049787961</v>
      </c>
      <c r="U1112" s="67">
        <f t="shared" si="281"/>
        <v>39159500.375941798</v>
      </c>
      <c r="V1112" s="70">
        <f t="shared" si="274"/>
        <v>1.1464000224525659</v>
      </c>
      <c r="W1112" s="87">
        <f t="shared" si="264"/>
        <v>0.82634769538024078</v>
      </c>
      <c r="X1112" s="142">
        <f t="shared" si="253"/>
        <v>1.7857142857142857E-4</v>
      </c>
      <c r="Y1112" s="139">
        <f t="shared" si="265"/>
        <v>2.4273783411366805E-2</v>
      </c>
      <c r="Z1112" s="139">
        <f t="shared" si="266"/>
        <v>0</v>
      </c>
      <c r="AA1112" s="139">
        <f t="shared" si="267"/>
        <v>0</v>
      </c>
      <c r="AB1112" s="144">
        <f t="shared" si="268"/>
        <v>6.4003570113038473</v>
      </c>
      <c r="AC1112" s="144">
        <f t="shared" si="269"/>
        <v>-4.8327724345293761E-2</v>
      </c>
      <c r="AD1112" s="144">
        <f t="shared" si="270"/>
        <v>-5.7861397769960639E-2</v>
      </c>
      <c r="AE1112" s="144">
        <f t="shared" si="271"/>
        <v>-4.6947491478606489E-2</v>
      </c>
    </row>
    <row r="1113" spans="1:31">
      <c r="A1113" s="88">
        <v>45580</v>
      </c>
      <c r="B1113" s="78">
        <v>69786815.498322502</v>
      </c>
      <c r="D1113" s="67">
        <f t="shared" si="252"/>
        <v>69786815.498322502</v>
      </c>
      <c r="E1113" s="67">
        <f t="shared" si="282"/>
        <v>65466153.520501398</v>
      </c>
      <c r="F1113" s="67">
        <f t="shared" si="283"/>
        <v>-3531355.1576192975</v>
      </c>
      <c r="G1113" s="70">
        <f t="shared" si="275"/>
        <v>-4.8164801795052857E-2</v>
      </c>
      <c r="H1113" s="67">
        <f t="shared" si="276"/>
        <v>-1781345.0994410962</v>
      </c>
      <c r="I1113" s="70">
        <f t="shared" si="277"/>
        <v>-2.3712446955114624E-2</v>
      </c>
      <c r="J1113" s="67">
        <f t="shared" si="284"/>
        <v>4320661.9778211042</v>
      </c>
      <c r="K1113" s="70">
        <f t="shared" si="278"/>
        <v>6.5998409032355765E-2</v>
      </c>
      <c r="L1113" s="70">
        <f t="shared" si="263"/>
        <v>0.95183519820494711</v>
      </c>
      <c r="M1113" s="70">
        <f>PRODUCT($L$2:L1113)-1</f>
        <v>0.53220229250468098</v>
      </c>
      <c r="N1113" s="70">
        <f>PRODUCT($L$909:L1113)-1</f>
        <v>0.21076743820428523</v>
      </c>
      <c r="O1113" s="70">
        <f>AVERAGE($G$909:G1113)*252</f>
        <v>0.37727012097417689</v>
      </c>
      <c r="P1113" s="70">
        <f>STDEV($G$909:G1113)*252^0.5</f>
        <v>0.53237074802610007</v>
      </c>
      <c r="Q1113" s="67">
        <f t="shared" si="279"/>
        <v>7825425.8037047982</v>
      </c>
      <c r="R1113" s="70">
        <f t="shared" si="272"/>
        <v>0.12629519515738938</v>
      </c>
      <c r="S1113" s="67">
        <f t="shared" si="280"/>
        <v>12055552.858322501</v>
      </c>
      <c r="T1113" s="70">
        <f t="shared" si="273"/>
        <v>0.20882191566635899</v>
      </c>
      <c r="U1113" s="67">
        <f t="shared" si="281"/>
        <v>34831263.528322503</v>
      </c>
      <c r="V1113" s="70">
        <f t="shared" si="274"/>
        <v>0.99644438623700848</v>
      </c>
      <c r="W1113" s="87">
        <f t="shared" si="264"/>
        <v>0.70866050092534538</v>
      </c>
      <c r="X1113" s="142">
        <f t="shared" si="253"/>
        <v>1.7857142857142857E-4</v>
      </c>
      <c r="Y1113" s="139">
        <f t="shared" si="265"/>
        <v>-4.8343373223624288E-2</v>
      </c>
      <c r="Z1113" s="139">
        <f t="shared" si="266"/>
        <v>-4.8343373223624288E-2</v>
      </c>
      <c r="AA1113" s="139">
        <f t="shared" si="267"/>
        <v>2.3370817346386337E-3</v>
      </c>
      <c r="AB1113" s="144">
        <f t="shared" si="268"/>
        <v>5.8972995760100488</v>
      </c>
      <c r="AC1113" s="144">
        <f t="shared" si="269"/>
        <v>-5.2537991769835063E-2</v>
      </c>
      <c r="AD1113" s="144">
        <f t="shared" si="270"/>
        <v>-5.8765867924830822E-2</v>
      </c>
      <c r="AE1113" s="144">
        <f t="shared" si="271"/>
        <v>-4.7299324587263686E-2</v>
      </c>
    </row>
    <row r="1114" spans="1:31">
      <c r="A1114" s="88">
        <v>45581</v>
      </c>
      <c r="B1114" s="78">
        <v>71405431.660173804</v>
      </c>
      <c r="D1114" s="67">
        <f t="shared" si="252"/>
        <v>71405431.660173804</v>
      </c>
      <c r="E1114" s="67">
        <f t="shared" si="282"/>
        <v>65466153.520501398</v>
      </c>
      <c r="F1114" s="67">
        <f t="shared" si="283"/>
        <v>1618616.1618513018</v>
      </c>
      <c r="G1114" s="70">
        <f t="shared" si="275"/>
        <v>2.3193724348837916E-2</v>
      </c>
      <c r="H1114" s="67">
        <f t="shared" si="276"/>
        <v>-162728.9375897944</v>
      </c>
      <c r="I1114" s="70">
        <f t="shared" si="277"/>
        <v>-5.1872260627670863E-4</v>
      </c>
      <c r="J1114" s="67">
        <f t="shared" si="284"/>
        <v>5939278.139672406</v>
      </c>
      <c r="K1114" s="70">
        <f t="shared" si="278"/>
        <v>9.0722882287751938E-2</v>
      </c>
      <c r="L1114" s="70">
        <f t="shared" si="263"/>
        <v>1.0231937243488378</v>
      </c>
      <c r="M1114" s="70">
        <f>PRODUCT($L$2:L1114)-1</f>
        <v>0.56773977012369192</v>
      </c>
      <c r="N1114" s="70">
        <f>PRODUCT($L$909:L1114)-1</f>
        <v>0.23884964441654399</v>
      </c>
      <c r="O1114" s="70">
        <f>AVERAGE($G$909:G1114)*252</f>
        <v>0.40381161813404576</v>
      </c>
      <c r="P1114" s="70">
        <f>STDEV($G$909:G1114)*252^0.5</f>
        <v>0.53161258857288562</v>
      </c>
      <c r="Q1114" s="67">
        <f t="shared" si="279"/>
        <v>15706798.553078905</v>
      </c>
      <c r="R1114" s="70">
        <f t="shared" si="272"/>
        <v>0.28199612229044396</v>
      </c>
      <c r="S1114" s="67">
        <f t="shared" si="280"/>
        <v>14034262.3901738</v>
      </c>
      <c r="T1114" s="70">
        <f t="shared" si="273"/>
        <v>0.244622213016538</v>
      </c>
      <c r="U1114" s="67">
        <f t="shared" si="281"/>
        <v>36693363.740173802</v>
      </c>
      <c r="V1114" s="70">
        <f t="shared" si="274"/>
        <v>1.0570780117375906</v>
      </c>
      <c r="W1114" s="87">
        <f t="shared" si="264"/>
        <v>0.75959754681144465</v>
      </c>
      <c r="X1114" s="142">
        <f t="shared" si="253"/>
        <v>1.7857142857142857E-4</v>
      </c>
      <c r="Y1114" s="139">
        <f t="shared" si="265"/>
        <v>2.3015152920266489E-2</v>
      </c>
      <c r="Z1114" s="139">
        <f t="shared" si="266"/>
        <v>0</v>
      </c>
      <c r="AA1114" s="139">
        <f t="shared" si="267"/>
        <v>0</v>
      </c>
      <c r="AB1114" s="144">
        <f t="shared" si="268"/>
        <v>5.9295509427794544</v>
      </c>
      <c r="AC1114" s="144">
        <f t="shared" si="269"/>
        <v>-5.1893617947601882E-2</v>
      </c>
      <c r="AD1114" s="144">
        <f t="shared" si="270"/>
        <v>-5.8725090870731203E-2</v>
      </c>
      <c r="AE1114" s="144">
        <f t="shared" si="271"/>
        <v>-4.7299265803806188E-2</v>
      </c>
    </row>
    <row r="1115" spans="1:31">
      <c r="A1115" s="88">
        <v>45582</v>
      </c>
      <c r="B1115" s="78">
        <v>73233905.644602194</v>
      </c>
      <c r="D1115" s="67">
        <f t="shared" si="252"/>
        <v>73233905.644602194</v>
      </c>
      <c r="E1115" s="67">
        <f t="shared" si="282"/>
        <v>65466153.520501398</v>
      </c>
      <c r="F1115" s="67">
        <f t="shared" si="283"/>
        <v>1828473.9844283909</v>
      </c>
      <c r="G1115" s="70">
        <f t="shared" si="275"/>
        <v>2.5606931320439275E-2</v>
      </c>
      <c r="H1115" s="67">
        <f t="shared" si="276"/>
        <v>1665745.0468385965</v>
      </c>
      <c r="I1115" s="70">
        <f t="shared" si="277"/>
        <v>2.5088208714162567E-2</v>
      </c>
      <c r="J1115" s="67">
        <f t="shared" si="284"/>
        <v>7767752.1241007969</v>
      </c>
      <c r="K1115" s="70">
        <f t="shared" si="278"/>
        <v>0.11865294822412586</v>
      </c>
      <c r="L1115" s="70">
        <f t="shared" si="263"/>
        <v>1.0256069313204392</v>
      </c>
      <c r="M1115" s="70">
        <f>PRODUCT($L$2:L1115)-1</f>
        <v>0.60788477474557046</v>
      </c>
      <c r="N1115" s="70">
        <f>PRODUCT($L$909:L1115)-1</f>
        <v>0.27057278217746905</v>
      </c>
      <c r="O1115" s="70">
        <f>AVERAGE($G$909:G1115)*252</f>
        <v>0.43303449289064799</v>
      </c>
      <c r="P1115" s="70">
        <f>STDEV($G$909:G1115)*252^0.5</f>
        <v>0.53098165910745077</v>
      </c>
      <c r="Q1115" s="67">
        <f t="shared" si="279"/>
        <v>18852395.278620191</v>
      </c>
      <c r="R1115" s="70">
        <f t="shared" si="272"/>
        <v>0.34666921076199425</v>
      </c>
      <c r="S1115" s="67">
        <f t="shared" si="280"/>
        <v>13783304.664602198</v>
      </c>
      <c r="T1115" s="70">
        <f t="shared" si="273"/>
        <v>0.23184466493852757</v>
      </c>
      <c r="U1115" s="67">
        <f t="shared" si="281"/>
        <v>38770029.734602198</v>
      </c>
      <c r="V1115" s="70">
        <f t="shared" si="274"/>
        <v>1.1249468816521804</v>
      </c>
      <c r="W1115" s="87">
        <f t="shared" si="264"/>
        <v>0.81553568840504542</v>
      </c>
      <c r="X1115" s="142">
        <f t="shared" si="253"/>
        <v>1.7857142857142857E-4</v>
      </c>
      <c r="Y1115" s="139">
        <f t="shared" si="265"/>
        <v>2.5428359891867848E-2</v>
      </c>
      <c r="Z1115" s="139">
        <f t="shared" si="266"/>
        <v>0</v>
      </c>
      <c r="AA1115" s="139">
        <f t="shared" si="267"/>
        <v>0</v>
      </c>
      <c r="AB1115" s="144">
        <f t="shared" si="268"/>
        <v>6.5674736546949273</v>
      </c>
      <c r="AC1115" s="144">
        <f t="shared" si="269"/>
        <v>-3.8449982299267139E-2</v>
      </c>
      <c r="AD1115" s="144">
        <f t="shared" si="270"/>
        <v>-5.8481477453283727E-2</v>
      </c>
      <c r="AE1115" s="144">
        <f t="shared" si="271"/>
        <v>-4.724530488473707E-2</v>
      </c>
    </row>
    <row r="1116" spans="1:31">
      <c r="A1116" s="88">
        <v>45583</v>
      </c>
      <c r="B1116" s="78">
        <v>74201919.757220402</v>
      </c>
      <c r="D1116" s="67">
        <f t="shared" si="252"/>
        <v>74201919.757220402</v>
      </c>
      <c r="E1116" s="67">
        <f t="shared" si="282"/>
        <v>65466153.520501398</v>
      </c>
      <c r="F1116" s="67">
        <f t="shared" si="283"/>
        <v>968014.11261820793</v>
      </c>
      <c r="G1116" s="70">
        <f t="shared" si="275"/>
        <v>1.3218113988292481E-2</v>
      </c>
      <c r="H1116" s="67">
        <f t="shared" si="276"/>
        <v>2633759.1594568044</v>
      </c>
      <c r="I1116" s="70">
        <f t="shared" si="277"/>
        <v>3.8306322702455049E-2</v>
      </c>
      <c r="J1116" s="67">
        <f t="shared" si="284"/>
        <v>8735766.2367190048</v>
      </c>
      <c r="K1116" s="70">
        <f t="shared" si="278"/>
        <v>0.13343943040709183</v>
      </c>
      <c r="L1116" s="70">
        <f t="shared" si="263"/>
        <v>1.0132181139882925</v>
      </c>
      <c r="M1116" s="70">
        <f>PRODUCT($L$2:L1116)-1</f>
        <v>0.62913797897819745</v>
      </c>
      <c r="N1116" s="70">
        <f>PRODUCT($L$909:L1116)-1</f>
        <v>0.28736735804271274</v>
      </c>
      <c r="O1116" s="70">
        <f>AVERAGE($G$909:G1116)*252</f>
        <v>0.44696684977602802</v>
      </c>
      <c r="P1116" s="70">
        <f>STDEV($G$909:G1116)*252^0.5</f>
        <v>0.52984875598208647</v>
      </c>
      <c r="Q1116" s="67">
        <f t="shared" si="279"/>
        <v>19767313.279541902</v>
      </c>
      <c r="R1116" s="70">
        <f t="shared" si="272"/>
        <v>0.36313871925661306</v>
      </c>
      <c r="S1116" s="67">
        <f t="shared" si="280"/>
        <v>14441978.297220401</v>
      </c>
      <c r="T1116" s="70">
        <f t="shared" si="273"/>
        <v>0.24166654023393017</v>
      </c>
      <c r="U1116" s="67">
        <f t="shared" si="281"/>
        <v>40772652.557220399</v>
      </c>
      <c r="V1116" s="70">
        <f t="shared" si="274"/>
        <v>1.21966934881601</v>
      </c>
      <c r="W1116" s="87">
        <f t="shared" si="264"/>
        <v>0.84357440633707825</v>
      </c>
      <c r="X1116" s="142">
        <f t="shared" si="253"/>
        <v>1.7857142857142857E-4</v>
      </c>
      <c r="Y1116" s="139">
        <f t="shared" si="265"/>
        <v>1.3039542559721052E-2</v>
      </c>
      <c r="Z1116" s="139">
        <f t="shared" si="266"/>
        <v>0</v>
      </c>
      <c r="AA1116" s="139">
        <f t="shared" si="267"/>
        <v>0</v>
      </c>
      <c r="AB1116" s="144">
        <f t="shared" si="268"/>
        <v>7.0556326794860462</v>
      </c>
      <c r="AC1116" s="144">
        <f t="shared" si="269"/>
        <v>-3.6277688974436451E-2</v>
      </c>
      <c r="AD1116" s="144">
        <f t="shared" si="270"/>
        <v>-5.8490710785742618E-2</v>
      </c>
      <c r="AE1116" s="144">
        <f t="shared" si="271"/>
        <v>-4.7192199254016076E-2</v>
      </c>
    </row>
    <row r="1117" spans="1:31">
      <c r="A1117" s="88">
        <v>45586</v>
      </c>
      <c r="B1117" s="78">
        <v>74623096.259609193</v>
      </c>
      <c r="D1117" s="67">
        <f t="shared" si="252"/>
        <v>74623096.259609193</v>
      </c>
      <c r="E1117" s="67">
        <f t="shared" si="282"/>
        <v>65466153.520501398</v>
      </c>
      <c r="F1117" s="67">
        <f t="shared" si="283"/>
        <v>421176.50238879025</v>
      </c>
      <c r="G1117" s="70">
        <f t="shared" si="275"/>
        <v>5.6760863299336215E-3</v>
      </c>
      <c r="H1117" s="67">
        <f t="shared" si="276"/>
        <v>421176.50238879025</v>
      </c>
      <c r="I1117" s="70">
        <f t="shared" si="277"/>
        <v>5.6760863299336215E-3</v>
      </c>
      <c r="J1117" s="67">
        <f t="shared" si="284"/>
        <v>9156942.7391077951</v>
      </c>
      <c r="K1117" s="70">
        <f t="shared" si="278"/>
        <v>0.13987293046383331</v>
      </c>
      <c r="L1117" s="70">
        <f t="shared" si="263"/>
        <v>1.0056760863299337</v>
      </c>
      <c r="M1117" s="70">
        <f>PRODUCT($L$2:L1117)-1</f>
        <v>0.63838510679025129</v>
      </c>
      <c r="N1117" s="70">
        <f>PRODUCT($L$909:L1117)-1</f>
        <v>0.29467456630530187</v>
      </c>
      <c r="O1117" s="70">
        <f>AVERAGE($G$909:G1117)*252</f>
        <v>0.45167214597395744</v>
      </c>
      <c r="P1117" s="70">
        <f>STDEV($G$909:G1117)*252^0.5</f>
        <v>0.52859091562997607</v>
      </c>
      <c r="Q1117" s="67">
        <f t="shared" si="279"/>
        <v>23647542.410486892</v>
      </c>
      <c r="R1117" s="70">
        <f t="shared" si="272"/>
        <v>0.46389966611209377</v>
      </c>
      <c r="S1117" s="67">
        <f t="shared" si="280"/>
        <v>14863727.822149493</v>
      </c>
      <c r="T1117" s="70">
        <f t="shared" si="273"/>
        <v>0.24872632042128945</v>
      </c>
      <c r="U1117" s="67">
        <f t="shared" si="281"/>
        <v>41735793.089609191</v>
      </c>
      <c r="V1117" s="70">
        <f t="shared" si="274"/>
        <v>1.2690548955586249</v>
      </c>
      <c r="W1117" s="87">
        <f t="shared" si="264"/>
        <v>0.85448336817452375</v>
      </c>
      <c r="X1117" s="142">
        <f t="shared" si="253"/>
        <v>1.7857142857142857E-4</v>
      </c>
      <c r="Y1117" s="139">
        <f t="shared" si="265"/>
        <v>5.4975149013621926E-3</v>
      </c>
      <c r="Z1117" s="139">
        <f t="shared" si="266"/>
        <v>0</v>
      </c>
      <c r="AA1117" s="139">
        <f t="shared" si="267"/>
        <v>0</v>
      </c>
      <c r="AB1117" s="144">
        <f t="shared" si="268"/>
        <v>7.0275424917386555</v>
      </c>
      <c r="AC1117" s="144">
        <f t="shared" si="269"/>
        <v>-3.6068800154055336E-2</v>
      </c>
      <c r="AD1117" s="144">
        <f t="shared" si="270"/>
        <v>-5.8486144459656046E-2</v>
      </c>
      <c r="AE1117" s="144">
        <f t="shared" si="271"/>
        <v>-4.7017547987077239E-2</v>
      </c>
    </row>
    <row r="1118" spans="1:31">
      <c r="A1118" s="88">
        <v>45587</v>
      </c>
      <c r="B1118" s="78">
        <v>74214194.359203994</v>
      </c>
      <c r="D1118" s="67">
        <f t="shared" si="252"/>
        <v>74214194.359203994</v>
      </c>
      <c r="E1118" s="67">
        <f t="shared" si="282"/>
        <v>65466153.520501398</v>
      </c>
      <c r="F1118" s="67">
        <f t="shared" si="283"/>
        <v>-408901.90040519834</v>
      </c>
      <c r="G1118" s="70">
        <f t="shared" si="275"/>
        <v>-5.4795622387826632E-3</v>
      </c>
      <c r="H1118" s="67">
        <f t="shared" si="276"/>
        <v>12274.601983591914</v>
      </c>
      <c r="I1118" s="70">
        <f t="shared" si="277"/>
        <v>1.9652409115095831E-4</v>
      </c>
      <c r="J1118" s="67">
        <f t="shared" si="284"/>
        <v>8748040.8387025967</v>
      </c>
      <c r="K1118" s="70">
        <f t="shared" si="278"/>
        <v>0.13362692579705326</v>
      </c>
      <c r="L1118" s="70">
        <f t="shared" si="263"/>
        <v>0.99452043776121735</v>
      </c>
      <c r="M1118" s="70">
        <f>PRODUCT($L$2:L1118)-1</f>
        <v>0.62940747362649963</v>
      </c>
      <c r="N1118" s="70">
        <f>PRODUCT($L$909:L1118)-1</f>
        <v>0.28758031644026305</v>
      </c>
      <c r="O1118" s="70">
        <f>AVERAGE($G$909:G1118)*252</f>
        <v>0.44294585154468513</v>
      </c>
      <c r="P1118" s="70">
        <f>STDEV($G$909:G1118)*252^0.5</f>
        <v>0.52738499300358044</v>
      </c>
      <c r="Q1118" s="67">
        <f t="shared" si="279"/>
        <v>21342051.548151493</v>
      </c>
      <c r="R1118" s="70">
        <f t="shared" si="272"/>
        <v>0.40365399269745705</v>
      </c>
      <c r="S1118" s="67">
        <f t="shared" si="280"/>
        <v>13759113.899203993</v>
      </c>
      <c r="T1118" s="70">
        <f t="shared" si="273"/>
        <v>0.22759235112270981</v>
      </c>
      <c r="U1118" s="67">
        <f t="shared" si="281"/>
        <v>40247654.679203995</v>
      </c>
      <c r="V1118" s="70">
        <f t="shared" si="274"/>
        <v>1.1849206618742623</v>
      </c>
      <c r="W1118" s="87">
        <f t="shared" si="264"/>
        <v>0.83989089075516787</v>
      </c>
      <c r="X1118" s="142">
        <f t="shared" si="253"/>
        <v>1.7857142857142857E-4</v>
      </c>
      <c r="Y1118" s="139">
        <f t="shared" si="265"/>
        <v>-5.6581336673540922E-3</v>
      </c>
      <c r="Z1118" s="139">
        <f t="shared" si="266"/>
        <v>-5.6581336673540922E-3</v>
      </c>
      <c r="AA1118" s="139">
        <f t="shared" si="267"/>
        <v>3.2014476597645872E-5</v>
      </c>
      <c r="AB1118" s="144">
        <f t="shared" si="268"/>
        <v>6.8159322287497641</v>
      </c>
      <c r="AC1118" s="144">
        <f t="shared" si="269"/>
        <v>-2.8955414098659718E-2</v>
      </c>
      <c r="AD1118" s="144">
        <f t="shared" si="270"/>
        <v>-5.856057187760072E-2</v>
      </c>
      <c r="AE1118" s="144">
        <f t="shared" si="271"/>
        <v>-4.6967041689306641E-2</v>
      </c>
    </row>
    <row r="1119" spans="1:31">
      <c r="A1119" s="88">
        <v>45588</v>
      </c>
      <c r="B1119" s="78">
        <v>71812303.778893396</v>
      </c>
      <c r="D1119" s="67">
        <f t="shared" si="252"/>
        <v>71812303.778893396</v>
      </c>
      <c r="E1119" s="67">
        <f t="shared" si="282"/>
        <v>65466153.520501398</v>
      </c>
      <c r="F1119" s="67">
        <f t="shared" si="283"/>
        <v>-2401890.580310598</v>
      </c>
      <c r="G1119" s="70">
        <f t="shared" si="275"/>
        <v>-3.236430174913995E-2</v>
      </c>
      <c r="H1119" s="67">
        <f t="shared" si="276"/>
        <v>-2389615.9783270061</v>
      </c>
      <c r="I1119" s="70">
        <f t="shared" si="277"/>
        <v>-3.2167777657988991E-2</v>
      </c>
      <c r="J1119" s="67">
        <f t="shared" si="284"/>
        <v>6346150.2583919987</v>
      </c>
      <c r="K1119" s="70">
        <f t="shared" si="278"/>
        <v>9.6937881899607614E-2</v>
      </c>
      <c r="L1119" s="70">
        <f t="shared" si="263"/>
        <v>0.96763569825086004</v>
      </c>
      <c r="M1119" s="70">
        <f>PRODUCT($L$2:L1119)-1</f>
        <v>0.57667283847774775</v>
      </c>
      <c r="N1119" s="70">
        <f>PRODUCT($L$909:L1119)-1</f>
        <v>0.24590867855273735</v>
      </c>
      <c r="O1119" s="70">
        <f>AVERAGE($G$909:G1119)*252</f>
        <v>0.40219348238673269</v>
      </c>
      <c r="P1119" s="70">
        <f>STDEV($G$909:G1119)*252^0.5</f>
        <v>0.52744765814915884</v>
      </c>
      <c r="Q1119" s="67">
        <f t="shared" si="279"/>
        <v>18271489.333841294</v>
      </c>
      <c r="R1119" s="70">
        <f t="shared" si="272"/>
        <v>0.3412628202096733</v>
      </c>
      <c r="S1119" s="67">
        <f t="shared" si="280"/>
        <v>10111180.678893395</v>
      </c>
      <c r="T1119" s="70">
        <f t="shared" si="273"/>
        <v>0.16387352726960969</v>
      </c>
      <c r="U1119" s="67">
        <f t="shared" si="281"/>
        <v>36353772.758893393</v>
      </c>
      <c r="V1119" s="70">
        <f t="shared" si="274"/>
        <v>1.0252475698552892</v>
      </c>
      <c r="W1119" s="87">
        <f t="shared" si="264"/>
        <v>0.76252776208742767</v>
      </c>
      <c r="X1119" s="142">
        <f t="shared" si="253"/>
        <v>1.7857142857142857E-4</v>
      </c>
      <c r="Y1119" s="139">
        <f t="shared" si="265"/>
        <v>-3.254287317771138E-2</v>
      </c>
      <c r="Z1119" s="139">
        <f t="shared" si="266"/>
        <v>-3.254287317771138E-2</v>
      </c>
      <c r="AA1119" s="139">
        <f t="shared" si="267"/>
        <v>1.0590385946606068E-3</v>
      </c>
      <c r="AB1119" s="144">
        <f t="shared" si="268"/>
        <v>6.4206951807144561</v>
      </c>
      <c r="AC1119" s="144">
        <f t="shared" si="269"/>
        <v>-3.2398261192694844E-2</v>
      </c>
      <c r="AD1119" s="144">
        <f t="shared" si="270"/>
        <v>-5.9315173090663371E-2</v>
      </c>
      <c r="AE1119" s="144">
        <f t="shared" si="271"/>
        <v>-4.7165011849797864E-2</v>
      </c>
    </row>
    <row r="1120" spans="1:31">
      <c r="A1120" s="88">
        <v>45589</v>
      </c>
      <c r="B1120" s="78">
        <v>72382545.387765795</v>
      </c>
      <c r="D1120" s="67">
        <f t="shared" si="252"/>
        <v>72382545.387765795</v>
      </c>
      <c r="E1120" s="67">
        <f t="shared" si="282"/>
        <v>65466153.520501398</v>
      </c>
      <c r="F1120" s="67">
        <f t="shared" si="283"/>
        <v>570241.60887239873</v>
      </c>
      <c r="G1120" s="70">
        <f t="shared" si="275"/>
        <v>7.9407229522693631E-3</v>
      </c>
      <c r="H1120" s="67">
        <f t="shared" si="276"/>
        <v>-1819374.3694546074</v>
      </c>
      <c r="I1120" s="70">
        <f t="shared" si="277"/>
        <v>-2.4227054705719626E-2</v>
      </c>
      <c r="J1120" s="67">
        <f t="shared" si="284"/>
        <v>6916391.8672643974</v>
      </c>
      <c r="K1120" s="70">
        <f t="shared" si="278"/>
        <v>0.10564836171562164</v>
      </c>
      <c r="L1120" s="70">
        <f t="shared" ref="L1120:L1153" si="285">1+G1120</f>
        <v>1.0079407229522694</v>
      </c>
      <c r="M1120" s="70">
        <f>PRODUCT($L$2:L1120)-1</f>
        <v>0.5891927606744678</v>
      </c>
      <c r="N1120" s="70">
        <f>PRODUCT($L$909:L1120)-1</f>
        <v>0.25580209419295286</v>
      </c>
      <c r="O1120" s="70">
        <f>AVERAGE($G$909:G1120)*252</f>
        <v>0.40973531588477591</v>
      </c>
      <c r="P1120" s="70">
        <f>STDEV($G$909:G1120)*252^0.5</f>
        <v>0.5262417643849967</v>
      </c>
      <c r="Q1120" s="67">
        <f t="shared" si="279"/>
        <v>15564152.951671392</v>
      </c>
      <c r="R1120" s="70">
        <f t="shared" si="272"/>
        <v>0.27392807653220619</v>
      </c>
      <c r="S1120" s="67">
        <f t="shared" si="280"/>
        <v>9794425.8777657971</v>
      </c>
      <c r="T1120" s="70">
        <f t="shared" si="273"/>
        <v>0.15649017664128567</v>
      </c>
      <c r="U1120" s="67">
        <f t="shared" si="281"/>
        <v>36865339.397765793</v>
      </c>
      <c r="V1120" s="70">
        <f t="shared" si="274"/>
        <v>1.0379571920197035</v>
      </c>
      <c r="W1120" s="87">
        <f t="shared" ref="W1120:W1153" si="286">O1120/P1120</f>
        <v>0.77860660938536785</v>
      </c>
      <c r="X1120" s="142">
        <f t="shared" si="253"/>
        <v>1.7857142857142857E-4</v>
      </c>
      <c r="Y1120" s="139">
        <f t="shared" ref="Y1120:Y1151" si="287">G1120-X1120</f>
        <v>7.7621515236979341E-3</v>
      </c>
      <c r="Z1120" s="139">
        <f t="shared" ref="Z1120:Z1151" si="288">IF(Y1120&lt;0,Y1120,0)</f>
        <v>0</v>
      </c>
      <c r="AA1120" s="139">
        <f t="shared" ref="AA1120:AA1151" si="289">Z1120^2</f>
        <v>0</v>
      </c>
      <c r="AB1120" s="144">
        <f t="shared" ref="AB1120:AB1151" si="290">AVERAGE(Y867:Y1120)/AVERAGE(AA867:AA1120)</f>
        <v>6.2078632508908562</v>
      </c>
      <c r="AC1120" s="144">
        <f t="shared" ref="AC1120:AC1151" si="291">AVERAGE(G1089:G1120)-_xlfn.NORM.S.INV(0.95)*_xlfn.STDEV.S(G1089:G1120)</f>
        <v>-3.2542522397650743E-2</v>
      </c>
      <c r="AD1120" s="144">
        <f t="shared" ref="AD1120:AD1151" si="292">AVERAGE(G1029:G1120)-_xlfn.NORM.S.INV(0.95)*_xlfn.STDEV.S(G1029:G1120)</f>
        <v>-5.9379961780060983E-2</v>
      </c>
      <c r="AE1120" s="144">
        <f t="shared" ref="AE1120:AE1151" si="293">AVERAGE(G754:G1120)-_xlfn.NORM.S.INV(0.95)*_xlfn.STDEV.S(G754:G1120)</f>
        <v>-4.7134940505890961E-2</v>
      </c>
    </row>
    <row r="1121" spans="1:31">
      <c r="A1121" s="88">
        <v>45590</v>
      </c>
      <c r="B1121" s="78">
        <v>73000981.067492694</v>
      </c>
      <c r="D1121" s="67">
        <f t="shared" si="252"/>
        <v>73000981.067492694</v>
      </c>
      <c r="E1121" s="67">
        <f t="shared" si="282"/>
        <v>65466153.520501398</v>
      </c>
      <c r="F1121" s="67">
        <f t="shared" si="283"/>
        <v>618435.67972689867</v>
      </c>
      <c r="G1121" s="70">
        <f t="shared" si="275"/>
        <v>8.5439891124832919E-3</v>
      </c>
      <c r="H1121" s="67">
        <f t="shared" si="276"/>
        <v>-1200938.6897277087</v>
      </c>
      <c r="I1121" s="70">
        <f t="shared" si="277"/>
        <v>-1.5683065593236335E-2</v>
      </c>
      <c r="J1121" s="67">
        <f t="shared" si="284"/>
        <v>7534827.5469912961</v>
      </c>
      <c r="K1121" s="70">
        <f t="shared" si="278"/>
        <v>0.11509500928035488</v>
      </c>
      <c r="L1121" s="70">
        <f t="shared" si="285"/>
        <v>1.0085439891124832</v>
      </c>
      <c r="M1121" s="70">
        <f>PRODUCT($L$2:L1121)-1</f>
        <v>0.60277080631930757</v>
      </c>
      <c r="N1121" s="70">
        <f>PRODUCT($L$909:L1121)-1</f>
        <v>0.26653165361317099</v>
      </c>
      <c r="O1121" s="70">
        <f>AVERAGE($G$909:G1121)*252</f>
        <v>0.41792005738928767</v>
      </c>
      <c r="P1121" s="70">
        <f>STDEV($G$909:G1121)*252^0.5</f>
        <v>0.52505308458420685</v>
      </c>
      <c r="Q1121" s="67">
        <f t="shared" si="279"/>
        <v>14363502.714016691</v>
      </c>
      <c r="R1121" s="70">
        <f t="shared" si="272"/>
        <v>0.24495430426648332</v>
      </c>
      <c r="S1121" s="67">
        <f t="shared" si="280"/>
        <v>11417686.497492693</v>
      </c>
      <c r="T1121" s="70">
        <f t="shared" si="273"/>
        <v>0.18540233316868959</v>
      </c>
      <c r="U1121" s="67">
        <f t="shared" si="281"/>
        <v>36870313.427492693</v>
      </c>
      <c r="V1121" s="70">
        <f t="shared" si="274"/>
        <v>1.0204714121217577</v>
      </c>
      <c r="W1121" s="87">
        <f t="shared" si="286"/>
        <v>0.79595772248484442</v>
      </c>
      <c r="X1121" s="142">
        <f t="shared" si="253"/>
        <v>1.7857142857142857E-4</v>
      </c>
      <c r="Y1121" s="139">
        <f t="shared" si="287"/>
        <v>8.3654176839118629E-3</v>
      </c>
      <c r="Z1121" s="139">
        <f t="shared" si="288"/>
        <v>0</v>
      </c>
      <c r="AA1121" s="139">
        <f t="shared" si="289"/>
        <v>0</v>
      </c>
      <c r="AB1121" s="144">
        <f t="shared" si="290"/>
        <v>5.9912677716873173</v>
      </c>
      <c r="AC1121" s="144">
        <f t="shared" si="291"/>
        <v>-3.1300775153244434E-2</v>
      </c>
      <c r="AD1121" s="144">
        <f t="shared" si="292"/>
        <v>-5.9417394033350911E-2</v>
      </c>
      <c r="AE1121" s="144">
        <f t="shared" si="293"/>
        <v>-4.7119232476606404E-2</v>
      </c>
    </row>
    <row r="1122" spans="1:31">
      <c r="A1122" s="88">
        <v>45593</v>
      </c>
      <c r="B1122" s="78">
        <v>72614532.021846801</v>
      </c>
      <c r="D1122" s="67">
        <f t="shared" si="252"/>
        <v>72614532.021846801</v>
      </c>
      <c r="E1122" s="67">
        <f t="shared" si="282"/>
        <v>65466153.520501398</v>
      </c>
      <c r="F1122" s="67">
        <f t="shared" si="283"/>
        <v>-386449.04564589262</v>
      </c>
      <c r="G1122" s="70">
        <f t="shared" si="275"/>
        <v>-5.2937513988832981E-3</v>
      </c>
      <c r="H1122" s="67">
        <f t="shared" ref="H1122:H1125" si="294">J1122</f>
        <v>7148378.5013454035</v>
      </c>
      <c r="I1122" s="70">
        <f t="shared" ref="I1122:I1125" si="295">K1122</f>
        <v>0.10919197351508925</v>
      </c>
      <c r="J1122" s="67">
        <f t="shared" si="284"/>
        <v>7148378.5013454035</v>
      </c>
      <c r="K1122" s="70">
        <f t="shared" si="278"/>
        <v>0.10919197351508925</v>
      </c>
      <c r="L1122" s="70">
        <f t="shared" si="285"/>
        <v>0.99470624860111667</v>
      </c>
      <c r="M1122" s="70">
        <f>PRODUCT($L$2:L1122)-1</f>
        <v>0.59428613612126546</v>
      </c>
      <c r="N1122" s="70">
        <f>PRODUCT($L$909:L1122)-1</f>
        <v>0.25982694990012623</v>
      </c>
      <c r="O1122" s="70">
        <f>AVERAGE($G$909:G1122)*252</f>
        <v>0.40973339659532565</v>
      </c>
      <c r="P1122" s="70">
        <f>STDEV($G$909:G1122)*252^0.5</f>
        <v>0.52387343973539657</v>
      </c>
      <c r="Q1122" s="67">
        <f t="shared" si="279"/>
        <v>12643307.111060701</v>
      </c>
      <c r="R1122" s="70">
        <f t="shared" si="272"/>
        <v>0.21082289264341414</v>
      </c>
      <c r="S1122" s="67">
        <f t="shared" si="280"/>
        <v>12717171.8118468</v>
      </c>
      <c r="T1122" s="70">
        <f t="shared" si="273"/>
        <v>0.21231606480252929</v>
      </c>
      <c r="U1122" s="67">
        <f t="shared" si="281"/>
        <v>36748018.791846804</v>
      </c>
      <c r="V1122" s="70">
        <f t="shared" si="274"/>
        <v>1.0245773977580148</v>
      </c>
      <c r="W1122" s="87">
        <f t="shared" si="286"/>
        <v>0.78212286693190258</v>
      </c>
      <c r="X1122" s="142">
        <f t="shared" si="253"/>
        <v>1.7857142857142857E-4</v>
      </c>
      <c r="Y1122" s="139">
        <f t="shared" si="287"/>
        <v>-5.4723228274547271E-3</v>
      </c>
      <c r="Z1122" s="139">
        <f t="shared" si="288"/>
        <v>-5.4723228274547271E-3</v>
      </c>
      <c r="AA1122" s="139">
        <f t="shared" si="289"/>
        <v>2.9946317127882098E-5</v>
      </c>
      <c r="AB1122" s="144">
        <f t="shared" si="290"/>
        <v>5.8105735054947196</v>
      </c>
      <c r="AC1122" s="144">
        <f t="shared" si="291"/>
        <v>-3.1998328806140418E-2</v>
      </c>
      <c r="AD1122" s="144">
        <f t="shared" si="292"/>
        <v>-5.9233235588712352E-2</v>
      </c>
      <c r="AE1122" s="144">
        <f t="shared" si="293"/>
        <v>-4.7167597847159862E-2</v>
      </c>
    </row>
    <row r="1123" spans="1:31">
      <c r="A1123" s="88">
        <v>45594</v>
      </c>
      <c r="B1123" s="78">
        <v>73588655.892573103</v>
      </c>
      <c r="D1123" s="67">
        <f t="shared" si="252"/>
        <v>73588655.892573103</v>
      </c>
      <c r="E1123" s="67">
        <f t="shared" si="282"/>
        <v>65466153.520501398</v>
      </c>
      <c r="F1123" s="67">
        <f t="shared" si="283"/>
        <v>974123.87072630227</v>
      </c>
      <c r="G1123" s="70">
        <f t="shared" si="275"/>
        <v>1.3414998948602016E-2</v>
      </c>
      <c r="H1123" s="67">
        <f t="shared" si="294"/>
        <v>8122502.3720717058</v>
      </c>
      <c r="I1123" s="70">
        <f t="shared" si="295"/>
        <v>0.12407178267359198</v>
      </c>
      <c r="J1123" s="67">
        <f t="shared" si="284"/>
        <v>8122502.3720717058</v>
      </c>
      <c r="K1123" s="70">
        <f t="shared" si="278"/>
        <v>0.12407178267359198</v>
      </c>
      <c r="L1123" s="70">
        <f t="shared" si="285"/>
        <v>1.0134149989486021</v>
      </c>
      <c r="M1123" s="70">
        <f>PRODUCT($L$2:L1123)-1</f>
        <v>0.61567348296110325</v>
      </c>
      <c r="N1123" s="70">
        <f>PRODUCT($L$909:L1123)-1</f>
        <v>0.27672752710845705</v>
      </c>
      <c r="O1123" s="70">
        <f>AVERAGE($G$909:G1123)*252</f>
        <v>0.42355128654161583</v>
      </c>
      <c r="P1123" s="70">
        <f>STDEV($G$909:G1123)*252^0.5</f>
        <v>0.52280382101259493</v>
      </c>
      <c r="Q1123" s="67">
        <f t="shared" si="279"/>
        <v>14102505.381227605</v>
      </c>
      <c r="R1123" s="70">
        <f t="shared" si="272"/>
        <v>0.23707207913105596</v>
      </c>
      <c r="S1123" s="67">
        <f t="shared" si="280"/>
        <v>15548963.152573101</v>
      </c>
      <c r="T1123" s="70">
        <f t="shared" si="273"/>
        <v>0.26790223067216568</v>
      </c>
      <c r="U1123" s="67">
        <f t="shared" si="281"/>
        <v>36885062.1225731</v>
      </c>
      <c r="V1123" s="70">
        <f t="shared" si="274"/>
        <v>1.0049441576132914</v>
      </c>
      <c r="W1123" s="87">
        <f t="shared" si="286"/>
        <v>0.81015338740497078</v>
      </c>
      <c r="X1123" s="142">
        <f t="shared" si="253"/>
        <v>1.7857142857142857E-4</v>
      </c>
      <c r="Y1123" s="139">
        <f t="shared" si="287"/>
        <v>1.3236427520030587E-2</v>
      </c>
      <c r="Z1123" s="139">
        <f t="shared" si="288"/>
        <v>0</v>
      </c>
      <c r="AA1123" s="139">
        <f t="shared" si="289"/>
        <v>0</v>
      </c>
      <c r="AB1123" s="144">
        <f t="shared" si="290"/>
        <v>5.8579712732569442</v>
      </c>
      <c r="AC1123" s="144">
        <f t="shared" si="291"/>
        <v>-3.2057969592680598E-2</v>
      </c>
      <c r="AD1123" s="144">
        <f t="shared" si="292"/>
        <v>-5.8601964576016262E-2</v>
      </c>
      <c r="AE1123" s="144">
        <f t="shared" si="293"/>
        <v>-4.7114047889459693E-2</v>
      </c>
    </row>
    <row r="1124" spans="1:31">
      <c r="A1124" s="88">
        <v>45595</v>
      </c>
      <c r="B1124" s="78">
        <v>72282550.836989194</v>
      </c>
      <c r="D1124" s="67">
        <f t="shared" si="252"/>
        <v>72282550.836989194</v>
      </c>
      <c r="E1124" s="67">
        <f t="shared" si="282"/>
        <v>65466153.520501398</v>
      </c>
      <c r="F1124" s="67">
        <f t="shared" si="283"/>
        <v>-1306105.0555839092</v>
      </c>
      <c r="G1124" s="70">
        <f t="shared" si="275"/>
        <v>-1.7748728248150096E-2</v>
      </c>
      <c r="H1124" s="67">
        <f t="shared" si="294"/>
        <v>6816397.3164877966</v>
      </c>
      <c r="I1124" s="70">
        <f t="shared" si="295"/>
        <v>0.10412093807150469</v>
      </c>
      <c r="J1124" s="67">
        <f t="shared" si="284"/>
        <v>6816397.3164877966</v>
      </c>
      <c r="K1124" s="70">
        <f t="shared" si="278"/>
        <v>0.10412093807150469</v>
      </c>
      <c r="L1124" s="70">
        <f t="shared" si="285"/>
        <v>0.9822512717518499</v>
      </c>
      <c r="M1124" s="70">
        <f>PRODUCT($L$2:L1124)-1</f>
        <v>0.58699733337428439</v>
      </c>
      <c r="N1124" s="70">
        <f>PRODUCT($L$909:L1124)-1</f>
        <v>0.25406723718287627</v>
      </c>
      <c r="O1124" s="70">
        <f>AVERAGE($G$909:G1124)*252</f>
        <v>0.40088355133293324</v>
      </c>
      <c r="P1124" s="70">
        <f>STDEV($G$909:G1124)*252^0.5</f>
        <v>0.52200860537621574</v>
      </c>
      <c r="Q1124" s="67">
        <f t="shared" si="279"/>
        <v>12701848.942616493</v>
      </c>
      <c r="R1124" s="70">
        <f t="shared" si="272"/>
        <v>0.21318729955774759</v>
      </c>
      <c r="S1124" s="67">
        <f t="shared" si="280"/>
        <v>12283704.816989191</v>
      </c>
      <c r="T1124" s="70">
        <f t="shared" si="273"/>
        <v>0.20473235123379779</v>
      </c>
      <c r="U1124" s="67">
        <f t="shared" si="281"/>
        <v>35146438.226989195</v>
      </c>
      <c r="V1124" s="70">
        <f t="shared" si="274"/>
        <v>0.94642211467026238</v>
      </c>
      <c r="W1124" s="87">
        <f t="shared" si="286"/>
        <v>0.76796349179725354</v>
      </c>
      <c r="X1124" s="142">
        <f t="shared" si="253"/>
        <v>1.7857142857142857E-4</v>
      </c>
      <c r="Y1124" s="139">
        <f t="shared" si="287"/>
        <v>-1.7927299676721523E-2</v>
      </c>
      <c r="Z1124" s="139">
        <f t="shared" si="288"/>
        <v>-1.7927299676721523E-2</v>
      </c>
      <c r="AA1124" s="139">
        <f t="shared" si="289"/>
        <v>3.2138807369897962E-4</v>
      </c>
      <c r="AB1124" s="144">
        <f t="shared" si="290"/>
        <v>5.5668851300331657</v>
      </c>
      <c r="AC1124" s="144">
        <f t="shared" si="291"/>
        <v>-3.2782402787607835E-2</v>
      </c>
      <c r="AD1124" s="144">
        <f t="shared" si="292"/>
        <v>-5.828260485764343E-2</v>
      </c>
      <c r="AE1124" s="144">
        <f t="shared" si="293"/>
        <v>-4.7221618916830001E-2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2"/>
        <v>68111189.483541399</v>
      </c>
      <c r="E1125" s="80">
        <f t="shared" si="282"/>
        <v>65466153.520501398</v>
      </c>
      <c r="F1125" s="80">
        <f t="shared" si="283"/>
        <v>-4171361.3534477949</v>
      </c>
      <c r="G1125" s="81">
        <f t="shared" si="275"/>
        <v>-5.7709105519186822E-2</v>
      </c>
      <c r="H1125" s="80">
        <f t="shared" si="294"/>
        <v>2645035.9630400017</v>
      </c>
      <c r="I1125" s="81">
        <f t="shared" si="295"/>
        <v>4.0403106350392681E-2</v>
      </c>
      <c r="J1125" s="80">
        <f t="shared" si="284"/>
        <v>2645035.9630400017</v>
      </c>
      <c r="K1125" s="81">
        <f t="shared" si="278"/>
        <v>4.0403106350392681E-2</v>
      </c>
      <c r="L1125" s="81">
        <f t="shared" si="285"/>
        <v>0.94229089448081316</v>
      </c>
      <c r="M1125" s="81">
        <f>PRODUCT($L$2:L1125)-1</f>
        <v>0.49541313680391963</v>
      </c>
      <c r="N1125" s="81">
        <f>PRODUCT($L$909:L1125)-1</f>
        <v>0.18169613866413448</v>
      </c>
      <c r="O1125" s="81">
        <f>AVERAGE($G$909:G1125)*252</f>
        <v>0.33201913593123727</v>
      </c>
      <c r="P1125" s="81">
        <f>STDEV($G$909:G1125)*252^0.5</f>
        <v>0.52470477066063104</v>
      </c>
      <c r="Q1125" s="80">
        <f t="shared" si="279"/>
        <v>9814419.1316450015</v>
      </c>
      <c r="R1125" s="81">
        <f t="shared" si="272"/>
        <v>0.16835270757543325</v>
      </c>
      <c r="S1125" s="80">
        <f t="shared" si="280"/>
        <v>8603444.9435414001</v>
      </c>
      <c r="T1125" s="81">
        <f t="shared" si="273"/>
        <v>0.14457689515955902</v>
      </c>
      <c r="U1125" s="80">
        <f t="shared" si="281"/>
        <v>30928395.453541398</v>
      </c>
      <c r="V1125" s="81">
        <f t="shared" si="274"/>
        <v>0.83179320598090611</v>
      </c>
      <c r="W1125" s="136">
        <f t="shared" si="286"/>
        <v>0.63277323648726813</v>
      </c>
      <c r="X1125" s="143">
        <f t="shared" si="253"/>
        <v>1.7857142857142857E-4</v>
      </c>
      <c r="Y1125" s="140">
        <f t="shared" si="287"/>
        <v>-5.7887676947758253E-2</v>
      </c>
      <c r="Z1125" s="140">
        <f t="shared" si="288"/>
        <v>-5.7887676947758253E-2</v>
      </c>
      <c r="AA1125" s="140">
        <f t="shared" si="289"/>
        <v>3.3509831424080221E-3</v>
      </c>
      <c r="AB1125" s="145">
        <f t="shared" si="290"/>
        <v>4.9686332376376035</v>
      </c>
      <c r="AC1125" s="145">
        <f t="shared" si="291"/>
        <v>-3.8841934600382516E-2</v>
      </c>
      <c r="AD1125" s="145">
        <f t="shared" si="292"/>
        <v>-5.9912821960570954E-2</v>
      </c>
      <c r="AE1125" s="145">
        <f t="shared" si="293"/>
        <v>-4.7669973939149575E-2</v>
      </c>
    </row>
    <row r="1126" spans="1:31">
      <c r="A1126" s="88">
        <v>45597</v>
      </c>
      <c r="B1126" s="78">
        <v>69482168.659104601</v>
      </c>
      <c r="D1126" s="67">
        <f t="shared" si="252"/>
        <v>69482168.659104601</v>
      </c>
      <c r="E1126" s="67">
        <f t="shared" si="282"/>
        <v>68111189.483541399</v>
      </c>
      <c r="F1126" s="67">
        <f t="shared" si="283"/>
        <v>1370979.1755632013</v>
      </c>
      <c r="G1126" s="70">
        <f t="shared" si="275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4"/>
        <v>1370979.1755632013</v>
      </c>
      <c r="K1126" s="85">
        <f>G1126</f>
        <v>2.012854548509227E-2</v>
      </c>
      <c r="L1126" s="70">
        <f t="shared" si="285"/>
        <v>1.0201285454850924</v>
      </c>
      <c r="M1126" s="70">
        <f>PRODUCT($L$2:L1126)-1</f>
        <v>0.52551362814708202</v>
      </c>
      <c r="N1126" s="70">
        <f>PRODUCT($L$909:L1126)-1</f>
        <v>0.20548196314079359</v>
      </c>
      <c r="O1126" s="70">
        <f>AVERAGE($G$909:G1126)*252</f>
        <v>0.35376397229046674</v>
      </c>
      <c r="P1126" s="70">
        <f>STDEV($G$909:G1126)*252^0.5</f>
        <v>0.52388491628275791</v>
      </c>
      <c r="Q1126" s="67">
        <f t="shared" si="279"/>
        <v>6860969.4818738028</v>
      </c>
      <c r="R1126" s="70">
        <f t="shared" si="272"/>
        <v>0.10956304848867324</v>
      </c>
      <c r="S1126" s="67">
        <f t="shared" si="280"/>
        <v>10757601.049104601</v>
      </c>
      <c r="T1126" s="70">
        <f t="shared" si="273"/>
        <v>0.18318740327809119</v>
      </c>
      <c r="U1126" s="67">
        <f t="shared" si="281"/>
        <v>32274918.249104604</v>
      </c>
      <c r="V1126" s="70">
        <f t="shared" si="274"/>
        <v>0.86743626291799958</v>
      </c>
      <c r="W1126" s="87">
        <f t="shared" si="286"/>
        <v>0.67527039106338516</v>
      </c>
      <c r="X1126" s="142">
        <f t="shared" si="253"/>
        <v>1.7857142857142857E-4</v>
      </c>
      <c r="Y1126" s="139">
        <f t="shared" si="287"/>
        <v>1.9949974056520842E-2</v>
      </c>
      <c r="Z1126" s="139">
        <f t="shared" si="288"/>
        <v>0</v>
      </c>
      <c r="AA1126" s="139">
        <f t="shared" si="289"/>
        <v>0</v>
      </c>
      <c r="AB1126" s="144">
        <f t="shared" si="290"/>
        <v>5.2742772605563264</v>
      </c>
      <c r="AC1126" s="144">
        <f t="shared" si="291"/>
        <v>-3.7398831498316021E-2</v>
      </c>
      <c r="AD1126" s="144">
        <f t="shared" si="292"/>
        <v>-5.965822108934013E-2</v>
      </c>
      <c r="AE1126" s="144">
        <f t="shared" si="293"/>
        <v>-4.7643422364350548E-2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2"/>
        <v>67877466.562653303</v>
      </c>
      <c r="E1127" s="67">
        <f t="shared" si="282"/>
        <v>68111189.483541399</v>
      </c>
      <c r="F1127" s="67">
        <f t="shared" si="283"/>
        <v>-24702.096451297402</v>
      </c>
      <c r="G1127" s="70">
        <f t="shared" si="275"/>
        <v>-3.6378950686113683E-4</v>
      </c>
      <c r="H1127" s="67">
        <f t="shared" ref="H1127:H1146" si="296">IF(WEEKNUM(A1127)=WEEKNUM(A1126),H1126+F1127,F1127)</f>
        <v>-24702.096451297402</v>
      </c>
      <c r="I1127" s="70">
        <f t="shared" ref="I1127:I1146" si="297">IF(WEEKNUM(A1127)=WEEKNUM(A1126),I1126+G1127,G1127)</f>
        <v>-3.6378950686113683E-4</v>
      </c>
      <c r="J1127" s="67">
        <f t="shared" si="284"/>
        <v>1346277.0791119039</v>
      </c>
      <c r="K1127" s="70">
        <f t="shared" ref="K1127:K1146" si="298">(1+K1126)*(1+G1127)-1</f>
        <v>1.975743342459535E-2</v>
      </c>
      <c r="L1127" s="70">
        <f t="shared" si="285"/>
        <v>0.99963621049313889</v>
      </c>
      <c r="M1127" s="70">
        <f>PRODUCT($L$2:L1127)-1</f>
        <v>0.5249586622965885</v>
      </c>
      <c r="N1127" s="70">
        <f>PRODUCT($L$909:L1127)-1</f>
        <v>0.20504342145189258</v>
      </c>
      <c r="O1127" s="70">
        <f>AVERAGE($G$909:G1127)*252</f>
        <v>0.35173000458261533</v>
      </c>
      <c r="P1127" s="70">
        <f>STDEV($G$909:G1127)*252^0.5</f>
        <v>0.522685403498092</v>
      </c>
      <c r="Q1127" s="67">
        <f t="shared" si="279"/>
        <v>7341948.0386558026</v>
      </c>
      <c r="R1127" s="70">
        <f t="shared" si="272"/>
        <v>0.11819828946319332</v>
      </c>
      <c r="S1127" s="67">
        <f t="shared" si="280"/>
        <v>10062543.802653305</v>
      </c>
      <c r="T1127" s="70">
        <f t="shared" si="273"/>
        <v>0.16941757535932025</v>
      </c>
      <c r="U1127" s="67">
        <f t="shared" si="281"/>
        <v>33567832.902653307</v>
      </c>
      <c r="V1127" s="70">
        <f t="shared" si="274"/>
        <v>0.93530720376412191</v>
      </c>
      <c r="W1127" s="87">
        <f t="shared" si="286"/>
        <v>0.67292869138615474</v>
      </c>
      <c r="X1127" s="142">
        <f t="shared" si="253"/>
        <v>1.7857142857142857E-4</v>
      </c>
      <c r="Y1127" s="139">
        <f t="shared" si="287"/>
        <v>-5.4236093543256537E-4</v>
      </c>
      <c r="Z1127" s="139">
        <f t="shared" si="288"/>
        <v>-5.4236093543256537E-4</v>
      </c>
      <c r="AA1127" s="139">
        <f t="shared" si="289"/>
        <v>2.9415538428328733E-7</v>
      </c>
      <c r="AB1127" s="144">
        <f t="shared" si="290"/>
        <v>4.938982967288287</v>
      </c>
      <c r="AC1127" s="144">
        <f t="shared" si="291"/>
        <v>-3.456929585753369E-2</v>
      </c>
      <c r="AD1127" s="144">
        <f t="shared" si="292"/>
        <v>-5.9463439495568489E-2</v>
      </c>
      <c r="AE1127" s="144">
        <f t="shared" si="293"/>
        <v>-4.7646471345937774E-2</v>
      </c>
    </row>
    <row r="1128" spans="1:31">
      <c r="A1128" s="88">
        <v>45601</v>
      </c>
      <c r="B1128" s="78">
        <v>71021314.965238407</v>
      </c>
      <c r="D1128" s="67">
        <f t="shared" si="252"/>
        <v>71021314.965238407</v>
      </c>
      <c r="E1128" s="67">
        <f t="shared" si="282"/>
        <v>68111189.483541399</v>
      </c>
      <c r="F1128" s="67">
        <f t="shared" si="283"/>
        <v>3143848.4025851041</v>
      </c>
      <c r="G1128" s="70">
        <f t="shared" si="275"/>
        <v>4.6316525377140011E-2</v>
      </c>
      <c r="H1128" s="67">
        <f t="shared" si="296"/>
        <v>3119146.3061338067</v>
      </c>
      <c r="I1128" s="70">
        <f t="shared" si="297"/>
        <v>4.5952735870278871E-2</v>
      </c>
      <c r="J1128" s="67">
        <f t="shared" si="284"/>
        <v>4490125.481697008</v>
      </c>
      <c r="K1128" s="70">
        <f t="shared" si="298"/>
        <v>6.698905446833292E-2</v>
      </c>
      <c r="L1128" s="70">
        <f t="shared" si="285"/>
        <v>1.04631652537714</v>
      </c>
      <c r="M1128" s="70">
        <f>PRODUCT($L$2:L1128)-1</f>
        <v>0.59558944887793785</v>
      </c>
      <c r="N1128" s="70">
        <f>PRODUCT($L$909:L1128)-1</f>
        <v>0.26085684566212475</v>
      </c>
      <c r="O1128" s="70">
        <f>AVERAGE($G$909:G1128)*252</f>
        <v>0.40318470635741838</v>
      </c>
      <c r="P1128" s="70">
        <f>STDEV($G$909:G1128)*252^0.5</f>
        <v>0.52370213595058168</v>
      </c>
      <c r="Q1128" s="67">
        <f t="shared" si="279"/>
        <v>8500126.8974650055</v>
      </c>
      <c r="R1128" s="70">
        <f t="shared" si="272"/>
        <v>0.13595594006068484</v>
      </c>
      <c r="S1128" s="67">
        <f t="shared" si="280"/>
        <v>11358265.175238408</v>
      </c>
      <c r="T1128" s="70">
        <f t="shared" si="273"/>
        <v>0.19037352624810244</v>
      </c>
      <c r="U1128" s="67">
        <f t="shared" si="281"/>
        <v>34111237.405238405</v>
      </c>
      <c r="V1128" s="70">
        <f t="shared" si="274"/>
        <v>0.92417138245749064</v>
      </c>
      <c r="W1128" s="87">
        <f t="shared" si="286"/>
        <v>0.76987409193126577</v>
      </c>
      <c r="X1128" s="142">
        <f t="shared" si="253"/>
        <v>1.7857142857142857E-4</v>
      </c>
      <c r="Y1128" s="139">
        <f t="shared" si="287"/>
        <v>4.613795394856858E-2</v>
      </c>
      <c r="Z1128" s="139">
        <f t="shared" si="288"/>
        <v>0</v>
      </c>
      <c r="AA1128" s="139">
        <f t="shared" si="289"/>
        <v>0</v>
      </c>
      <c r="AB1128" s="144">
        <f t="shared" si="290"/>
        <v>5.3305081447451919</v>
      </c>
      <c r="AC1128" s="144">
        <f t="shared" si="291"/>
        <v>-3.4668035123474092E-2</v>
      </c>
      <c r="AD1128" s="144">
        <f t="shared" si="292"/>
        <v>-5.9524233256170338E-2</v>
      </c>
      <c r="AE1128" s="144">
        <f t="shared" si="293"/>
        <v>-4.7465873868400489E-2</v>
      </c>
    </row>
    <row r="1129" spans="1:31">
      <c r="A1129" s="88">
        <v>45602</v>
      </c>
      <c r="B1129" s="78">
        <v>74575517.459259003</v>
      </c>
      <c r="D1129" s="67">
        <f t="shared" si="252"/>
        <v>74575517.459259003</v>
      </c>
      <c r="E1129" s="67">
        <f t="shared" si="282"/>
        <v>68111189.483541399</v>
      </c>
      <c r="F1129" s="67">
        <f t="shared" si="283"/>
        <v>3554202.4940205961</v>
      </c>
      <c r="G1129" s="70">
        <f t="shared" si="275"/>
        <v>5.0044166258540988E-2</v>
      </c>
      <c r="H1129" s="67">
        <f t="shared" si="296"/>
        <v>6673348.8001544029</v>
      </c>
      <c r="I1129" s="70">
        <f t="shared" si="297"/>
        <v>9.5996902128819867E-2</v>
      </c>
      <c r="J1129" s="67">
        <f t="shared" si="284"/>
        <v>8044327.9757176042</v>
      </c>
      <c r="K1129" s="70">
        <f t="shared" si="298"/>
        <v>0.12038563210618958</v>
      </c>
      <c r="L1129" s="70">
        <f t="shared" si="285"/>
        <v>1.0500441662585409</v>
      </c>
      <c r="M1129" s="70">
        <f>PRODUCT($L$2:L1129)-1</f>
        <v>0.67543939253795915</v>
      </c>
      <c r="N1129" s="70">
        <f>PRODUCT($L$909:L1129)-1</f>
        <v>0.32395537527465956</v>
      </c>
      <c r="O1129" s="70">
        <f>AVERAGE($G$909:G1129)*252</f>
        <v>0.45842427735649033</v>
      </c>
      <c r="P1129" s="70">
        <f>STDEV($G$909:G1129)*252^0.5</f>
        <v>0.52506505434910333</v>
      </c>
      <c r="Q1129" s="67">
        <f t="shared" si="279"/>
        <v>9553033.6337857023</v>
      </c>
      <c r="R1129" s="70">
        <f t="shared" si="272"/>
        <v>0.14691892821915228</v>
      </c>
      <c r="S1129" s="67">
        <f t="shared" si="280"/>
        <v>13631840.5045911</v>
      </c>
      <c r="T1129" s="70">
        <f t="shared" si="273"/>
        <v>0.2236793246776192</v>
      </c>
      <c r="U1129" s="67">
        <f t="shared" si="281"/>
        <v>37421466.699259005</v>
      </c>
      <c r="V1129" s="70">
        <f t="shared" si="274"/>
        <v>1.0071974908196795</v>
      </c>
      <c r="W1129" s="87">
        <f t="shared" si="286"/>
        <v>0.87308091361131579</v>
      </c>
      <c r="X1129" s="142">
        <f t="shared" si="253"/>
        <v>1.7857142857142857E-4</v>
      </c>
      <c r="Y1129" s="139">
        <f t="shared" si="287"/>
        <v>4.9865594829969558E-2</v>
      </c>
      <c r="Z1129" s="139">
        <f t="shared" si="288"/>
        <v>0</v>
      </c>
      <c r="AA1129" s="139">
        <f t="shared" si="289"/>
        <v>0</v>
      </c>
      <c r="AB1129" s="144">
        <f t="shared" si="290"/>
        <v>5.6782262511061568</v>
      </c>
      <c r="AC1129" s="144">
        <f t="shared" si="291"/>
        <v>-3.5387739295562062E-2</v>
      </c>
      <c r="AD1129" s="144">
        <f t="shared" si="292"/>
        <v>-5.9555290553275068E-2</v>
      </c>
      <c r="AE1129" s="144">
        <f t="shared" si="293"/>
        <v>-4.7526392367692412E-2</v>
      </c>
    </row>
    <row r="1130" spans="1:31">
      <c r="A1130" s="88">
        <v>45603</v>
      </c>
      <c r="B1130" s="78">
        <v>77248829.062246501</v>
      </c>
      <c r="D1130" s="67">
        <f t="shared" si="252"/>
        <v>77248829.062246501</v>
      </c>
      <c r="E1130" s="67">
        <f t="shared" si="282"/>
        <v>68111189.483541399</v>
      </c>
      <c r="F1130" s="67">
        <f t="shared" si="283"/>
        <v>2673311.602987498</v>
      </c>
      <c r="G1130" s="70">
        <f t="shared" si="275"/>
        <v>3.5847040611524314E-2</v>
      </c>
      <c r="H1130" s="67">
        <f t="shared" si="296"/>
        <v>9346660.4031419009</v>
      </c>
      <c r="I1130" s="70">
        <f t="shared" si="297"/>
        <v>0.13184394274034417</v>
      </c>
      <c r="J1130" s="67">
        <f t="shared" si="284"/>
        <v>10717639.578705102</v>
      </c>
      <c r="K1130" s="70">
        <f t="shared" si="298"/>
        <v>0.16054814136086848</v>
      </c>
      <c r="L1130" s="70">
        <f t="shared" si="285"/>
        <v>1.0358470406115243</v>
      </c>
      <c r="M1130" s="70">
        <f>PRODUCT($L$2:L1130)-1</f>
        <v>0.73549893648441511</v>
      </c>
      <c r="N1130" s="70">
        <f>PRODUCT($L$909:L1130)-1</f>
        <v>0.37141525737997627</v>
      </c>
      <c r="O1130" s="70">
        <f>AVERAGE($G$909:G1130)*252</f>
        <v>0.49705053842292118</v>
      </c>
      <c r="P1130" s="70">
        <f>STDEV($G$909:G1130)*252^0.5</f>
        <v>0.52512874675808441</v>
      </c>
      <c r="Q1130" s="67">
        <f t="shared" si="279"/>
        <v>12180683.997671202</v>
      </c>
      <c r="R1130" s="70">
        <f t="shared" si="272"/>
        <v>0.18719888181202612</v>
      </c>
      <c r="S1130" s="67">
        <f t="shared" si="280"/>
        <v>13387008.4717751</v>
      </c>
      <c r="T1130" s="70">
        <f t="shared" si="273"/>
        <v>0.20962459804618425</v>
      </c>
      <c r="U1130" s="67">
        <f t="shared" si="281"/>
        <v>39241500.742246501</v>
      </c>
      <c r="V1130" s="70">
        <f t="shared" si="274"/>
        <v>1.0324719594036043</v>
      </c>
      <c r="W1130" s="87">
        <f t="shared" si="286"/>
        <v>0.94653081076115941</v>
      </c>
      <c r="X1130" s="142">
        <f t="shared" si="253"/>
        <v>1.7857142857142857E-4</v>
      </c>
      <c r="Y1130" s="139">
        <f t="shared" si="287"/>
        <v>3.5668469182952883E-2</v>
      </c>
      <c r="Z1130" s="139">
        <f t="shared" si="288"/>
        <v>0</v>
      </c>
      <c r="AA1130" s="139">
        <f t="shared" si="289"/>
        <v>0</v>
      </c>
      <c r="AB1130" s="144">
        <f t="shared" si="290"/>
        <v>5.9491853152207934</v>
      </c>
      <c r="AC1130" s="144">
        <f t="shared" si="291"/>
        <v>-3.5244866960373905E-2</v>
      </c>
      <c r="AD1130" s="144">
        <f t="shared" si="292"/>
        <v>-5.9571325610414359E-2</v>
      </c>
      <c r="AE1130" s="144">
        <f t="shared" si="293"/>
        <v>-4.7529375393517495E-2</v>
      </c>
    </row>
    <row r="1131" spans="1:31">
      <c r="A1131" s="88">
        <v>45604</v>
      </c>
      <c r="B1131" s="78">
        <v>77271761.294160798</v>
      </c>
      <c r="D1131" s="67">
        <f t="shared" ref="D1131:D1154" si="299">B1131</f>
        <v>77271761.294160798</v>
      </c>
      <c r="E1131" s="67">
        <f t="shared" si="282"/>
        <v>68111189.483541399</v>
      </c>
      <c r="F1131" s="67">
        <f t="shared" si="283"/>
        <v>22932.231914296746</v>
      </c>
      <c r="G1131" s="70">
        <f t="shared" si="275"/>
        <v>2.9686187082289794E-4</v>
      </c>
      <c r="H1131" s="67">
        <f t="shared" si="296"/>
        <v>9369592.6350561976</v>
      </c>
      <c r="I1131" s="70">
        <f t="shared" si="297"/>
        <v>0.13214080461116706</v>
      </c>
      <c r="J1131" s="67">
        <f t="shared" si="284"/>
        <v>10740571.810619399</v>
      </c>
      <c r="K1131" s="70">
        <f t="shared" si="298"/>
        <v>0.16089266385329304</v>
      </c>
      <c r="L1131" s="70">
        <f t="shared" si="285"/>
        <v>1.000296861870823</v>
      </c>
      <c r="M1131" s="70">
        <f>PRODUCT($L$2:L1131)-1</f>
        <v>0.73601413994551113</v>
      </c>
      <c r="N1131" s="70">
        <f>PRODUCT($L$909:L1131)-1</f>
        <v>0.37182237827895737</v>
      </c>
      <c r="O1131" s="70">
        <f>AVERAGE($G$909:G1131)*252</f>
        <v>0.49515707946787385</v>
      </c>
      <c r="P1131" s="70">
        <f>STDEV($G$909:G1131)*252^0.5</f>
        <v>0.52394771705907806</v>
      </c>
      <c r="Q1131" s="67">
        <f t="shared" si="279"/>
        <v>10332846.775167301</v>
      </c>
      <c r="R1131" s="70">
        <f t="shared" si="272"/>
        <v>0.15436232943746678</v>
      </c>
      <c r="S1131" s="67">
        <f t="shared" si="280"/>
        <v>13227141.426893599</v>
      </c>
      <c r="T1131" s="70">
        <f t="shared" si="273"/>
        <v>0.2065300950229218</v>
      </c>
      <c r="U1131" s="67">
        <f t="shared" si="281"/>
        <v>38933139.424160801</v>
      </c>
      <c r="V1131" s="70">
        <f t="shared" si="274"/>
        <v>1.0155070142108058</v>
      </c>
      <c r="W1131" s="87">
        <f t="shared" si="286"/>
        <v>0.945050552461978</v>
      </c>
      <c r="X1131" s="142">
        <f t="shared" si="253"/>
        <v>1.7857142857142857E-4</v>
      </c>
      <c r="Y1131" s="139">
        <f t="shared" si="287"/>
        <v>1.1829044225146937E-4</v>
      </c>
      <c r="Z1131" s="139">
        <f t="shared" si="288"/>
        <v>0</v>
      </c>
      <c r="AA1131" s="139">
        <f t="shared" si="289"/>
        <v>0</v>
      </c>
      <c r="AB1131" s="144">
        <f t="shared" si="290"/>
        <v>5.9439634045579615</v>
      </c>
      <c r="AC1131" s="144">
        <f t="shared" si="291"/>
        <v>-3.5262567275220348E-2</v>
      </c>
      <c r="AD1131" s="144">
        <f t="shared" si="292"/>
        <v>-5.9615824489993037E-2</v>
      </c>
      <c r="AE1131" s="144">
        <f t="shared" si="293"/>
        <v>-4.7559443635690354E-2</v>
      </c>
    </row>
    <row r="1132" spans="1:31">
      <c r="A1132" s="88">
        <v>45607</v>
      </c>
      <c r="B1132" s="78">
        <v>76190741.105237097</v>
      </c>
      <c r="D1132" s="67">
        <f t="shared" si="299"/>
        <v>76190741.105237097</v>
      </c>
      <c r="E1132" s="67">
        <f t="shared" si="282"/>
        <v>68111189.483541399</v>
      </c>
      <c r="F1132" s="67">
        <f t="shared" si="283"/>
        <v>-1081020.1889237016</v>
      </c>
      <c r="G1132" s="70">
        <f t="shared" si="275"/>
        <v>-1.3989847918807452E-2</v>
      </c>
      <c r="H1132" s="67">
        <f t="shared" si="296"/>
        <v>-1081020.1889237016</v>
      </c>
      <c r="I1132" s="70">
        <f t="shared" si="297"/>
        <v>-1.3989847918807452E-2</v>
      </c>
      <c r="J1132" s="67">
        <f t="shared" si="284"/>
        <v>9659551.6216956973</v>
      </c>
      <c r="K1132" s="70">
        <f t="shared" si="298"/>
        <v>0.14465195203592618</v>
      </c>
      <c r="L1132" s="70">
        <f t="shared" si="285"/>
        <v>0.98601015208119258</v>
      </c>
      <c r="M1132" s="70">
        <f>PRODUCT($L$2:L1132)-1</f>
        <v>0.71172756614277422</v>
      </c>
      <c r="N1132" s="70">
        <f>PRODUCT($L$909:L1132)-1</f>
        <v>0.35263079183521806</v>
      </c>
      <c r="O1132" s="70">
        <f>AVERAGE($G$909:G1132)*252</f>
        <v>0.47720797788301955</v>
      </c>
      <c r="P1132" s="70">
        <f>STDEV($G$909:G1132)*252^0.5</f>
        <v>0.52304545399787417</v>
      </c>
      <c r="Q1132" s="67">
        <f t="shared" si="279"/>
        <v>10590167.0412554</v>
      </c>
      <c r="R1132" s="70">
        <f t="shared" si="272"/>
        <v>0.16143406048438805</v>
      </c>
      <c r="S1132" s="67">
        <f t="shared" si="280"/>
        <v>11547191.650708795</v>
      </c>
      <c r="T1132" s="70">
        <f t="shared" si="273"/>
        <v>0.17862867599545015</v>
      </c>
      <c r="U1132" s="67">
        <f t="shared" si="281"/>
        <v>37407543.645237096</v>
      </c>
      <c r="V1132" s="70">
        <f t="shared" si="274"/>
        <v>0.96452964415371578</v>
      </c>
      <c r="W1132" s="87">
        <f t="shared" si="286"/>
        <v>0.91236425866146442</v>
      </c>
      <c r="X1132" s="142">
        <f t="shared" si="253"/>
        <v>1.7857142857142857E-4</v>
      </c>
      <c r="Y1132" s="139">
        <f t="shared" si="287"/>
        <v>-1.4168419347378881E-2</v>
      </c>
      <c r="Z1132" s="139">
        <f t="shared" si="288"/>
        <v>-1.4168419347378881E-2</v>
      </c>
      <c r="AA1132" s="139">
        <f t="shared" si="289"/>
        <v>2.0074410680318019E-4</v>
      </c>
      <c r="AB1132" s="144">
        <f t="shared" si="290"/>
        <v>5.8182060083219369</v>
      </c>
      <c r="AC1132" s="144">
        <f t="shared" si="291"/>
        <v>-3.6452424673673385E-2</v>
      </c>
      <c r="AD1132" s="144">
        <f t="shared" si="292"/>
        <v>-5.9865872292563085E-2</v>
      </c>
      <c r="AE1132" s="144">
        <f t="shared" si="293"/>
        <v>-4.7637482192483503E-2</v>
      </c>
    </row>
    <row r="1133" spans="1:31">
      <c r="A1133" s="88">
        <v>45608</v>
      </c>
      <c r="B1133" s="78">
        <v>75307420.693779007</v>
      </c>
      <c r="D1133" s="67">
        <f t="shared" si="299"/>
        <v>75307420.693779007</v>
      </c>
      <c r="E1133" s="67">
        <f t="shared" si="282"/>
        <v>68111189.483541399</v>
      </c>
      <c r="F1133" s="67">
        <f t="shared" si="283"/>
        <v>-883320.41145808995</v>
      </c>
      <c r="G1133" s="70">
        <f t="shared" si="275"/>
        <v>-1.1593540089576231E-2</v>
      </c>
      <c r="H1133" s="67">
        <f t="shared" si="296"/>
        <v>-1964340.6003817916</v>
      </c>
      <c r="I1133" s="70">
        <f t="shared" si="297"/>
        <v>-2.5583388008383681E-2</v>
      </c>
      <c r="J1133" s="67">
        <f t="shared" si="284"/>
        <v>8776231.2102376074</v>
      </c>
      <c r="K1133" s="70">
        <f t="shared" si="298"/>
        <v>0.13138138374138597</v>
      </c>
      <c r="L1133" s="70">
        <f t="shared" si="285"/>
        <v>0.98840645991042375</v>
      </c>
      <c r="M1133" s="70">
        <f>PRODUCT($L$2:L1133)-1</f>
        <v>0.6918825839822651</v>
      </c>
      <c r="N1133" s="70">
        <f>PRODUCT($L$909:L1133)-1</f>
        <v>0.33694901252368115</v>
      </c>
      <c r="O1133" s="70">
        <f>AVERAGE($G$909:G1133)*252</f>
        <v>0.4621022886365474</v>
      </c>
      <c r="P1133" s="70">
        <f>STDEV($G$909:G1133)*252^0.5</f>
        <v>0.52207179283126304</v>
      </c>
      <c r="Q1133" s="67">
        <f t="shared" si="279"/>
        <v>9841267.1732776091</v>
      </c>
      <c r="R1133" s="70">
        <f t="shared" si="272"/>
        <v>0.15032603328673824</v>
      </c>
      <c r="S1133" s="67">
        <f t="shared" si="280"/>
        <v>10286935.600376107</v>
      </c>
      <c r="T1133" s="70">
        <f t="shared" si="273"/>
        <v>0.15821068676431388</v>
      </c>
      <c r="U1133" s="67">
        <f t="shared" si="281"/>
        <v>35641902.803779006</v>
      </c>
      <c r="V1133" s="70">
        <f t="shared" si="274"/>
        <v>0.8985613878185269</v>
      </c>
      <c r="W1133" s="87">
        <f t="shared" si="286"/>
        <v>0.8851316906636667</v>
      </c>
      <c r="X1133" s="142">
        <f t="shared" si="253"/>
        <v>1.7857142857142857E-4</v>
      </c>
      <c r="Y1133" s="139">
        <f t="shared" si="287"/>
        <v>-1.177211151814766E-2</v>
      </c>
      <c r="Z1133" s="139">
        <f t="shared" si="288"/>
        <v>-1.177211151814766E-2</v>
      </c>
      <c r="AA1133" s="139">
        <f t="shared" si="289"/>
        <v>1.385826095957048E-4</v>
      </c>
      <c r="AB1133" s="144">
        <f t="shared" si="290"/>
        <v>5.6066658949546566</v>
      </c>
      <c r="AC1133" s="144">
        <f t="shared" si="291"/>
        <v>-3.5817437066144826E-2</v>
      </c>
      <c r="AD1133" s="144">
        <f t="shared" si="292"/>
        <v>-6.007981991306411E-2</v>
      </c>
      <c r="AE1133" s="144">
        <f t="shared" si="293"/>
        <v>-4.7707875681473687E-2</v>
      </c>
    </row>
    <row r="1134" spans="1:31">
      <c r="A1134" s="88">
        <v>45609</v>
      </c>
      <c r="B1134" s="78">
        <v>74224569.205802605</v>
      </c>
      <c r="D1134" s="67">
        <f t="shared" si="299"/>
        <v>74224569.205802605</v>
      </c>
      <c r="E1134" s="67">
        <f t="shared" si="282"/>
        <v>68111189.483541399</v>
      </c>
      <c r="F1134" s="67">
        <f t="shared" si="283"/>
        <v>-1082851.487976402</v>
      </c>
      <c r="G1134" s="70">
        <f t="shared" si="275"/>
        <v>-1.4379080813026095E-2</v>
      </c>
      <c r="H1134" s="67">
        <f t="shared" si="296"/>
        <v>-3047192.0883581936</v>
      </c>
      <c r="I1134" s="70">
        <f t="shared" si="297"/>
        <v>-3.9962468821409775E-2</v>
      </c>
      <c r="J1134" s="67">
        <f t="shared" si="284"/>
        <v>7693379.7222612053</v>
      </c>
      <c r="K1134" s="70">
        <f t="shared" si="298"/>
        <v>0.1151131593942154</v>
      </c>
      <c r="L1134" s="70">
        <f t="shared" si="285"/>
        <v>0.98562091918697392</v>
      </c>
      <c r="M1134" s="70">
        <f>PRODUCT($L$2:L1134)-1</f>
        <v>0.66755486758103277</v>
      </c>
      <c r="N1134" s="70">
        <f>PRODUCT($L$909:L1134)-1</f>
        <v>0.31772491462970764</v>
      </c>
      <c r="O1134" s="70">
        <f>AVERAGE($G$909:G1134)*252</f>
        <v>0.44402427689531238</v>
      </c>
      <c r="P1134" s="70">
        <f>STDEV($G$909:G1134)*252^0.5</f>
        <v>0.52119159555742356</v>
      </c>
      <c r="Q1134" s="67">
        <f t="shared" si="279"/>
        <v>10990639.846000001</v>
      </c>
      <c r="R1134" s="70">
        <f t="shared" si="272"/>
        <v>0.17380921852037678</v>
      </c>
      <c r="S1134" s="67">
        <f t="shared" si="280"/>
        <v>9133484.270540908</v>
      </c>
      <c r="T1134" s="70">
        <f t="shared" si="273"/>
        <v>0.14031851335132745</v>
      </c>
      <c r="U1134" s="67">
        <f t="shared" si="281"/>
        <v>34887189.045802608</v>
      </c>
      <c r="V1134" s="70">
        <f t="shared" si="274"/>
        <v>0.88687118724996994</v>
      </c>
      <c r="W1134" s="87">
        <f t="shared" si="286"/>
        <v>0.85194059282636858</v>
      </c>
      <c r="X1134" s="142">
        <f t="shared" si="253"/>
        <v>1.7857142857142857E-4</v>
      </c>
      <c r="Y1134" s="139">
        <f t="shared" si="287"/>
        <v>-1.4557652241597524E-2</v>
      </c>
      <c r="Z1134" s="139">
        <f t="shared" si="288"/>
        <v>-1.4557652241597524E-2</v>
      </c>
      <c r="AA1134" s="139">
        <f t="shared" si="289"/>
        <v>2.1192523878728941E-4</v>
      </c>
      <c r="AB1134" s="144">
        <f t="shared" si="290"/>
        <v>5.5065561832360146</v>
      </c>
      <c r="AC1134" s="144">
        <f t="shared" si="291"/>
        <v>-3.6550784769179188E-2</v>
      </c>
      <c r="AD1134" s="144">
        <f t="shared" si="292"/>
        <v>-6.0363644513683014E-2</v>
      </c>
      <c r="AE1134" s="144">
        <f t="shared" si="293"/>
        <v>-4.7797053288156352E-2</v>
      </c>
    </row>
    <row r="1135" spans="1:31">
      <c r="A1135" s="88">
        <v>45610</v>
      </c>
      <c r="B1135" s="78">
        <v>73440036.406532899</v>
      </c>
      <c r="D1135" s="67">
        <f t="shared" si="299"/>
        <v>73440036.406532899</v>
      </c>
      <c r="E1135" s="67">
        <f t="shared" si="282"/>
        <v>68111189.483541399</v>
      </c>
      <c r="F1135" s="67">
        <f t="shared" si="283"/>
        <v>-784532.79926970601</v>
      </c>
      <c r="G1135" s="70">
        <f t="shared" si="275"/>
        <v>-1.0569718459320801E-2</v>
      </c>
      <c r="H1135" s="67">
        <f t="shared" si="296"/>
        <v>-3831724.8876278996</v>
      </c>
      <c r="I1135" s="70">
        <f t="shared" si="297"/>
        <v>-5.0532187280730577E-2</v>
      </c>
      <c r="J1135" s="67">
        <f t="shared" si="284"/>
        <v>6908846.9229914993</v>
      </c>
      <c r="K1135" s="70">
        <f t="shared" si="298"/>
        <v>0.10332672724913494</v>
      </c>
      <c r="L1135" s="70">
        <f t="shared" si="285"/>
        <v>0.98943028154067925</v>
      </c>
      <c r="M1135" s="70">
        <f>PRODUCT($L$2:L1135)-1</f>
        <v>0.64992928211523138</v>
      </c>
      <c r="N1135" s="70">
        <f>PRODUCT($L$909:L1135)-1</f>
        <v>0.30379693327523927</v>
      </c>
      <c r="O1135" s="70">
        <f>AVERAGE($G$909:G1135)*252</f>
        <v>0.43033443844313546</v>
      </c>
      <c r="P1135" s="70">
        <f>STDEV($G$909:G1135)*252^0.5</f>
        <v>0.52019952770063516</v>
      </c>
      <c r="Q1135" s="67">
        <f t="shared" si="279"/>
        <v>8445786.8056652993</v>
      </c>
      <c r="R1135" s="70">
        <f t="shared" si="272"/>
        <v>0.12994667770658525</v>
      </c>
      <c r="S1135" s="67">
        <f t="shared" si="280"/>
        <v>6036786.8875288963</v>
      </c>
      <c r="T1135" s="70">
        <f t="shared" si="273"/>
        <v>8.9562253016107998E-2</v>
      </c>
      <c r="U1135" s="67">
        <f t="shared" si="281"/>
        <v>34120937.2565329</v>
      </c>
      <c r="V1135" s="70">
        <f t="shared" si="274"/>
        <v>0.86779549873112749</v>
      </c>
      <c r="W1135" s="87">
        <f t="shared" si="286"/>
        <v>0.82724880652099453</v>
      </c>
      <c r="X1135" s="142">
        <f t="shared" si="253"/>
        <v>1.7857142857142857E-4</v>
      </c>
      <c r="Y1135" s="139">
        <f t="shared" si="287"/>
        <v>-1.074828988789223E-2</v>
      </c>
      <c r="Z1135" s="139">
        <f t="shared" si="288"/>
        <v>-1.074828988789223E-2</v>
      </c>
      <c r="AA1135" s="139">
        <f t="shared" si="289"/>
        <v>1.1552573551416635E-4</v>
      </c>
      <c r="AB1135" s="144">
        <f t="shared" si="290"/>
        <v>5.3443797367126376</v>
      </c>
      <c r="AC1135" s="144">
        <f t="shared" si="291"/>
        <v>-3.4423860774376674E-2</v>
      </c>
      <c r="AD1135" s="144">
        <f t="shared" si="292"/>
        <v>-6.0528930468453507E-2</v>
      </c>
      <c r="AE1135" s="144">
        <f t="shared" si="293"/>
        <v>-4.7807195426787089E-2</v>
      </c>
    </row>
    <row r="1136" spans="1:31">
      <c r="A1136" s="88">
        <v>45611</v>
      </c>
      <c r="B1136" s="78">
        <v>71031633.038140401</v>
      </c>
      <c r="D1136" s="67">
        <f t="shared" si="299"/>
        <v>71031633.038140401</v>
      </c>
      <c r="E1136" s="67">
        <f t="shared" si="282"/>
        <v>68111189.483541399</v>
      </c>
      <c r="F1136" s="67">
        <f t="shared" si="283"/>
        <v>-2408403.3683924973</v>
      </c>
      <c r="G1136" s="70">
        <f t="shared" si="275"/>
        <v>-3.279414725587277E-2</v>
      </c>
      <c r="H1136" s="67">
        <f t="shared" si="296"/>
        <v>-6240128.2560203969</v>
      </c>
      <c r="I1136" s="70">
        <f t="shared" si="297"/>
        <v>-8.3326334536603347E-2</v>
      </c>
      <c r="J1136" s="67">
        <f t="shared" si="284"/>
        <v>4500443.554599002</v>
      </c>
      <c r="K1136" s="70">
        <f t="shared" si="298"/>
        <v>6.7144068084386666E-2</v>
      </c>
      <c r="L1136" s="70">
        <f t="shared" si="285"/>
        <v>0.96720585274412718</v>
      </c>
      <c r="M1136" s="70">
        <f>PRODUCT($L$2:L1136)-1</f>
        <v>0.59582125827576804</v>
      </c>
      <c r="N1136" s="70">
        <f>PRODUCT($L$909:L1136)-1</f>
        <v>0.26104002465365572</v>
      </c>
      <c r="O1136" s="70">
        <f>AVERAGE($G$909:G1136)*252</f>
        <v>0.39220084393908694</v>
      </c>
      <c r="P1136" s="70">
        <f>STDEV($G$909:G1136)*252^0.5</f>
        <v>0.52031829050334233</v>
      </c>
      <c r="Q1136" s="67">
        <f t="shared" si="279"/>
        <v>5263140.8263311982</v>
      </c>
      <c r="R1136" s="70">
        <f t="shared" si="272"/>
        <v>8.0025262087218163E-2</v>
      </c>
      <c r="S1136" s="67">
        <f t="shared" si="280"/>
        <v>5587280.0571089983</v>
      </c>
      <c r="T1136" s="70">
        <f t="shared" si="273"/>
        <v>8.5374517473317105E-2</v>
      </c>
      <c r="U1136" s="67">
        <f t="shared" si="281"/>
        <v>32133343.928140402</v>
      </c>
      <c r="V1136" s="70">
        <f t="shared" si="274"/>
        <v>0.82608630516552817</v>
      </c>
      <c r="W1136" s="87">
        <f t="shared" si="286"/>
        <v>0.75377101112413725</v>
      </c>
      <c r="X1136" s="142">
        <f t="shared" si="253"/>
        <v>1.7857142857142857E-4</v>
      </c>
      <c r="Y1136" s="139">
        <f t="shared" si="287"/>
        <v>-3.2972718684444201E-2</v>
      </c>
      <c r="Z1136" s="139">
        <f t="shared" si="288"/>
        <v>-3.2972718684444201E-2</v>
      </c>
      <c r="AA1136" s="139">
        <f t="shared" si="289"/>
        <v>1.0872001774434956E-3</v>
      </c>
      <c r="AB1136" s="144">
        <f t="shared" si="290"/>
        <v>5.0518721179183199</v>
      </c>
      <c r="AC1136" s="144">
        <f t="shared" si="291"/>
        <v>-3.7261027613467002E-2</v>
      </c>
      <c r="AD1136" s="144">
        <f t="shared" si="292"/>
        <v>-6.1285786873402283E-2</v>
      </c>
      <c r="AE1136" s="144">
        <f t="shared" si="293"/>
        <v>-4.7984246360064535E-2</v>
      </c>
    </row>
    <row r="1137" spans="1:31">
      <c r="A1137" s="88">
        <v>45614</v>
      </c>
      <c r="B1137" s="78">
        <v>72105957.2820701</v>
      </c>
      <c r="D1137" s="67">
        <f t="shared" si="299"/>
        <v>72105957.2820701</v>
      </c>
      <c r="E1137" s="67">
        <f t="shared" si="282"/>
        <v>68111189.483541399</v>
      </c>
      <c r="F1137" s="67">
        <f t="shared" si="283"/>
        <v>1074324.2439296991</v>
      </c>
      <c r="G1137" s="70">
        <f t="shared" si="275"/>
        <v>1.5124588834285158E-2</v>
      </c>
      <c r="H1137" s="67">
        <f t="shared" si="296"/>
        <v>1074324.2439296991</v>
      </c>
      <c r="I1137" s="70">
        <f t="shared" si="297"/>
        <v>1.5124588834285158E-2</v>
      </c>
      <c r="J1137" s="67">
        <f t="shared" si="284"/>
        <v>5574767.7985287011</v>
      </c>
      <c r="K1137" s="70">
        <f t="shared" si="298"/>
        <v>8.3284183341109541E-2</v>
      </c>
      <c r="L1137" s="70">
        <f t="shared" si="285"/>
        <v>1.0151245888342852</v>
      </c>
      <c r="M1137" s="70">
        <f>PRODUCT($L$2:L1137)-1</f>
        <v>0.61995739866020072</v>
      </c>
      <c r="N1137" s="70">
        <f>PRODUCT($L$909:L1137)-1</f>
        <v>0.28011273653011926</v>
      </c>
      <c r="O1137" s="70">
        <f>AVERAGE($G$909:G1137)*252</f>
        <v>0.40713182883996363</v>
      </c>
      <c r="P1137" s="70">
        <f>STDEV($G$909:G1137)*252^0.5</f>
        <v>0.5193710555617217</v>
      </c>
      <c r="Q1137" s="67">
        <f t="shared" si="279"/>
        <v>4052602.007733494</v>
      </c>
      <c r="R1137" s="70">
        <f t="shared" si="272"/>
        <v>5.955036296736068E-2</v>
      </c>
      <c r="S1137" s="67">
        <f t="shared" si="280"/>
        <v>4953105.1044737995</v>
      </c>
      <c r="T1137" s="70">
        <f t="shared" si="273"/>
        <v>7.3758670612746755E-2</v>
      </c>
      <c r="U1137" s="67">
        <f t="shared" si="281"/>
        <v>33956317.432070099</v>
      </c>
      <c r="V1137" s="70">
        <f t="shared" si="274"/>
        <v>0.8900822541335236</v>
      </c>
      <c r="W1137" s="87">
        <f t="shared" si="286"/>
        <v>0.78389395111676641</v>
      </c>
      <c r="X1137" s="142">
        <f t="shared" si="253"/>
        <v>1.7857142857142857E-4</v>
      </c>
      <c r="Y1137" s="139">
        <f t="shared" si="287"/>
        <v>1.4946017405713729E-2</v>
      </c>
      <c r="Z1137" s="139">
        <f t="shared" si="288"/>
        <v>0</v>
      </c>
      <c r="AA1137" s="139">
        <f t="shared" si="289"/>
        <v>0</v>
      </c>
      <c r="AB1137" s="144">
        <f t="shared" si="290"/>
        <v>5.1835797205338707</v>
      </c>
      <c r="AC1137" s="144">
        <f t="shared" si="291"/>
        <v>-3.7226571631226689E-2</v>
      </c>
      <c r="AD1137" s="144">
        <f t="shared" si="292"/>
        <v>-6.0624197576238992E-2</v>
      </c>
      <c r="AE1137" s="144">
        <f t="shared" si="293"/>
        <v>-4.7915058573635691E-2</v>
      </c>
    </row>
    <row r="1138" spans="1:31">
      <c r="A1138" s="88">
        <v>45615</v>
      </c>
      <c r="B1138" s="78">
        <v>74005933.2619057</v>
      </c>
      <c r="D1138" s="67">
        <f t="shared" si="299"/>
        <v>74005933.2619057</v>
      </c>
      <c r="E1138" s="67">
        <f t="shared" si="282"/>
        <v>68111189.483541399</v>
      </c>
      <c r="F1138" s="67">
        <f t="shared" si="283"/>
        <v>1899975.9798355997</v>
      </c>
      <c r="G1138" s="70">
        <f t="shared" si="275"/>
        <v>2.6349778179951416E-2</v>
      </c>
      <c r="H1138" s="67">
        <f t="shared" si="296"/>
        <v>2974300.2237652987</v>
      </c>
      <c r="I1138" s="70">
        <f t="shared" si="297"/>
        <v>4.1474367014236575E-2</v>
      </c>
      <c r="J1138" s="67">
        <f t="shared" si="284"/>
        <v>7474743.7783643007</v>
      </c>
      <c r="K1138" s="70">
        <f t="shared" si="298"/>
        <v>0.11182848127799749</v>
      </c>
      <c r="L1138" s="70">
        <f t="shared" si="285"/>
        <v>1.0263497781799513</v>
      </c>
      <c r="M1138" s="70">
        <f>PRODUCT($L$2:L1138)-1</f>
        <v>0.66264291677586806</v>
      </c>
      <c r="N1138" s="70">
        <f>PRODUCT($L$909:L1138)-1</f>
        <v>0.31384342318301828</v>
      </c>
      <c r="O1138" s="70">
        <f>AVERAGE($G$909:G1138)*252</f>
        <v>0.43423188219869319</v>
      </c>
      <c r="P1138" s="70">
        <f>STDEV($G$909:G1138)*252^0.5</f>
        <v>0.51888212478760598</v>
      </c>
      <c r="Q1138" s="67">
        <f t="shared" si="279"/>
        <v>6360676.8154426068</v>
      </c>
      <c r="R1138" s="70">
        <f t="shared" si="272"/>
        <v>9.4029901719371506E-2</v>
      </c>
      <c r="S1138" s="67">
        <f t="shared" si="280"/>
        <v>6929401.1306575984</v>
      </c>
      <c r="T1138" s="70">
        <f t="shared" si="273"/>
        <v>0.10330589418515101</v>
      </c>
      <c r="U1138" s="67">
        <f t="shared" si="281"/>
        <v>35451305.351905704</v>
      </c>
      <c r="V1138" s="70">
        <f t="shared" si="274"/>
        <v>0.91950842930351873</v>
      </c>
      <c r="W1138" s="87">
        <f t="shared" si="286"/>
        <v>0.83686036086989379</v>
      </c>
      <c r="X1138" s="142">
        <f t="shared" si="253"/>
        <v>1.7857142857142857E-4</v>
      </c>
      <c r="Y1138" s="139">
        <f t="shared" si="287"/>
        <v>2.6171206751379988E-2</v>
      </c>
      <c r="Z1138" s="139">
        <f t="shared" si="288"/>
        <v>0</v>
      </c>
      <c r="AA1138" s="139">
        <f t="shared" si="289"/>
        <v>0</v>
      </c>
      <c r="AB1138" s="144">
        <f t="shared" si="290"/>
        <v>5.352529521880701</v>
      </c>
      <c r="AC1138" s="144">
        <f t="shared" si="291"/>
        <v>-3.7009317856987738E-2</v>
      </c>
      <c r="AD1138" s="144">
        <f t="shared" si="292"/>
        <v>-6.0624365333315382E-2</v>
      </c>
      <c r="AE1138" s="144">
        <f t="shared" si="293"/>
        <v>-4.7801316840236793E-2</v>
      </c>
    </row>
    <row r="1139" spans="1:31">
      <c r="A1139" s="88">
        <v>45616</v>
      </c>
      <c r="B1139" s="78">
        <v>73965902.057231799</v>
      </c>
      <c r="D1139" s="67">
        <f t="shared" si="299"/>
        <v>73965902.057231799</v>
      </c>
      <c r="E1139" s="67">
        <f t="shared" si="282"/>
        <v>68111189.483541399</v>
      </c>
      <c r="F1139" s="67">
        <f t="shared" si="283"/>
        <v>-40031.2046739012</v>
      </c>
      <c r="G1139" s="70">
        <f t="shared" si="275"/>
        <v>-5.4091885487385816E-4</v>
      </c>
      <c r="H1139" s="67">
        <f t="shared" si="296"/>
        <v>2934269.0190913975</v>
      </c>
      <c r="I1139" s="70">
        <f t="shared" si="297"/>
        <v>4.0933448159362715E-2</v>
      </c>
      <c r="J1139" s="67">
        <f t="shared" si="284"/>
        <v>7434712.5736903995</v>
      </c>
      <c r="K1139" s="70">
        <f t="shared" si="298"/>
        <v>0.11122707228908846</v>
      </c>
      <c r="L1139" s="70">
        <f t="shared" si="285"/>
        <v>0.99945908114512616</v>
      </c>
      <c r="M1139" s="70">
        <f>PRODUCT($L$2:L1139)-1</f>
        <v>0.66174356187326167</v>
      </c>
      <c r="N1139" s="70">
        <f>PRODUCT($L$909:L1139)-1</f>
        <v>0.31313274050306661</v>
      </c>
      <c r="O1139" s="70">
        <f>AVERAGE($G$909:G1139)*252</f>
        <v>0.43176199720463737</v>
      </c>
      <c r="P1139" s="70">
        <f>STDEV($G$909:G1139)*252^0.5</f>
        <v>0.51775829160712905</v>
      </c>
      <c r="Q1139" s="67">
        <f t="shared" si="279"/>
        <v>5323242.8730406016</v>
      </c>
      <c r="R1139" s="70">
        <f t="shared" si="272"/>
        <v>7.7550067790301686E-2</v>
      </c>
      <c r="S1139" s="67">
        <f t="shared" si="280"/>
        <v>4967083.6555528939</v>
      </c>
      <c r="T1139" s="70">
        <f t="shared" si="273"/>
        <v>7.1987952411544959E-2</v>
      </c>
      <c r="U1139" s="67">
        <f t="shared" si="281"/>
        <v>35936422.507231802</v>
      </c>
      <c r="V1139" s="70">
        <f t="shared" si="274"/>
        <v>0.94496224856255773</v>
      </c>
      <c r="W1139" s="87">
        <f t="shared" si="286"/>
        <v>0.83390648533013745</v>
      </c>
      <c r="X1139" s="142">
        <f t="shared" si="253"/>
        <v>1.7857142857142857E-4</v>
      </c>
      <c r="Y1139" s="139">
        <f t="shared" si="287"/>
        <v>-7.194902834452867E-4</v>
      </c>
      <c r="Z1139" s="139">
        <f t="shared" si="288"/>
        <v>-7.194902834452867E-4</v>
      </c>
      <c r="AA1139" s="139">
        <f t="shared" si="289"/>
        <v>5.1766626797217896E-7</v>
      </c>
      <c r="AB1139" s="144">
        <f t="shared" si="290"/>
        <v>5.2822624186124463</v>
      </c>
      <c r="AC1139" s="144">
        <f t="shared" si="291"/>
        <v>-3.6756791516768916E-2</v>
      </c>
      <c r="AD1139" s="144">
        <f t="shared" si="292"/>
        <v>-6.0617110384699163E-2</v>
      </c>
      <c r="AE1139" s="144">
        <f t="shared" si="293"/>
        <v>-4.782676803394334E-2</v>
      </c>
    </row>
    <row r="1140" spans="1:31">
      <c r="A1140" s="88">
        <v>45617</v>
      </c>
      <c r="B1140" s="78">
        <v>75356816.030168399</v>
      </c>
      <c r="D1140" s="67">
        <f t="shared" si="299"/>
        <v>75356816.030168399</v>
      </c>
      <c r="E1140" s="67">
        <f t="shared" si="282"/>
        <v>68111189.483541399</v>
      </c>
      <c r="F1140" s="67">
        <f t="shared" si="283"/>
        <v>1390913.9729366004</v>
      </c>
      <c r="G1140" s="70">
        <f t="shared" si="275"/>
        <v>1.8804799701629651E-2</v>
      </c>
      <c r="H1140" s="67">
        <f t="shared" si="296"/>
        <v>4325182.992027998</v>
      </c>
      <c r="I1140" s="70">
        <f t="shared" si="297"/>
        <v>5.9738247860992369E-2</v>
      </c>
      <c r="J1140" s="67">
        <f t="shared" si="284"/>
        <v>8825626.546627</v>
      </c>
      <c r="K1140" s="70">
        <f t="shared" si="298"/>
        <v>0.13212347480651299</v>
      </c>
      <c r="L1140" s="70">
        <f t="shared" si="285"/>
        <v>1.0188047997016296</v>
      </c>
      <c r="M1140" s="70">
        <f>PRODUCT($L$2:L1140)-1</f>
        <v>0.69299231670976091</v>
      </c>
      <c r="N1140" s="70">
        <f>PRODUCT($L$909:L1140)-1</f>
        <v>0.33782593866987876</v>
      </c>
      <c r="O1140" s="70">
        <f>AVERAGE($G$909:G1140)*252</f>
        <v>0.45032685723742194</v>
      </c>
      <c r="P1140" s="70">
        <f>STDEV($G$909:G1140)*252^0.5</f>
        <v>0.51694337898527309</v>
      </c>
      <c r="Q1140" s="67">
        <f t="shared" si="279"/>
        <v>6053673.7073881924</v>
      </c>
      <c r="R1140" s="70">
        <f t="shared" si="272"/>
        <v>8.7350638145571174E-2</v>
      </c>
      <c r="S1140" s="67">
        <f t="shared" si="280"/>
        <v>13005417.835131302</v>
      </c>
      <c r="T1140" s="70">
        <f t="shared" si="273"/>
        <v>0.20858261741701373</v>
      </c>
      <c r="U1140" s="67">
        <f t="shared" si="281"/>
        <v>38054179.140168399</v>
      </c>
      <c r="V1140" s="70">
        <f t="shared" si="274"/>
        <v>1.0201471615099111</v>
      </c>
      <c r="W1140" s="87">
        <f t="shared" si="286"/>
        <v>0.87113381376773769</v>
      </c>
      <c r="X1140" s="142">
        <f t="shared" si="253"/>
        <v>1.7857142857142857E-4</v>
      </c>
      <c r="Y1140" s="139">
        <f t="shared" si="287"/>
        <v>1.8626228273058223E-2</v>
      </c>
      <c r="Z1140" s="139">
        <f t="shared" si="288"/>
        <v>0</v>
      </c>
      <c r="AA1140" s="139">
        <f t="shared" si="289"/>
        <v>0</v>
      </c>
      <c r="AB1140" s="144">
        <f t="shared" si="290"/>
        <v>5.4734861299322457</v>
      </c>
      <c r="AC1140" s="144">
        <f t="shared" si="291"/>
        <v>-3.6742417728855781E-2</v>
      </c>
      <c r="AD1140" s="144">
        <f t="shared" si="292"/>
        <v>-6.059550786053082E-2</v>
      </c>
      <c r="AE1140" s="144">
        <f t="shared" si="293"/>
        <v>-4.774090131042482E-2</v>
      </c>
    </row>
    <row r="1141" spans="1:31">
      <c r="A1141" s="88">
        <v>45618</v>
      </c>
      <c r="B1141" s="78">
        <v>75131531.646461993</v>
      </c>
      <c r="D1141" s="67">
        <f t="shared" si="299"/>
        <v>75131531.646461993</v>
      </c>
      <c r="E1141" s="67">
        <f t="shared" si="282"/>
        <v>68111189.483541399</v>
      </c>
      <c r="F1141" s="67">
        <f t="shared" si="283"/>
        <v>-225284.38370640576</v>
      </c>
      <c r="G1141" s="70">
        <f t="shared" si="275"/>
        <v>-2.9895687686196195E-3</v>
      </c>
      <c r="H1141" s="67">
        <f t="shared" si="296"/>
        <v>4099898.6083215922</v>
      </c>
      <c r="I1141" s="70">
        <f t="shared" si="297"/>
        <v>5.6748679092372752E-2</v>
      </c>
      <c r="J1141" s="67">
        <f t="shared" si="284"/>
        <v>8600342.1629205942</v>
      </c>
      <c r="K1141" s="70">
        <f t="shared" si="298"/>
        <v>0.12873891382401026</v>
      </c>
      <c r="L1141" s="70">
        <f t="shared" si="285"/>
        <v>0.99701043123138033</v>
      </c>
      <c r="M1141" s="70">
        <f>PRODUCT($L$2:L1141)-1</f>
        <v>0.68793099975421246</v>
      </c>
      <c r="N1141" s="70">
        <f>PRODUCT($L$909:L1141)-1</f>
        <v>0.333826416025782</v>
      </c>
      <c r="O1141" s="70">
        <f>AVERAGE($G$909:G1141)*252</f>
        <v>0.44516077059823922</v>
      </c>
      <c r="P1141" s="70">
        <f>STDEV($G$909:G1141)*252^0.5</f>
        <v>0.5158519922273721</v>
      </c>
      <c r="Q1141" s="67">
        <f t="shared" ref="Q1141:Q1154" si="300">B1141-C1141-D1110</f>
        <v>5225356.0610177964</v>
      </c>
      <c r="R1141" s="70">
        <f t="shared" si="272"/>
        <v>7.4748132296709638E-2</v>
      </c>
      <c r="S1141" s="67">
        <f t="shared" ref="S1141:S1154" si="301">B1141-C1141-D1050</f>
        <v>13681284.529838093</v>
      </c>
      <c r="T1141" s="70">
        <f t="shared" si="273"/>
        <v>0.22264002460190183</v>
      </c>
      <c r="U1141" s="67">
        <f t="shared" ref="U1141:U1154" si="302">B1141-C1141-D775</f>
        <v>36874368.466461994</v>
      </c>
      <c r="V1141" s="70">
        <f t="shared" si="274"/>
        <v>0.96385527314108588</v>
      </c>
      <c r="W1141" s="87">
        <f t="shared" si="286"/>
        <v>0.8629622009912209</v>
      </c>
      <c r="X1141" s="142">
        <f t="shared" si="253"/>
        <v>1.7857142857142857E-4</v>
      </c>
      <c r="Y1141" s="139">
        <f t="shared" si="287"/>
        <v>-3.1681401971910481E-3</v>
      </c>
      <c r="Z1141" s="139">
        <f t="shared" si="288"/>
        <v>-3.1681401971910481E-3</v>
      </c>
      <c r="AA1141" s="139">
        <f t="shared" si="289"/>
        <v>1.0037112309057733E-5</v>
      </c>
      <c r="AB1141" s="144">
        <f t="shared" si="290"/>
        <v>5.4776322598250289</v>
      </c>
      <c r="AC1141" s="144">
        <f t="shared" si="291"/>
        <v>-3.714806207116967E-2</v>
      </c>
      <c r="AD1141" s="144">
        <f t="shared" si="292"/>
        <v>-5.7223238355441082E-2</v>
      </c>
      <c r="AE1141" s="144">
        <f t="shared" si="293"/>
        <v>-4.7665425351354151E-2</v>
      </c>
    </row>
    <row r="1142" spans="1:31">
      <c r="A1142" s="88">
        <v>45621</v>
      </c>
      <c r="B1142" s="78">
        <v>73781182.403537303</v>
      </c>
      <c r="D1142" s="67">
        <f t="shared" si="299"/>
        <v>73781182.403537303</v>
      </c>
      <c r="E1142" s="67">
        <f t="shared" ref="E1142:E1154" si="303">IF(MONTH(A1142)=MONTH(A1141),E1141,D1141)</f>
        <v>68111189.483541399</v>
      </c>
      <c r="F1142" s="67">
        <f t="shared" ref="F1142:F1154" si="304">B1142-C1142-D1141</f>
        <v>-1350349.2429246902</v>
      </c>
      <c r="G1142" s="70">
        <f t="shared" si="275"/>
        <v>-1.7973136089902666E-2</v>
      </c>
      <c r="H1142" s="67">
        <f t="shared" si="296"/>
        <v>-1350349.2429246902</v>
      </c>
      <c r="I1142" s="70">
        <f t="shared" si="297"/>
        <v>-1.7973136089902666E-2</v>
      </c>
      <c r="J1142" s="67">
        <f t="shared" ref="J1142:J1154" si="305">IF(MONTH(A1142)=MONTH(A1141),J1141+F1142,F1142)</f>
        <v>7249992.919995904</v>
      </c>
      <c r="K1142" s="70">
        <f t="shared" si="298"/>
        <v>0.10845193571588241</v>
      </c>
      <c r="L1142" s="70">
        <f t="shared" si="285"/>
        <v>0.9820268639100973</v>
      </c>
      <c r="M1142" s="70">
        <f>PRODUCT($L$2:L1142)-1</f>
        <v>0.65759358618526442</v>
      </c>
      <c r="N1142" s="70">
        <f>PRODUCT($L$909:L1142)-1</f>
        <v>0.30985337233024346</v>
      </c>
      <c r="O1142" s="70">
        <f>AVERAGE($G$909:G1142)*252</f>
        <v>0.42390268912279611</v>
      </c>
      <c r="P1142" s="70">
        <f>STDEV($G$909:G1142)*252^0.5</f>
        <v>0.51515126978097558</v>
      </c>
      <c r="Q1142" s="67">
        <f t="shared" si="300"/>
        <v>2213021.8057737052</v>
      </c>
      <c r="R1142" s="70">
        <f t="shared" si="272"/>
        <v>3.0921876254604467E-2</v>
      </c>
      <c r="S1142" s="67">
        <f t="shared" si="301"/>
        <v>15244777.260375805</v>
      </c>
      <c r="T1142" s="70">
        <f t="shared" si="273"/>
        <v>0.26043241335186046</v>
      </c>
      <c r="U1142" s="67">
        <f t="shared" si="302"/>
        <v>35408874.6335373</v>
      </c>
      <c r="V1142" s="70">
        <f t="shared" si="274"/>
        <v>0.92277156864723275</v>
      </c>
      <c r="W1142" s="87">
        <f t="shared" si="286"/>
        <v>0.82287031788357001</v>
      </c>
      <c r="X1142" s="142">
        <f t="shared" si="253"/>
        <v>1.7857142857142857E-4</v>
      </c>
      <c r="Y1142" s="139">
        <f t="shared" si="287"/>
        <v>-1.8151707518474093E-2</v>
      </c>
      <c r="Z1142" s="139">
        <f t="shared" si="288"/>
        <v>-1.8151707518474093E-2</v>
      </c>
      <c r="AA1142" s="139">
        <f t="shared" si="289"/>
        <v>3.2948448583622889E-4</v>
      </c>
      <c r="AB1142" s="144">
        <f t="shared" si="290"/>
        <v>5.0096276831222131</v>
      </c>
      <c r="AC1142" s="144">
        <f t="shared" si="291"/>
        <v>-3.8423443612265913E-2</v>
      </c>
      <c r="AD1142" s="144">
        <f t="shared" si="292"/>
        <v>-5.7294845819089446E-2</v>
      </c>
      <c r="AE1142" s="144">
        <f t="shared" si="293"/>
        <v>-4.7773107052850108E-2</v>
      </c>
    </row>
    <row r="1143" spans="1:31">
      <c r="A1143" s="88">
        <v>45622</v>
      </c>
      <c r="B1143" s="78">
        <v>73988967.515956998</v>
      </c>
      <c r="D1143" s="67">
        <f t="shared" si="299"/>
        <v>73988967.515956998</v>
      </c>
      <c r="E1143" s="67">
        <f t="shared" si="303"/>
        <v>68111189.483541399</v>
      </c>
      <c r="F1143" s="67">
        <f t="shared" si="304"/>
        <v>207785.11241969466</v>
      </c>
      <c r="G1143" s="70">
        <f t="shared" si="275"/>
        <v>2.8162345146929063E-3</v>
      </c>
      <c r="H1143" s="67">
        <f t="shared" si="296"/>
        <v>-1142564.1305049956</v>
      </c>
      <c r="I1143" s="70">
        <f t="shared" si="297"/>
        <v>-1.5156901575209759E-2</v>
      </c>
      <c r="J1143" s="67">
        <f t="shared" si="305"/>
        <v>7457778.0324155986</v>
      </c>
      <c r="K1143" s="70">
        <f t="shared" si="298"/>
        <v>0.11157359631512365</v>
      </c>
      <c r="L1143" s="70">
        <f t="shared" si="285"/>
        <v>1.0028162345146929</v>
      </c>
      <c r="M1143" s="70">
        <f>PRODUCT($L$2:L1143)-1</f>
        <v>0.66226175845401292</v>
      </c>
      <c r="N1143" s="70">
        <f>PRODUCT($L$909:L1143)-1</f>
        <v>0.31354222660658682</v>
      </c>
      <c r="O1143" s="70">
        <f>AVERAGE($G$909:G1143)*252</f>
        <v>0.42511881001036977</v>
      </c>
      <c r="P1143" s="70">
        <f>STDEV($G$909:G1143)*252^0.5</f>
        <v>0.51405068215321081</v>
      </c>
      <c r="Q1143" s="67">
        <f t="shared" si="300"/>
        <v>670796.86001519859</v>
      </c>
      <c r="R1143" s="70">
        <f t="shared" si="272"/>
        <v>9.1491216162911219E-3</v>
      </c>
      <c r="S1143" s="67">
        <f t="shared" si="301"/>
        <v>12988459.613435499</v>
      </c>
      <c r="T1143" s="70">
        <f t="shared" si="273"/>
        <v>0.21292379457218605</v>
      </c>
      <c r="U1143" s="67">
        <f t="shared" si="302"/>
        <v>35922158.175956994</v>
      </c>
      <c r="V1143" s="70">
        <f t="shared" si="274"/>
        <v>0.94366086359148982</v>
      </c>
      <c r="W1143" s="87">
        <f t="shared" si="286"/>
        <v>0.82699785209829713</v>
      </c>
      <c r="X1143" s="142">
        <f t="shared" si="253"/>
        <v>1.7857142857142857E-4</v>
      </c>
      <c r="Y1143" s="139">
        <f t="shared" si="287"/>
        <v>2.6376630861214777E-3</v>
      </c>
      <c r="Z1143" s="139">
        <f t="shared" si="288"/>
        <v>0</v>
      </c>
      <c r="AA1143" s="139">
        <f t="shared" si="289"/>
        <v>0</v>
      </c>
      <c r="AB1143" s="144">
        <f t="shared" si="290"/>
        <v>5.2576158976162706</v>
      </c>
      <c r="AC1143" s="144">
        <f t="shared" si="291"/>
        <v>-3.8590320533509387E-2</v>
      </c>
      <c r="AD1143" s="144">
        <f t="shared" si="292"/>
        <v>-5.6112607091658086E-2</v>
      </c>
      <c r="AE1143" s="144">
        <f t="shared" si="293"/>
        <v>-4.7773609392160646E-2</v>
      </c>
    </row>
    <row r="1144" spans="1:31">
      <c r="A1144" s="88">
        <v>45623</v>
      </c>
      <c r="B1144" s="78">
        <v>73546391.563899994</v>
      </c>
      <c r="D1144" s="67">
        <f t="shared" si="299"/>
        <v>73546391.563899994</v>
      </c>
      <c r="E1144" s="67">
        <f t="shared" si="303"/>
        <v>68111189.483541399</v>
      </c>
      <c r="F1144" s="67">
        <f t="shared" si="304"/>
        <v>-442575.95205700397</v>
      </c>
      <c r="G1144" s="70">
        <f t="shared" si="275"/>
        <v>-5.9816478985404795E-3</v>
      </c>
      <c r="H1144" s="67">
        <f t="shared" si="296"/>
        <v>-1585140.0825619996</v>
      </c>
      <c r="I1144" s="70">
        <f t="shared" si="297"/>
        <v>-2.113854947375024E-2</v>
      </c>
      <c r="J1144" s="67">
        <f t="shared" si="305"/>
        <v>7015202.0803585947</v>
      </c>
      <c r="K1144" s="70">
        <f t="shared" si="298"/>
        <v>0.10492455444865212</v>
      </c>
      <c r="L1144" s="70">
        <f t="shared" si="285"/>
        <v>0.9940183521014595</v>
      </c>
      <c r="M1144" s="70">
        <f>PRODUCT($L$2:L1144)-1</f>
        <v>0.65231869389973229</v>
      </c>
      <c r="N1144" s="70">
        <f>PRODUCT($L$909:L1144)-1</f>
        <v>0.30568507950716128</v>
      </c>
      <c r="O1144" s="70">
        <f>AVERAGE($G$909:G1144)*252</f>
        <v>0.41693027577120634</v>
      </c>
      <c r="P1144" s="70">
        <f>STDEV($G$909:G1144)*252^0.5</f>
        <v>0.51301699642717247</v>
      </c>
      <c r="Q1144" s="67">
        <f t="shared" si="300"/>
        <v>3759576.0655774921</v>
      </c>
      <c r="R1144" s="70">
        <f t="shared" si="272"/>
        <v>5.3872297205879278E-2</v>
      </c>
      <c r="S1144" s="67">
        <f t="shared" si="301"/>
        <v>13339979.209450297</v>
      </c>
      <c r="T1144" s="70">
        <f t="shared" si="273"/>
        <v>0.22157073786284784</v>
      </c>
      <c r="U1144" s="67">
        <f t="shared" si="302"/>
        <v>34196079.97389999</v>
      </c>
      <c r="V1144" s="70">
        <f t="shared" si="274"/>
        <v>0.86901675214663754</v>
      </c>
      <c r="W1144" s="87">
        <f t="shared" si="286"/>
        <v>0.81270265639316586</v>
      </c>
      <c r="X1144" s="142">
        <f t="shared" si="253"/>
        <v>1.7857142857142857E-4</v>
      </c>
      <c r="Y1144" s="139">
        <f t="shared" si="287"/>
        <v>-6.1602193271119085E-3</v>
      </c>
      <c r="Z1144" s="139">
        <f t="shared" si="288"/>
        <v>-6.1602193271119085E-3</v>
      </c>
      <c r="AA1144" s="139">
        <f t="shared" si="289"/>
        <v>3.7948302158123097E-5</v>
      </c>
      <c r="AB1144" s="144">
        <f t="shared" si="290"/>
        <v>5.0889801935030317</v>
      </c>
      <c r="AC1144" s="144">
        <f t="shared" si="291"/>
        <v>-3.9038109460296753E-2</v>
      </c>
      <c r="AD1144" s="144">
        <f t="shared" si="292"/>
        <v>-5.6278896048285863E-2</v>
      </c>
      <c r="AE1144" s="144">
        <f t="shared" si="293"/>
        <v>-4.7765565627784196E-2</v>
      </c>
    </row>
    <row r="1145" spans="1:31">
      <c r="A1145" s="88">
        <v>45624</v>
      </c>
      <c r="B1145" s="78">
        <v>73406976.774448395</v>
      </c>
      <c r="D1145" s="67">
        <f t="shared" si="299"/>
        <v>73406976.774448395</v>
      </c>
      <c r="E1145" s="67">
        <f t="shared" si="303"/>
        <v>68111189.483541399</v>
      </c>
      <c r="F1145" s="67">
        <f t="shared" si="304"/>
        <v>-139414.78945159912</v>
      </c>
      <c r="G1145" s="70">
        <f t="shared" si="275"/>
        <v>-1.8956033938180377E-3</v>
      </c>
      <c r="H1145" s="67">
        <f t="shared" si="296"/>
        <v>-1724554.8720135987</v>
      </c>
      <c r="I1145" s="70">
        <f t="shared" si="297"/>
        <v>-2.3034152867568276E-2</v>
      </c>
      <c r="J1145" s="67">
        <f t="shared" si="305"/>
        <v>6875787.2909069955</v>
      </c>
      <c r="K1145" s="70">
        <f t="shared" si="298"/>
        <v>0.10283005571332637</v>
      </c>
      <c r="L1145" s="70">
        <f t="shared" si="285"/>
        <v>0.998104396606182</v>
      </c>
      <c r="M1145" s="70">
        <f>PRODUCT($L$2:L1145)-1</f>
        <v>0.64918655297590711</v>
      </c>
      <c r="N1145" s="70">
        <f>PRODUCT($L$909:L1145)-1</f>
        <v>0.30321001843918993</v>
      </c>
      <c r="O1145" s="70">
        <f>AVERAGE($G$909:G1145)*252</f>
        <v>0.41315549800321749</v>
      </c>
      <c r="P1145" s="70">
        <f>STDEV($G$909:G1145)*252^0.5</f>
        <v>0.511942030551223</v>
      </c>
      <c r="Q1145" s="67">
        <f t="shared" si="300"/>
        <v>2001545.1142745912</v>
      </c>
      <c r="R1145" s="70">
        <f t="shared" si="272"/>
        <v>2.8030712338525752E-2</v>
      </c>
      <c r="S1145" s="67">
        <f t="shared" si="301"/>
        <v>17002602.185377292</v>
      </c>
      <c r="T1145" s="70">
        <f t="shared" si="273"/>
        <v>0.3014411968796426</v>
      </c>
      <c r="U1145" s="67">
        <f t="shared" si="302"/>
        <v>33907289.694448397</v>
      </c>
      <c r="V1145" s="70">
        <f t="shared" si="274"/>
        <v>0.85841919774642428</v>
      </c>
      <c r="W1145" s="87">
        <f t="shared" si="286"/>
        <v>0.80703570589498352</v>
      </c>
      <c r="X1145" s="142">
        <f t="shared" si="253"/>
        <v>1.7857142857142857E-4</v>
      </c>
      <c r="Y1145" s="139">
        <f t="shared" si="287"/>
        <v>-2.0741748223894662E-3</v>
      </c>
      <c r="Z1145" s="139">
        <f t="shared" si="288"/>
        <v>-2.0741748223894662E-3</v>
      </c>
      <c r="AA1145" s="139">
        <f t="shared" si="289"/>
        <v>4.3022011938343737E-6</v>
      </c>
      <c r="AB1145" s="144">
        <f t="shared" si="290"/>
        <v>5.2084543931685756</v>
      </c>
      <c r="AC1145" s="144">
        <f t="shared" si="291"/>
        <v>-3.4792780325386824E-2</v>
      </c>
      <c r="AD1145" s="144">
        <f t="shared" si="292"/>
        <v>-5.6099395160704703E-2</v>
      </c>
      <c r="AE1145" s="144">
        <f t="shared" si="293"/>
        <v>-4.7789036732789988E-2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299"/>
        <v>75288855.555961996</v>
      </c>
      <c r="E1146" s="80">
        <f t="shared" si="303"/>
        <v>68111189.483541399</v>
      </c>
      <c r="F1146" s="80">
        <f t="shared" si="304"/>
        <v>1881878.7815136015</v>
      </c>
      <c r="G1146" s="81">
        <f t="shared" si="275"/>
        <v>2.5636238736488171E-2</v>
      </c>
      <c r="H1146" s="80">
        <f t="shared" si="296"/>
        <v>157323.90950000286</v>
      </c>
      <c r="I1146" s="81">
        <f t="shared" si="297"/>
        <v>2.6020858689198949E-3</v>
      </c>
      <c r="J1146" s="80">
        <f t="shared" si="305"/>
        <v>8757666.0724205971</v>
      </c>
      <c r="K1146" s="81">
        <f t="shared" si="298"/>
        <v>0.13110247030736777</v>
      </c>
      <c r="L1146" s="81">
        <f t="shared" si="285"/>
        <v>1.0256362387364881</v>
      </c>
      <c r="M1146" s="81">
        <f>PRODUCT($L$2:L1146)-1</f>
        <v>0.69146549316900341</v>
      </c>
      <c r="N1146" s="81">
        <f>PRODUCT($L$909:L1146)-1</f>
        <v>0.33661942159568015</v>
      </c>
      <c r="O1146" s="81">
        <f>AVERAGE($G$909:G1146)*252</f>
        <v>0.43856380331242678</v>
      </c>
      <c r="P1146" s="81">
        <f>STDEV($G$909:G1146)*252^0.5</f>
        <v>0.51145724805117743</v>
      </c>
      <c r="Q1146" s="80">
        <f t="shared" si="300"/>
        <v>2054949.9113598019</v>
      </c>
      <c r="R1146" s="81">
        <f t="shared" si="272"/>
        <v>2.8060089015766766E-2</v>
      </c>
      <c r="S1146" s="80">
        <f t="shared" si="301"/>
        <v>19709862.911291197</v>
      </c>
      <c r="T1146" s="81">
        <f t="shared" si="273"/>
        <v>0.35462792636960611</v>
      </c>
      <c r="U1146" s="80">
        <f t="shared" si="302"/>
        <v>35863747.065961994</v>
      </c>
      <c r="V1146" s="81">
        <f t="shared" si="274"/>
        <v>0.90966768233646511</v>
      </c>
      <c r="W1146" s="136">
        <f t="shared" si="286"/>
        <v>0.85747890949537042</v>
      </c>
      <c r="X1146" s="143">
        <f t="shared" si="253"/>
        <v>1.7857142857142857E-4</v>
      </c>
      <c r="Y1146" s="140">
        <f t="shared" si="287"/>
        <v>2.5457667307916744E-2</v>
      </c>
      <c r="Z1146" s="140">
        <f t="shared" si="288"/>
        <v>0</v>
      </c>
      <c r="AA1146" s="140">
        <f t="shared" si="289"/>
        <v>0</v>
      </c>
      <c r="AB1146" s="145">
        <f t="shared" si="290"/>
        <v>5.1528455673117435</v>
      </c>
      <c r="AC1146" s="145">
        <f t="shared" si="291"/>
        <v>-3.4840827378110804E-2</v>
      </c>
      <c r="AD1146" s="145">
        <f t="shared" si="292"/>
        <v>-5.412964394651789E-2</v>
      </c>
      <c r="AE1146" s="145">
        <f t="shared" si="293"/>
        <v>-4.7770842324315686E-2</v>
      </c>
    </row>
    <row r="1147" spans="1:31">
      <c r="A1147" s="88">
        <v>45628</v>
      </c>
      <c r="B1147" s="78">
        <v>76557682.732879505</v>
      </c>
      <c r="D1147" s="67">
        <f t="shared" si="299"/>
        <v>76557682.732879505</v>
      </c>
      <c r="E1147" s="67">
        <f t="shared" si="303"/>
        <v>75288855.555961996</v>
      </c>
      <c r="F1147" s="67">
        <f t="shared" si="304"/>
        <v>1268827.1769175082</v>
      </c>
      <c r="G1147" s="70">
        <f t="shared" si="275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05"/>
        <v>1268827.1769175082</v>
      </c>
      <c r="K1147" s="85">
        <f>G1147</f>
        <v>1.6852788736765861E-2</v>
      </c>
      <c r="L1147" s="70">
        <f t="shared" si="285"/>
        <v>1.0168527887367658</v>
      </c>
      <c r="M1147" s="70">
        <f>PRODUCT($L$2:L1147)-1</f>
        <v>0.71997140378090996</v>
      </c>
      <c r="N1147" s="70">
        <f>PRODUCT($L$909:L1147)-1</f>
        <v>0.35914518632929027</v>
      </c>
      <c r="O1147" s="70">
        <f>AVERAGE($G$909:G1147)*252</f>
        <v>0.45449827594151704</v>
      </c>
      <c r="P1147" s="70">
        <f>STDEV($G$909:G1147)*252^0.5</f>
        <v>0.51061748323895662</v>
      </c>
      <c r="Q1147" s="67">
        <f t="shared" si="300"/>
        <v>2355762.9756591022</v>
      </c>
      <c r="R1147" s="70">
        <f t="shared" si="272"/>
        <v>3.1748005757356014E-2</v>
      </c>
      <c r="S1147" s="67">
        <f t="shared" si="301"/>
        <v>18968608.862157606</v>
      </c>
      <c r="T1147" s="70">
        <f t="shared" si="273"/>
        <v>0.32937860582267819</v>
      </c>
      <c r="U1147" s="67">
        <f t="shared" si="302"/>
        <v>37521894.162879504</v>
      </c>
      <c r="V1147" s="70">
        <f t="shared" si="274"/>
        <v>0.96121778340904418</v>
      </c>
      <c r="W1147" s="87">
        <f t="shared" si="286"/>
        <v>0.8900954057791689</v>
      </c>
      <c r="X1147" s="142">
        <f t="shared" si="253"/>
        <v>1.7857142857142857E-4</v>
      </c>
      <c r="Y1147" s="139">
        <f t="shared" si="287"/>
        <v>1.6674217308194433E-2</v>
      </c>
      <c r="Z1147" s="139">
        <f t="shared" si="288"/>
        <v>0</v>
      </c>
      <c r="AA1147" s="139">
        <f t="shared" si="289"/>
        <v>0</v>
      </c>
      <c r="AB1147" s="144">
        <f t="shared" si="290"/>
        <v>5.20977457463548</v>
      </c>
      <c r="AC1147" s="144">
        <f t="shared" si="291"/>
        <v>-3.4730331258489101E-2</v>
      </c>
      <c r="AD1147" s="144">
        <f t="shared" si="292"/>
        <v>-5.3737072386000971E-2</v>
      </c>
      <c r="AE1147" s="144">
        <f t="shared" si="293"/>
        <v>-4.7734928530610427E-2</v>
      </c>
    </row>
    <row r="1148" spans="1:31">
      <c r="A1148" s="88">
        <v>45629</v>
      </c>
      <c r="B1148" s="78">
        <v>77371524.873387203</v>
      </c>
      <c r="D1148" s="67">
        <f t="shared" si="299"/>
        <v>77371524.873387203</v>
      </c>
      <c r="E1148" s="67">
        <f t="shared" si="303"/>
        <v>75288855.555961996</v>
      </c>
      <c r="F1148" s="67">
        <f t="shared" si="304"/>
        <v>813842.14050769806</v>
      </c>
      <c r="G1148" s="70">
        <f t="shared" si="275"/>
        <v>1.0630443757647517E-2</v>
      </c>
      <c r="H1148" s="67">
        <f t="shared" ref="H1148:H1154" si="306">IF(WEEKNUM(A1148)=WEEKNUM(A1147),H1147+F1148,F1148)</f>
        <v>2082669.3174252063</v>
      </c>
      <c r="I1148" s="70">
        <f t="shared" ref="I1148:I1154" si="307">IF(WEEKNUM(A1148)=WEEKNUM(A1147),I1147+G1148,G1148)</f>
        <v>2.7483232494413378E-2</v>
      </c>
      <c r="J1148" s="67">
        <f t="shared" si="305"/>
        <v>2082669.3174252063</v>
      </c>
      <c r="K1148" s="70">
        <f t="shared" ref="K1148:K1153" si="308">(1+K1147)*(1+G1148)-1</f>
        <v>2.7662385117238841E-2</v>
      </c>
      <c r="L1148" s="70">
        <f t="shared" si="285"/>
        <v>1.0106304437576474</v>
      </c>
      <c r="M1148" s="70">
        <f>PRODUCT($L$2:L1148)-1</f>
        <v>0.73825546305356493</v>
      </c>
      <c r="N1148" s="70">
        <f>PRODUCT($L$909:L1148)-1</f>
        <v>0.37359350279104109</v>
      </c>
      <c r="O1148" s="70">
        <f>AVERAGE($G$909:G1148)*252</f>
        <v>0.46376649907062395</v>
      </c>
      <c r="P1148" s="70">
        <f>STDEV($G$909:G1148)*252^0.5</f>
        <v>0.50962839626211098</v>
      </c>
      <c r="Q1148" s="67">
        <f t="shared" si="300"/>
        <v>2748428.61377801</v>
      </c>
      <c r="R1148" s="70">
        <f t="shared" si="272"/>
        <v>3.6830803752988146E-2</v>
      </c>
      <c r="S1148" s="67">
        <f t="shared" si="301"/>
        <v>20283837.1142672</v>
      </c>
      <c r="T1148" s="70">
        <f t="shared" si="273"/>
        <v>0.35531018877230269</v>
      </c>
      <c r="U1148" s="67">
        <f t="shared" si="302"/>
        <v>39757132.213387206</v>
      </c>
      <c r="V1148" s="70">
        <f t="shared" si="274"/>
        <v>1.0569659484537111</v>
      </c>
      <c r="W1148" s="87">
        <f t="shared" si="286"/>
        <v>0.9100091409194172</v>
      </c>
      <c r="X1148" s="142">
        <f t="shared" si="253"/>
        <v>1.7857142857142857E-4</v>
      </c>
      <c r="Y1148" s="139">
        <f t="shared" si="287"/>
        <v>1.0451872329076088E-2</v>
      </c>
      <c r="Z1148" s="139">
        <f t="shared" si="288"/>
        <v>0</v>
      </c>
      <c r="AA1148" s="139">
        <f t="shared" si="289"/>
        <v>0</v>
      </c>
      <c r="AB1148" s="144">
        <f t="shared" si="290"/>
        <v>5.1792473512353743</v>
      </c>
      <c r="AC1148" s="144">
        <f t="shared" si="291"/>
        <v>-3.4752625358775366E-2</v>
      </c>
      <c r="AD1148" s="144">
        <f t="shared" si="292"/>
        <v>-5.3764332553264807E-2</v>
      </c>
      <c r="AE1148" s="144">
        <f t="shared" si="293"/>
        <v>-4.7673841973795081E-2</v>
      </c>
    </row>
    <row r="1149" spans="1:31">
      <c r="A1149" s="88">
        <v>45630</v>
      </c>
      <c r="B1149" s="78">
        <v>79098093.401229203</v>
      </c>
      <c r="D1149" s="67">
        <f t="shared" si="299"/>
        <v>79098093.401229203</v>
      </c>
      <c r="E1149" s="67">
        <f t="shared" si="303"/>
        <v>75288855.555961996</v>
      </c>
      <c r="F1149" s="67">
        <f t="shared" si="304"/>
        <v>1726568.5278420001</v>
      </c>
      <c r="G1149" s="70">
        <f t="shared" si="275"/>
        <v>2.2315296624532115E-2</v>
      </c>
      <c r="H1149" s="67">
        <f t="shared" si="306"/>
        <v>3809237.8452672064</v>
      </c>
      <c r="I1149" s="70">
        <f t="shared" si="307"/>
        <v>4.9798529118945493E-2</v>
      </c>
      <c r="J1149" s="67">
        <f t="shared" si="305"/>
        <v>3809237.8452672064</v>
      </c>
      <c r="K1149" s="70">
        <f t="shared" si="308"/>
        <v>5.0594976071004272E-2</v>
      </c>
      <c r="L1149" s="70">
        <f t="shared" si="285"/>
        <v>1.0223152966245321</v>
      </c>
      <c r="M1149" s="70">
        <f>PRODUCT($L$2:L1149)-1</f>
        <v>0.77704514932081858</v>
      </c>
      <c r="N1149" s="70">
        <f>PRODUCT($L$909:L1149)-1</f>
        <v>0.40424564924735318</v>
      </c>
      <c r="O1149" s="70">
        <f>AVERAGE($G$909:G1149)*252</f>
        <v>0.48517599388519439</v>
      </c>
      <c r="P1149" s="70">
        <f>STDEV($G$909:G1149)*252^0.5</f>
        <v>0.50899635502162444</v>
      </c>
      <c r="Q1149" s="67">
        <f t="shared" si="300"/>
        <v>4883899.0420252085</v>
      </c>
      <c r="R1149" s="70">
        <f t="shared" si="272"/>
        <v>6.5808152796035982E-2</v>
      </c>
      <c r="S1149" s="67">
        <f t="shared" si="301"/>
        <v>24225548.003699504</v>
      </c>
      <c r="T1149" s="70">
        <f t="shared" si="273"/>
        <v>0.44148759326171355</v>
      </c>
      <c r="U1149" s="67">
        <f t="shared" si="302"/>
        <v>41690424.081229202</v>
      </c>
      <c r="V1149" s="70">
        <f t="shared" si="274"/>
        <v>1.1144886821093509</v>
      </c>
      <c r="W1149" s="87">
        <f t="shared" si="286"/>
        <v>0.95320131293392452</v>
      </c>
      <c r="X1149" s="142">
        <f t="shared" si="253"/>
        <v>1.7857142857142857E-4</v>
      </c>
      <c r="Y1149" s="139">
        <f t="shared" si="287"/>
        <v>2.2136725195960688E-2</v>
      </c>
      <c r="Z1149" s="139">
        <f t="shared" si="288"/>
        <v>0</v>
      </c>
      <c r="AA1149" s="139">
        <f t="shared" si="289"/>
        <v>0</v>
      </c>
      <c r="AB1149" s="144">
        <f t="shared" si="290"/>
        <v>5.0802765090038902</v>
      </c>
      <c r="AC1149" s="144">
        <f t="shared" si="291"/>
        <v>-3.4679502654109323E-2</v>
      </c>
      <c r="AD1149" s="144">
        <f t="shared" si="292"/>
        <v>-5.3467034242541525E-2</v>
      </c>
      <c r="AE1149" s="144">
        <f t="shared" si="293"/>
        <v>-4.7433131568179895E-2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299"/>
        <v>79130454.914675802</v>
      </c>
      <c r="E1150" s="67">
        <f t="shared" si="303"/>
        <v>75288855.555961996</v>
      </c>
      <c r="F1150" s="67">
        <f t="shared" si="304"/>
        <v>-167638.48655340075</v>
      </c>
      <c r="G1150" s="70">
        <f t="shared" si="275"/>
        <v>-2.1140292201628419E-3</v>
      </c>
      <c r="H1150" s="67">
        <f t="shared" si="306"/>
        <v>3641599.3587138057</v>
      </c>
      <c r="I1150" s="70">
        <f t="shared" si="307"/>
        <v>4.7684499898782651E-2</v>
      </c>
      <c r="J1150" s="67">
        <f t="shared" si="305"/>
        <v>3641599.3587138057</v>
      </c>
      <c r="K1150" s="70">
        <f t="shared" si="308"/>
        <v>4.8373987593034018E-2</v>
      </c>
      <c r="L1150" s="70">
        <f t="shared" si="285"/>
        <v>0.99788597077983721</v>
      </c>
      <c r="M1150" s="70">
        <f>PRODUCT($L$2:L1150)-1</f>
        <v>0.77328842394960584</v>
      </c>
      <c r="N1150" s="70">
        <f>PRODUCT($L$909:L1150)-1</f>
        <v>0.4012770329125579</v>
      </c>
      <c r="O1150" s="70">
        <f>AVERAGE($G$909:G1150)*252</f>
        <v>0.48096974860682151</v>
      </c>
      <c r="P1150" s="70">
        <f>STDEV($G$909:G1150)*252^0.5</f>
        <v>0.50795597283784766</v>
      </c>
      <c r="Q1150" s="67">
        <f t="shared" si="300"/>
        <v>7118151.1357824057</v>
      </c>
      <c r="R1150" s="70">
        <f t="shared" si="272"/>
        <v>9.9121609546169803E-2</v>
      </c>
      <c r="S1150" s="67">
        <f t="shared" si="301"/>
        <v>18263087.492962599</v>
      </c>
      <c r="T1150" s="70">
        <f t="shared" si="273"/>
        <v>0.30103642648627826</v>
      </c>
      <c r="U1150" s="67">
        <f t="shared" si="302"/>
        <v>41370263.714675799</v>
      </c>
      <c r="V1150" s="70">
        <f t="shared" si="274"/>
        <v>1.1014391139381579</v>
      </c>
      <c r="W1150" s="87">
        <f t="shared" si="286"/>
        <v>0.94687290695636561</v>
      </c>
      <c r="X1150" s="142">
        <f t="shared" si="253"/>
        <v>1.7857142857142857E-4</v>
      </c>
      <c r="Y1150" s="139">
        <f t="shared" si="287"/>
        <v>-2.2926006487342704E-3</v>
      </c>
      <c r="Z1150" s="139">
        <f t="shared" si="288"/>
        <v>-2.2926006487342704E-3</v>
      </c>
      <c r="AA1150" s="139">
        <f t="shared" si="289"/>
        <v>5.2560177345767976E-6</v>
      </c>
      <c r="AB1150" s="144">
        <f t="shared" si="290"/>
        <v>4.0185334233708554</v>
      </c>
      <c r="AC1150" s="144">
        <f t="shared" si="291"/>
        <v>-3.4522222939699455E-2</v>
      </c>
      <c r="AD1150" s="144">
        <f t="shared" si="292"/>
        <v>-5.2593236718098894E-2</v>
      </c>
      <c r="AE1150" s="144">
        <f t="shared" si="293"/>
        <v>-4.7420855138885817E-2</v>
      </c>
    </row>
    <row r="1151" spans="1:31">
      <c r="A1151" s="88">
        <v>45632</v>
      </c>
      <c r="B1151" s="78">
        <v>79194729.926177502</v>
      </c>
      <c r="D1151" s="67">
        <f t="shared" si="299"/>
        <v>79194729.926177502</v>
      </c>
      <c r="E1151" s="67">
        <f t="shared" si="303"/>
        <v>75288855.555961996</v>
      </c>
      <c r="F1151" s="67">
        <f t="shared" si="304"/>
        <v>64275.011501699686</v>
      </c>
      <c r="G1151" s="70">
        <f t="shared" si="275"/>
        <v>8.1226642221387038E-4</v>
      </c>
      <c r="H1151" s="67">
        <f t="shared" si="306"/>
        <v>3705874.3702155054</v>
      </c>
      <c r="I1151" s="70">
        <f t="shared" si="307"/>
        <v>4.8496766320996518E-2</v>
      </c>
      <c r="J1151" s="67">
        <f t="shared" si="305"/>
        <v>3705874.3702155054</v>
      </c>
      <c r="K1151" s="70">
        <f t="shared" si="308"/>
        <v>4.922554658107825E-2</v>
      </c>
      <c r="L1151" s="70">
        <f t="shared" si="285"/>
        <v>1.0008122664222139</v>
      </c>
      <c r="M1151" s="70">
        <f>PRODUCT($L$2:L1151)-1</f>
        <v>0.77472880659328069</v>
      </c>
      <c r="N1151" s="70">
        <f>PRODUCT($L$909:L1151)-1</f>
        <v>0.40241524319461219</v>
      </c>
      <c r="O1151" s="70">
        <f>AVERAGE($G$909:G1151)*252</f>
        <v>0.47983279959361608</v>
      </c>
      <c r="P1151" s="70">
        <f>STDEV($G$909:G1151)*252^0.5</f>
        <v>0.50690662009538978</v>
      </c>
      <c r="Q1151" s="67">
        <f t="shared" si="300"/>
        <v>6812184.5384117067</v>
      </c>
      <c r="R1151" s="70">
        <f t="shared" si="272"/>
        <v>9.4113636124809621E-2</v>
      </c>
      <c r="S1151" s="67">
        <f t="shared" si="301"/>
        <v>23210479.476448499</v>
      </c>
      <c r="T1151" s="70">
        <f t="shared" si="273"/>
        <v>0.41458944774638579</v>
      </c>
      <c r="U1151" s="67">
        <f t="shared" si="302"/>
        <v>41183418.216177501</v>
      </c>
      <c r="V1151" s="70">
        <f t="shared" si="274"/>
        <v>1.0834516454043595</v>
      </c>
      <c r="W1151" s="87">
        <f t="shared" si="286"/>
        <v>0.94659012246342544</v>
      </c>
      <c r="X1151" s="142">
        <f t="shared" si="253"/>
        <v>1.7857142857142857E-4</v>
      </c>
      <c r="Y1151" s="139">
        <f t="shared" si="287"/>
        <v>6.3369499364244184E-4</v>
      </c>
      <c r="Z1151" s="139">
        <f t="shared" si="288"/>
        <v>0</v>
      </c>
      <c r="AA1151" s="139">
        <f t="shared" si="289"/>
        <v>0</v>
      </c>
      <c r="AB1151" s="144">
        <f t="shared" si="290"/>
        <v>3.6099602222753382</v>
      </c>
      <c r="AC1151" s="144">
        <f t="shared" si="291"/>
        <v>-3.1969653346723456E-2</v>
      </c>
      <c r="AD1151" s="144">
        <f t="shared" si="292"/>
        <v>-5.1015999860366298E-2</v>
      </c>
      <c r="AE1151" s="144">
        <f t="shared" si="293"/>
        <v>-4.7429673201013808E-2</v>
      </c>
    </row>
    <row r="1152" spans="1:31">
      <c r="A1152" s="88">
        <v>45635</v>
      </c>
      <c r="B1152" s="78">
        <v>77933170.673059896</v>
      </c>
      <c r="D1152" s="67">
        <f t="shared" si="299"/>
        <v>77933170.673059896</v>
      </c>
      <c r="E1152" s="67">
        <f t="shared" si="303"/>
        <v>75288855.555961996</v>
      </c>
      <c r="F1152" s="67">
        <f t="shared" si="304"/>
        <v>-1261559.253117606</v>
      </c>
      <c r="G1152" s="70">
        <f t="shared" si="275"/>
        <v>-1.5929838441189035E-2</v>
      </c>
      <c r="H1152" s="67">
        <f t="shared" si="306"/>
        <v>-1261559.253117606</v>
      </c>
      <c r="I1152" s="70">
        <f t="shared" si="307"/>
        <v>-1.5929838441189035E-2</v>
      </c>
      <c r="J1152" s="67">
        <f t="shared" si="305"/>
        <v>2444315.1170978993</v>
      </c>
      <c r="K1152" s="70">
        <f t="shared" si="308"/>
        <v>3.2511553135673443E-2</v>
      </c>
      <c r="L1152" s="70">
        <f t="shared" si="285"/>
        <v>0.984070161558811</v>
      </c>
      <c r="M1152" s="70">
        <f>PRODUCT($L$2:L1152)-1</f>
        <v>0.74645766342732567</v>
      </c>
      <c r="N1152" s="70">
        <f>PRODUCT($L$909:L1152)-1</f>
        <v>0.3800749949430613</v>
      </c>
      <c r="O1152" s="70">
        <f>AVERAGE($G$909:G1152)*252</f>
        <v>0.46141414350028304</v>
      </c>
      <c r="P1152" s="70">
        <f>STDEV($G$909:G1152)*252^0.5</f>
        <v>0.50618709333097422</v>
      </c>
      <c r="Q1152" s="67">
        <f t="shared" si="300"/>
        <v>4932189.605567202</v>
      </c>
      <c r="R1152" s="70">
        <f t="shared" si="272"/>
        <v>6.7563333169552486E-2</v>
      </c>
      <c r="S1152" s="67">
        <f t="shared" si="301"/>
        <v>25148988.554807797</v>
      </c>
      <c r="T1152" s="70">
        <f t="shared" si="273"/>
        <v>0.47644933663017952</v>
      </c>
      <c r="U1152" s="67">
        <f t="shared" si="302"/>
        <v>38622581.373059899</v>
      </c>
      <c r="V1152" s="70">
        <f t="shared" si="274"/>
        <v>0.98249815280840624</v>
      </c>
      <c r="W1152" s="87">
        <f t="shared" si="286"/>
        <v>0.91154861429582901</v>
      </c>
      <c r="X1152" s="142">
        <f t="shared" si="253"/>
        <v>1.7857142857142857E-4</v>
      </c>
      <c r="Y1152" s="139">
        <f t="shared" ref="Y1152:Y1153" si="309">G1152-X1152</f>
        <v>-1.6108409869760462E-2</v>
      </c>
      <c r="Z1152" s="139">
        <f t="shared" ref="Z1152:Z1153" si="310">IF(Y1152&lt;0,Y1152,0)</f>
        <v>-1.6108409869760462E-2</v>
      </c>
      <c r="AA1152" s="139">
        <f t="shared" ref="AA1152:AA1153" si="311">Z1152^2</f>
        <v>2.5948086853219628E-4</v>
      </c>
      <c r="AB1152" s="144">
        <f t="shared" ref="AB1152:AB1153" si="312">AVERAGE(Y899:Y1152)/AVERAGE(AA899:AA1152)</f>
        <v>3.5739526273039388</v>
      </c>
      <c r="AC1152" s="144">
        <f t="shared" ref="AC1152:AC1153" si="313">AVERAGE(G1121:G1152)-_xlfn.NORM.S.INV(0.95)*_xlfn.STDEV.S(G1121:G1152)</f>
        <v>-3.3151449888675744E-2</v>
      </c>
      <c r="AD1152" s="144">
        <f t="shared" ref="AD1152:AD1153" si="314">AVERAGE(G1061:G1152)-_xlfn.NORM.S.INV(0.95)*_xlfn.STDEV.S(G1061:G1152)</f>
        <v>-4.8639041127701885E-2</v>
      </c>
      <c r="AE1152" s="144">
        <f t="shared" ref="AE1152:AE1153" si="315">AVERAGE(G786:G1152)-_xlfn.NORM.S.INV(0.95)*_xlfn.STDEV.S(G786:G1152)</f>
        <v>-4.7523254587055606E-2</v>
      </c>
    </row>
    <row r="1153" spans="1:31">
      <c r="A1153" s="88">
        <v>45636</v>
      </c>
      <c r="B1153" s="78">
        <v>76306517.924943596</v>
      </c>
      <c r="D1153" s="67">
        <f t="shared" si="299"/>
        <v>76306517.924943596</v>
      </c>
      <c r="E1153" s="67">
        <f t="shared" si="303"/>
        <v>75288855.555961996</v>
      </c>
      <c r="F1153" s="67">
        <f t="shared" si="304"/>
        <v>-1626652.7481162995</v>
      </c>
      <c r="G1153" s="70">
        <f t="shared" si="275"/>
        <v>-2.0872405601721582E-2</v>
      </c>
      <c r="H1153" s="67">
        <f t="shared" si="306"/>
        <v>-2888212.0012339056</v>
      </c>
      <c r="I1153" s="70">
        <f t="shared" si="307"/>
        <v>-3.6802244042910617E-2</v>
      </c>
      <c r="J1153" s="67">
        <f t="shared" si="305"/>
        <v>817662.36898159981</v>
      </c>
      <c r="K1153" s="70">
        <f t="shared" si="308"/>
        <v>1.0960553210162205E-2</v>
      </c>
      <c r="L1153" s="70">
        <f t="shared" si="285"/>
        <v>0.97912759439827846</v>
      </c>
      <c r="M1153" s="70">
        <f>PRODUCT($L$2:L1153)-1</f>
        <v>0.71000489071003559</v>
      </c>
      <c r="N1153" s="70">
        <f>PRODUCT($L$909:L1153)-1</f>
        <v>0.3512695098878158</v>
      </c>
      <c r="O1153" s="70">
        <f>AVERAGE($G$909:G1153)*252</f>
        <v>0.43806206041810292</v>
      </c>
      <c r="P1153" s="70">
        <f>STDEV($G$909:G1153)*252^0.5</f>
        <v>0.50567325564813381</v>
      </c>
      <c r="Q1153" s="67">
        <f t="shared" si="300"/>
        <v>3691985.9030967951</v>
      </c>
      <c r="R1153" s="70">
        <f t="shared" si="272"/>
        <v>5.0843623174298289E-2</v>
      </c>
      <c r="S1153" s="67">
        <f t="shared" si="301"/>
        <v>28935692.708373494</v>
      </c>
      <c r="T1153" s="70">
        <f t="shared" si="273"/>
        <v>0.61083362124440932</v>
      </c>
      <c r="U1153" s="67">
        <f t="shared" si="302"/>
        <v>35422185.434943594</v>
      </c>
      <c r="V1153" s="70">
        <f t="shared" si="274"/>
        <v>0.86639999426693814</v>
      </c>
      <c r="W1153" s="87">
        <f t="shared" si="286"/>
        <v>0.86629469825654126</v>
      </c>
      <c r="X1153" s="142">
        <f t="shared" si="253"/>
        <v>1.7857142857142857E-4</v>
      </c>
      <c r="Y1153" s="139">
        <f t="shared" si="309"/>
        <v>-2.105097703029301E-2</v>
      </c>
      <c r="Z1153" s="139">
        <f t="shared" si="310"/>
        <v>-2.105097703029301E-2</v>
      </c>
      <c r="AA1153" s="139">
        <f t="shared" si="311"/>
        <v>4.4314363392992392E-4</v>
      </c>
      <c r="AB1153" s="144">
        <f t="shared" si="312"/>
        <v>3.3480352925615224</v>
      </c>
      <c r="AC1153" s="144">
        <f t="shared" si="313"/>
        <v>-3.4693707741054167E-2</v>
      </c>
      <c r="AD1153" s="144">
        <f t="shared" si="314"/>
        <v>-4.734993231586479E-2</v>
      </c>
      <c r="AE1153" s="144">
        <f t="shared" si="315"/>
        <v>-4.7636202099407415E-2</v>
      </c>
    </row>
    <row r="1154" spans="1:31">
      <c r="A1154" s="88">
        <v>45637</v>
      </c>
      <c r="B1154" s="78">
        <v>78179562.519361794</v>
      </c>
      <c r="D1154" s="67">
        <f t="shared" si="299"/>
        <v>78179562.519361794</v>
      </c>
      <c r="E1154" s="67">
        <f t="shared" si="303"/>
        <v>75288855.555961996</v>
      </c>
      <c r="F1154" s="67">
        <f t="shared" si="304"/>
        <v>1873044.5944181979</v>
      </c>
      <c r="G1154" s="70">
        <f t="shared" si="275"/>
        <v>2.4546325076195415E-2</v>
      </c>
      <c r="H1154" s="67">
        <f t="shared" si="306"/>
        <v>-1015167.4068157077</v>
      </c>
      <c r="I1154" s="70">
        <f t="shared" si="307"/>
        <v>-1.2255918966715202E-2</v>
      </c>
      <c r="J1154" s="67">
        <f t="shared" si="305"/>
        <v>2690706.9633997977</v>
      </c>
      <c r="K1154" s="70">
        <f t="shared" ref="K1154" si="316">(1+K1153)*(1+G1154)-1</f>
        <v>3.5775919588469263E-2</v>
      </c>
      <c r="L1154" s="70">
        <f t="shared" ref="L1154" si="317">1+G1154</f>
        <v>1.0245463250761955</v>
      </c>
      <c r="M1154" s="70">
        <f>PRODUCT($L$2:L1154)-1</f>
        <v>0.75197922663928818</v>
      </c>
      <c r="N1154" s="70">
        <f>PRODUCT($L$909:L1154)-1</f>
        <v>0.38443821054307348</v>
      </c>
      <c r="O1154" s="70">
        <f>AVERAGE($G$909:G1154)*252</f>
        <v>0.4614263362668149</v>
      </c>
      <c r="P1154" s="70">
        <f>STDEV($G$909:G1154)*252^0.5</f>
        <v>0.50516793031415275</v>
      </c>
      <c r="Q1154" s="67">
        <f t="shared" si="300"/>
        <v>4590906.6267886907</v>
      </c>
      <c r="R1154" s="70">
        <f t="shared" si="272"/>
        <v>6.2386064415833768E-2</v>
      </c>
      <c r="S1154" s="67">
        <f t="shared" si="301"/>
        <v>29423113.250986293</v>
      </c>
      <c r="T1154" s="70">
        <f t="shared" si="273"/>
        <v>0.60347120621990757</v>
      </c>
      <c r="U1154" s="67">
        <f t="shared" si="302"/>
        <v>37377372.349361792</v>
      </c>
      <c r="V1154" s="70">
        <f t="shared" si="274"/>
        <v>0.91606289254648088</v>
      </c>
      <c r="W1154" s="87">
        <f t="shared" ref="W1154" si="318">O1154/P1154</f>
        <v>0.91341177572349863</v>
      </c>
      <c r="X1154" s="142">
        <f t="shared" si="253"/>
        <v>1.7857142857142857E-4</v>
      </c>
      <c r="Y1154" s="139">
        <f t="shared" ref="Y1154" si="319">G1154-X1154</f>
        <v>2.4367753647623988E-2</v>
      </c>
      <c r="Z1154" s="139">
        <f t="shared" ref="Z1154" si="320">IF(Y1154&lt;0,Y1154,0)</f>
        <v>0</v>
      </c>
      <c r="AA1154" s="139">
        <f t="shared" ref="AA1154" si="321">Z1154^2</f>
        <v>0</v>
      </c>
      <c r="AB1154" s="144">
        <f t="shared" ref="AB1154" si="322">AVERAGE(Y901:Y1154)/AVERAGE(AA901:AA1154)</f>
        <v>3.1094890204025702</v>
      </c>
      <c r="AC1154" s="144">
        <f t="shared" ref="AC1154" si="323">AVERAGE(G1123:G1154)-_xlfn.NORM.S.INV(0.95)*_xlfn.STDEV.S(G1123:G1154)</f>
        <v>-3.4243472202858796E-2</v>
      </c>
      <c r="AD1154" s="144">
        <f t="shared" ref="AD1154" si="324">AVERAGE(G1063:G1154)-_xlfn.NORM.S.INV(0.95)*_xlfn.STDEV.S(G1063:G1154)</f>
        <v>-4.2637844509853633E-2</v>
      </c>
      <c r="AE1154" s="144">
        <f t="shared" ref="AE1154" si="325">AVERAGE(G788:G1154)-_xlfn.NORM.S.INV(0.95)*_xlfn.STDEV.S(G788:G1154)</f>
        <v>-4.7608636186302865E-2</v>
      </c>
    </row>
    <row r="1155" spans="1:31">
      <c r="A1155" s="88">
        <v>45638</v>
      </c>
      <c r="B1155" s="78">
        <v>76823745.0425203</v>
      </c>
      <c r="D1155" s="67">
        <f t="shared" ref="D1155" si="326">B1155</f>
        <v>76823745.0425203</v>
      </c>
      <c r="E1155" s="67">
        <f t="shared" ref="E1155" si="327">IF(MONTH(A1155)=MONTH(A1154),E1154,D1154)</f>
        <v>75288855.555961996</v>
      </c>
      <c r="F1155" s="67">
        <f t="shared" ref="F1155" si="328">B1155-C1155-D1154</f>
        <v>-1355817.4768414944</v>
      </c>
      <c r="G1155" s="70">
        <f t="shared" si="275"/>
        <v>-1.7342351800775497E-2</v>
      </c>
      <c r="H1155" s="67">
        <f t="shared" ref="H1155" si="329">IF(WEEKNUM(A1155)=WEEKNUM(A1154),H1154+F1155,F1155)</f>
        <v>-2370984.8836572021</v>
      </c>
      <c r="I1155" s="70">
        <f t="shared" ref="I1155" si="330">IF(WEEKNUM(A1155)=WEEKNUM(A1154),I1154+G1155,G1155)</f>
        <v>-2.9598270767490699E-2</v>
      </c>
      <c r="J1155" s="67">
        <f t="shared" ref="J1155" si="331">IF(MONTH(A1155)=MONTH(A1154),J1154+F1155,F1155)</f>
        <v>1334889.4865583032</v>
      </c>
      <c r="K1155" s="70">
        <f t="shared" ref="K1155" si="332">(1+K1154)*(1+G1155)-1</f>
        <v>1.7813129204194311E-2</v>
      </c>
      <c r="L1155" s="70">
        <f t="shared" ref="L1155" si="333">1+G1155</f>
        <v>0.98265764819922452</v>
      </c>
      <c r="M1155" s="70">
        <f>PRODUCT($L$2:L1155)-1</f>
        <v>0.72159578654325918</v>
      </c>
      <c r="N1155" s="70">
        <f>PRODUCT($L$909:L1155)-1</f>
        <v>0.36042879604939948</v>
      </c>
      <c r="O1155" s="70">
        <f>AVERAGE($G$909:G1155)*252</f>
        <v>0.44186480189409333</v>
      </c>
      <c r="P1155" s="70">
        <f>STDEV($G$909:G1155)*252^0.5</f>
        <v>0.50451196470899973</v>
      </c>
      <c r="Q1155" s="67">
        <f t="shared" ref="Q1155" si="334">B1155-C1155-D1124</f>
        <v>4541194.2055311054</v>
      </c>
      <c r="R1155" s="70">
        <f t="shared" ref="R1155" si="335">Q1155/B1124</f>
        <v>6.2825594184858752E-2</v>
      </c>
      <c r="S1155" s="67">
        <f t="shared" ref="S1155" si="336">B1155-C1155-D1064</f>
        <v>29511419.534221597</v>
      </c>
      <c r="T1155" s="70">
        <f t="shared" ref="T1155" si="337">S1155/B1064</f>
        <v>0.62375753500100561</v>
      </c>
      <c r="U1155" s="67">
        <f t="shared" ref="U1155" si="338">B1155-C1155-D789</f>
        <v>35440340.852520302</v>
      </c>
      <c r="V1155" s="70">
        <f t="shared" ref="V1155" si="339">U1155/B789</f>
        <v>0.8563901773234065</v>
      </c>
      <c r="W1155" s="87">
        <f t="shared" ref="W1155" si="340">O1155/P1155</f>
        <v>0.87582620988772586</v>
      </c>
      <c r="X1155" s="142">
        <f t="shared" si="253"/>
        <v>1.7857142857142857E-4</v>
      </c>
      <c r="Y1155" s="139">
        <f t="shared" ref="Y1155" si="341">G1155-X1155</f>
        <v>-1.7520923229346924E-2</v>
      </c>
      <c r="Z1155" s="139">
        <f t="shared" ref="Z1155" si="342">IF(Y1155&lt;0,Y1155,0)</f>
        <v>-1.7520923229346924E-2</v>
      </c>
      <c r="AA1155" s="139">
        <f t="shared" ref="AA1155" si="343">Z1155^2</f>
        <v>3.0698275080866862E-4</v>
      </c>
      <c r="AB1155" s="144">
        <f t="shared" ref="AB1155" si="344">AVERAGE(Y902:Y1155)/AVERAGE(AA902:AA1155)</f>
        <v>3.8109715616311814</v>
      </c>
      <c r="AC1155" s="144">
        <f t="shared" ref="AC1155" si="345">AVERAGE(G1124:G1155)-_xlfn.NORM.S.INV(0.95)*_xlfn.STDEV.S(G1124:G1155)</f>
        <v>-3.5539062382197631E-2</v>
      </c>
      <c r="AD1155" s="144">
        <f t="shared" ref="AD1155" si="346">AVERAGE(G1064:G1155)-_xlfn.NORM.S.INV(0.95)*_xlfn.STDEV.S(G1064:G1155)</f>
        <v>-4.3143222041054884E-2</v>
      </c>
      <c r="AE1155" s="144">
        <f t="shared" ref="AE1155" si="347">AVERAGE(G789:G1155)-_xlfn.NORM.S.INV(0.95)*_xlfn.STDEV.S(G789:G1155)</f>
        <v>-4.7677056165782113E-2</v>
      </c>
    </row>
    <row r="1156" spans="1:31">
      <c r="A1156" s="88">
        <v>45639</v>
      </c>
      <c r="B1156" s="78">
        <v>76579798.656568497</v>
      </c>
      <c r="D1156" s="67">
        <f t="shared" ref="D1156" si="348">B1156</f>
        <v>76579798.656568497</v>
      </c>
      <c r="E1156" s="67">
        <f t="shared" ref="E1156" si="349">IF(MONTH(A1156)=MONTH(A1155),E1155,D1155)</f>
        <v>75288855.555961996</v>
      </c>
      <c r="F1156" s="67">
        <f t="shared" ref="F1156" si="350">B1156-C1156-D1155</f>
        <v>-243946.38595180213</v>
      </c>
      <c r="G1156" s="70">
        <f t="shared" si="275"/>
        <v>-3.1754034617393753E-3</v>
      </c>
      <c r="H1156" s="67">
        <f t="shared" ref="H1156" si="351">IF(WEEKNUM(A1156)=WEEKNUM(A1155),H1155+F1156,F1156)</f>
        <v>-2614931.2696090043</v>
      </c>
      <c r="I1156" s="70">
        <f t="shared" ref="I1156" si="352">IF(WEEKNUM(A1156)=WEEKNUM(A1155),I1155+G1156,G1156)</f>
        <v>-3.2773674229230075E-2</v>
      </c>
      <c r="J1156" s="67">
        <f t="shared" ref="J1156" si="353">IF(MONTH(A1156)=MONTH(A1155),J1155+F1156,F1156)</f>
        <v>1090943.1006065011</v>
      </c>
      <c r="K1156" s="70">
        <f t="shared" ref="K1156" si="354">(1+K1155)*(1+G1156)-1</f>
        <v>1.4581161870315551E-2</v>
      </c>
      <c r="L1156" s="70">
        <f t="shared" ref="L1156" si="355">1+G1156</f>
        <v>0.99682459653826061</v>
      </c>
      <c r="M1156" s="70">
        <f>PRODUCT($L$2:L1156)-1</f>
        <v>0.71612902532295375</v>
      </c>
      <c r="N1156" s="70">
        <f>PRODUCT($L$909:L1156)-1</f>
        <v>0.35610888574097421</v>
      </c>
      <c r="O1156" s="70">
        <f>AVERAGE($G$909:G1156)*252</f>
        <v>0.43685646933662386</v>
      </c>
      <c r="P1156" s="70">
        <f>STDEV($G$909:G1156)*252^0.5</f>
        <v>0.50351416320445319</v>
      </c>
      <c r="Q1156" s="67">
        <f t="shared" ref="Q1156" si="356">B1156-C1156-D1125</f>
        <v>8468609.1730270982</v>
      </c>
      <c r="R1156" s="70">
        <f t="shared" ref="R1156" si="357">Q1156/B1125</f>
        <v>0.12433506502002112</v>
      </c>
      <c r="S1156" s="67">
        <f t="shared" ref="S1156" si="358">B1156-C1156-D1065</f>
        <v>24817406.663144298</v>
      </c>
      <c r="T1156" s="70">
        <f t="shared" ref="T1156" si="359">S1156/B1065</f>
        <v>0.47944860558795382</v>
      </c>
      <c r="U1156" s="67">
        <f t="shared" ref="U1156" si="360">B1156-C1156-D790</f>
        <v>34299480.086568497</v>
      </c>
      <c r="V1156" s="70">
        <f t="shared" ref="V1156" si="361">U1156/B790</f>
        <v>0.81123986872950604</v>
      </c>
      <c r="W1156" s="87">
        <f t="shared" ref="W1156" si="362">O1156/P1156</f>
        <v>0.86761505685637919</v>
      </c>
      <c r="X1156" s="142">
        <f t="shared" si="253"/>
        <v>1.7857142857142857E-4</v>
      </c>
      <c r="Y1156" s="139">
        <f t="shared" ref="Y1156" si="363">G1156-X1156</f>
        <v>-3.3539748903108038E-3</v>
      </c>
      <c r="Z1156" s="139">
        <f t="shared" ref="Z1156" si="364">IF(Y1156&lt;0,Y1156,0)</f>
        <v>-3.3539748903108038E-3</v>
      </c>
      <c r="AA1156" s="139">
        <f t="shared" ref="AA1156" si="365">Z1156^2</f>
        <v>1.1249147564835368E-5</v>
      </c>
      <c r="AB1156" s="144">
        <f t="shared" ref="AB1156" si="366">AVERAGE(Y903:Y1156)/AVERAGE(AA903:AA1156)</f>
        <v>3.2709994493415806</v>
      </c>
      <c r="AC1156" s="144">
        <f t="shared" ref="AC1156" si="367">AVERAGE(G1125:G1156)-_xlfn.NORM.S.INV(0.95)*_xlfn.STDEV.S(G1125:G1156)</f>
        <v>-3.4645768252941786E-2</v>
      </c>
      <c r="AD1156" s="144">
        <f t="shared" ref="AD1156" si="368">AVERAGE(G1065:G1156)-_xlfn.NORM.S.INV(0.95)*_xlfn.STDEV.S(G1065:G1156)</f>
        <v>-4.2496789931659555E-2</v>
      </c>
      <c r="AE1156" s="144">
        <f t="shared" ref="AE1156" si="369">AVERAGE(G790:G1156)-_xlfn.NORM.S.INV(0.95)*_xlfn.STDEV.S(G790:G1156)</f>
        <v>-4.7715210242085249E-2</v>
      </c>
    </row>
    <row r="1157" spans="1:31">
      <c r="A1157" s="88">
        <v>45642</v>
      </c>
      <c r="B1157" s="78">
        <v>76740517.720513999</v>
      </c>
      <c r="D1157" s="67">
        <f t="shared" ref="D1157" si="370">B1157</f>
        <v>76740517.720513999</v>
      </c>
      <c r="E1157" s="67">
        <f t="shared" ref="E1157" si="371">IF(MONTH(A1157)=MONTH(A1156),E1156,D1156)</f>
        <v>75288855.555961996</v>
      </c>
      <c r="F1157" s="67">
        <f t="shared" ref="F1157" si="372">B1157-C1157-D1156</f>
        <v>160719.06394550204</v>
      </c>
      <c r="G1157" s="70">
        <f t="shared" si="275"/>
        <v>2.0987135871989742E-3</v>
      </c>
      <c r="H1157" s="67">
        <f t="shared" ref="H1157" si="373">IF(WEEKNUM(A1157)=WEEKNUM(A1156),H1156+F1157,F1157)</f>
        <v>160719.06394550204</v>
      </c>
      <c r="I1157" s="70">
        <f t="shared" ref="I1157" si="374">IF(WEEKNUM(A1157)=WEEKNUM(A1156),I1156+G1157,G1157)</f>
        <v>2.0987135871989742E-3</v>
      </c>
      <c r="J1157" s="67">
        <f t="shared" ref="J1157" si="375">IF(MONTH(A1157)=MONTH(A1156),J1156+F1157,F1157)</f>
        <v>1251662.1645520031</v>
      </c>
      <c r="K1157" s="70">
        <f t="shared" ref="K1157" si="376">(1+K1156)*(1+G1157)-1</f>
        <v>1.6710477140049029E-2</v>
      </c>
      <c r="L1157" s="70">
        <f t="shared" ref="L1157" si="377">1+G1157</f>
        <v>1.002098713587199</v>
      </c>
      <c r="M1157" s="70">
        <f>PRODUCT($L$2:L1157)-1</f>
        <v>0.71973068862578571</v>
      </c>
      <c r="N1157" s="70">
        <f>PRODUCT($L$909:L1157)-1</f>
        <v>0.35895496988520015</v>
      </c>
      <c r="O1157" s="70">
        <f>AVERAGE($G$909:G1157)*252</f>
        <v>0.43722602497773844</v>
      </c>
      <c r="P1157" s="70">
        <f>STDEV($G$909:G1157)*252^0.5</f>
        <v>0.50249812255193027</v>
      </c>
      <c r="Q1157" s="67">
        <f t="shared" ref="Q1157" si="378">B1157-C1157-D1126</f>
        <v>7258349.0614093989</v>
      </c>
      <c r="R1157" s="70">
        <f t="shared" ref="R1157" si="379">Q1157/B1126</f>
        <v>0.10446347892537031</v>
      </c>
      <c r="S1157" s="67">
        <f t="shared" ref="S1157" si="380">B1157-C1157-D1066</f>
        <v>24219267.700759299</v>
      </c>
      <c r="T1157" s="70">
        <f t="shared" ref="T1157" si="381">S1157/B1066</f>
        <v>0.46113273563842749</v>
      </c>
      <c r="U1157" s="67">
        <f t="shared" ref="U1157" si="382">B1157-C1157-D791</f>
        <v>34602940.770513996</v>
      </c>
      <c r="V1157" s="70">
        <f t="shared" ref="V1157" si="383">U1157/B791</f>
        <v>0.82118961922213696</v>
      </c>
      <c r="W1157" s="87">
        <f t="shared" ref="W1157" si="384">O1157/P1157</f>
        <v>0.87010479314289113</v>
      </c>
      <c r="X1157" s="142">
        <f t="shared" si="253"/>
        <v>1.7857142857142857E-4</v>
      </c>
      <c r="Y1157" s="139">
        <f t="shared" ref="Y1157" si="385">G1157-X1157</f>
        <v>1.9201421586275457E-3</v>
      </c>
      <c r="Z1157" s="139">
        <f t="shared" ref="Z1157" si="386">IF(Y1157&lt;0,Y1157,0)</f>
        <v>0</v>
      </c>
      <c r="AA1157" s="139">
        <f t="shared" ref="AA1157" si="387">Z1157^2</f>
        <v>0</v>
      </c>
      <c r="AB1157" s="144">
        <f t="shared" ref="AB1157" si="388">AVERAGE(Y904:Y1157)/AVERAGE(AA904:AA1157)</f>
        <v>3.2052383318578981</v>
      </c>
      <c r="AC1157" s="144">
        <f t="shared" ref="AC1157" si="389">AVERAGE(G1126:G1157)-_xlfn.NORM.S.INV(0.95)*_xlfn.STDEV.S(G1126:G1157)</f>
        <v>-2.8088224972183537E-2</v>
      </c>
      <c r="AD1157" s="144">
        <f t="shared" ref="AD1157" si="390">AVERAGE(G1066:G1157)-_xlfn.NORM.S.INV(0.95)*_xlfn.STDEV.S(G1066:G1157)</f>
        <v>-4.1027879297959272E-2</v>
      </c>
      <c r="AE1157" s="144">
        <f t="shared" ref="AE1157" si="391">AVERAGE(G791:G1157)-_xlfn.NORM.S.INV(0.95)*_xlfn.STDEV.S(G791:G1157)</f>
        <v>-4.7739411318986208E-2</v>
      </c>
    </row>
    <row r="1158" spans="1:31">
      <c r="A1158" s="88">
        <v>45643</v>
      </c>
      <c r="B1158" s="78">
        <v>75616350.592625797</v>
      </c>
      <c r="D1158" s="67">
        <f t="shared" ref="D1158" si="392">B1158</f>
        <v>75616350.592625797</v>
      </c>
      <c r="E1158" s="67">
        <f t="shared" ref="E1158" si="393">IF(MONTH(A1158)=MONTH(A1157),E1157,D1157)</f>
        <v>75288855.555961996</v>
      </c>
      <c r="F1158" s="67">
        <f t="shared" ref="F1158" si="394">B1158-C1158-D1157</f>
        <v>-1124167.1278882027</v>
      </c>
      <c r="G1158" s="70">
        <f t="shared" si="275"/>
        <v>-1.4648938543552389E-2</v>
      </c>
      <c r="H1158" s="67">
        <f t="shared" ref="H1158" si="395">IF(WEEKNUM(A1158)=WEEKNUM(A1157),H1157+F1158,F1158)</f>
        <v>-963448.06394270062</v>
      </c>
      <c r="I1158" s="70">
        <f t="shared" ref="I1158" si="396">IF(WEEKNUM(A1158)=WEEKNUM(A1157),I1157+G1158,G1158)</f>
        <v>-1.2550224956353415E-2</v>
      </c>
      <c r="J1158" s="67">
        <f t="shared" ref="J1158" si="397">IF(MONTH(A1158)=MONTH(A1157),J1157+F1158,F1158)</f>
        <v>127495.03666380048</v>
      </c>
      <c r="K1158" s="70">
        <f t="shared" ref="K1158" si="398">(1+K1157)*(1+G1158)-1</f>
        <v>1.816747843838673E-3</v>
      </c>
      <c r="L1158" s="70">
        <f t="shared" ref="L1158" si="399">1+G1158</f>
        <v>0.98535106145644757</v>
      </c>
      <c r="M1158" s="70">
        <f>PRODUCT($L$2:L1158)-1</f>
        <v>0.6945384594566455</v>
      </c>
      <c r="N1158" s="70">
        <f>PRODUCT($L$909:L1158)-1</f>
        <v>0.33904772204789668</v>
      </c>
      <c r="O1158" s="70">
        <f>AVERAGE($G$909:G1158)*252</f>
        <v>0.42071099082592667</v>
      </c>
      <c r="P1158" s="70">
        <f>STDEV($G$909:G1158)*252^0.5</f>
        <v>0.50175778132480542</v>
      </c>
      <c r="Q1158" s="67">
        <f t="shared" ref="Q1158" si="400">B1158-C1158-D1127</f>
        <v>7738884.0299724936</v>
      </c>
      <c r="R1158" s="70">
        <f t="shared" ref="R1158" si="401">Q1158/B1127</f>
        <v>0.11401256443225131</v>
      </c>
      <c r="S1158" s="67">
        <f t="shared" ref="S1158" si="402">B1158-C1158-D1067</f>
        <v>22216130.822720796</v>
      </c>
      <c r="T1158" s="70">
        <f t="shared" ref="T1158" si="403">S1158/B1067</f>
        <v>0.41603070021897626</v>
      </c>
      <c r="U1158" s="67">
        <f t="shared" ref="U1158" si="404">B1158-C1158-D792</f>
        <v>35468574.632625796</v>
      </c>
      <c r="V1158" s="70">
        <f t="shared" ref="V1158" si="405">U1158/B792</f>
        <v>0.88345054699826508</v>
      </c>
      <c r="W1158" s="87">
        <f t="shared" ref="W1158" si="406">O1158/P1158</f>
        <v>0.83847427281568288</v>
      </c>
      <c r="X1158" s="142">
        <f t="shared" si="253"/>
        <v>1.7857142857142857E-4</v>
      </c>
      <c r="Y1158" s="139">
        <f t="shared" ref="Y1158" si="407">G1158-X1158</f>
        <v>-1.4827509972123818E-2</v>
      </c>
      <c r="Z1158" s="139">
        <f t="shared" ref="Z1158" si="408">IF(Y1158&lt;0,Y1158,0)</f>
        <v>-1.4827509972123818E-2</v>
      </c>
      <c r="AA1158" s="139">
        <f t="shared" ref="AA1158" si="409">Z1158^2</f>
        <v>2.1985505197343126E-4</v>
      </c>
      <c r="AB1158" s="144">
        <f t="shared" ref="AB1158" si="410">AVERAGE(Y905:Y1158)/AVERAGE(AA905:AA1158)</f>
        <v>3.0873377068719479</v>
      </c>
      <c r="AC1158" s="144">
        <f t="shared" ref="AC1158" si="411">AVERAGE(G1127:G1158)-_xlfn.NORM.S.INV(0.95)*_xlfn.STDEV.S(G1127:G1158)</f>
        <v>-2.9294051126498147E-2</v>
      </c>
      <c r="AD1158" s="144">
        <f t="shared" ref="AD1158" si="412">AVERAGE(G1067:G1158)-_xlfn.NORM.S.INV(0.95)*_xlfn.STDEV.S(G1067:G1158)</f>
        <v>-4.1437077735249142E-2</v>
      </c>
      <c r="AE1158" s="144">
        <f t="shared" ref="AE1158" si="413">AVERAGE(G792:G1158)-_xlfn.NORM.S.INV(0.95)*_xlfn.STDEV.S(G792:G1158)</f>
        <v>-4.7788375392273645E-2</v>
      </c>
    </row>
    <row r="1159" spans="1:31">
      <c r="A1159" s="88">
        <v>45644</v>
      </c>
      <c r="B1159" s="78">
        <v>70343066.272483796</v>
      </c>
      <c r="D1159" s="67">
        <f t="shared" ref="D1159" si="414">B1159</f>
        <v>70343066.272483796</v>
      </c>
      <c r="E1159" s="67">
        <f t="shared" ref="E1159" si="415">IF(MONTH(A1159)=MONTH(A1158),E1158,D1158)</f>
        <v>75288855.555961996</v>
      </c>
      <c r="F1159" s="67">
        <f t="shared" ref="F1159" si="416">B1159-C1159-D1158</f>
        <v>-5273284.3201420009</v>
      </c>
      <c r="G1159" s="70">
        <f t="shared" si="275"/>
        <v>-6.973735546365098E-2</v>
      </c>
      <c r="H1159" s="67">
        <f t="shared" ref="H1159" si="417">IF(WEEKNUM(A1159)=WEEKNUM(A1158),H1158+F1159,F1159)</f>
        <v>-6236732.3840847015</v>
      </c>
      <c r="I1159" s="70">
        <f t="shared" ref="I1159" si="418">IF(WEEKNUM(A1159)=WEEKNUM(A1158),I1158+G1159,G1159)</f>
        <v>-8.2287580420004391E-2</v>
      </c>
      <c r="J1159" s="67">
        <f t="shared" ref="J1159" si="419">IF(MONTH(A1159)=MONTH(A1158),J1158+F1159,F1159)</f>
        <v>-5145789.2834782004</v>
      </c>
      <c r="K1159" s="70">
        <f t="shared" ref="K1159" si="420">(1+K1158)*(1+G1159)-1</f>
        <v>-6.8047302809985943E-2</v>
      </c>
      <c r="L1159" s="70">
        <f t="shared" ref="L1159" si="421">1+G1159</f>
        <v>0.93026264453634899</v>
      </c>
      <c r="M1159" s="70">
        <f>PRODUCT($L$2:L1159)-1</f>
        <v>0.57636582856268981</v>
      </c>
      <c r="N1159" s="70">
        <f>PRODUCT($L$909:L1159)-1</f>
        <v>0.24566607507265026</v>
      </c>
      <c r="O1159" s="70">
        <f>AVERAGE($G$909:G1159)*252</f>
        <v>0.34901965788701839</v>
      </c>
      <c r="P1159" s="70">
        <f>STDEV($G$909:G1159)*252^0.5</f>
        <v>0.50583898567488661</v>
      </c>
      <c r="Q1159" s="67">
        <f t="shared" ref="Q1159" si="422">B1159-C1159-D1128</f>
        <v>-678248.69275461137</v>
      </c>
      <c r="R1159" s="70">
        <f t="shared" ref="R1159" si="423">Q1159/B1128</f>
        <v>-9.5499314971369108E-3</v>
      </c>
      <c r="S1159" s="67">
        <f t="shared" ref="S1159" si="424">B1159-C1159-D1068</f>
        <v>13798411.5572313</v>
      </c>
      <c r="T1159" s="70">
        <f t="shared" ref="T1159" si="425">S1159/B1068</f>
        <v>0.24402680725025777</v>
      </c>
      <c r="U1159" s="67">
        <f t="shared" ref="U1159" si="426">B1159-C1159-D793</f>
        <v>30298730.562483795</v>
      </c>
      <c r="V1159" s="70">
        <f t="shared" ref="V1159" si="427">U1159/B793</f>
        <v>0.75662962127543787</v>
      </c>
      <c r="W1159" s="87">
        <f t="shared" ref="W1159" si="428">O1159/P1159</f>
        <v>0.68998172891193621</v>
      </c>
      <c r="X1159" s="142">
        <f t="shared" si="253"/>
        <v>1.7857142857142857E-4</v>
      </c>
      <c r="Y1159" s="139">
        <f t="shared" ref="Y1159" si="429">G1159-X1159</f>
        <v>-6.991592689222241E-2</v>
      </c>
      <c r="Z1159" s="139">
        <f t="shared" ref="Z1159" si="430">IF(Y1159&lt;0,Y1159,0)</f>
        <v>-6.991592689222241E-2</v>
      </c>
      <c r="AA1159" s="139">
        <f t="shared" ref="AA1159" si="431">Z1159^2</f>
        <v>4.8882368331985889E-3</v>
      </c>
      <c r="AB1159" s="144">
        <f t="shared" ref="AB1159" si="432">AVERAGE(Y906:Y1159)/AVERAGE(AA906:AA1159)</f>
        <v>2.1099799664622818</v>
      </c>
      <c r="AC1159" s="144">
        <f t="shared" ref="AC1159" si="433">AVERAGE(G1128:G1159)-_xlfn.NORM.S.INV(0.95)*_xlfn.STDEV.S(G1128:G1159)</f>
        <v>-3.7772303376210202E-2</v>
      </c>
      <c r="AD1159" s="144">
        <f t="shared" ref="AD1159" si="434">AVERAGE(G1068:G1159)-_xlfn.NORM.S.INV(0.95)*_xlfn.STDEV.S(G1068:G1159)</f>
        <v>-4.4057546649683643E-2</v>
      </c>
      <c r="AE1159" s="144">
        <f t="shared" ref="AE1159" si="435">AVERAGE(G793:G1159)-_xlfn.NORM.S.INV(0.95)*_xlfn.STDEV.S(G793:G1159)</f>
        <v>-4.8051511935980729E-2</v>
      </c>
    </row>
    <row r="1160" spans="1:31">
      <c r="A1160" s="88">
        <v>45645</v>
      </c>
      <c r="B1160" s="78">
        <v>69661755.750236794</v>
      </c>
      <c r="D1160" s="67">
        <f t="shared" ref="D1160" si="436">B1160</f>
        <v>69661755.750236794</v>
      </c>
      <c r="E1160" s="67">
        <f t="shared" ref="E1160" si="437">IF(MONTH(A1160)=MONTH(A1159),E1159,D1159)</f>
        <v>75288855.555961996</v>
      </c>
      <c r="F1160" s="67">
        <f t="shared" ref="F1160" si="438">B1160-C1160-D1159</f>
        <v>-681310.52224700153</v>
      </c>
      <c r="G1160" s="70">
        <f t="shared" si="275"/>
        <v>-9.685539149059114E-3</v>
      </c>
      <c r="H1160" s="67">
        <f t="shared" ref="H1160" si="439">IF(WEEKNUM(A1160)=WEEKNUM(A1159),H1159+F1160,F1160)</f>
        <v>-6918042.9063317031</v>
      </c>
      <c r="I1160" s="70">
        <f t="shared" ref="I1160" si="440">IF(WEEKNUM(A1160)=WEEKNUM(A1159),I1159+G1160,G1160)</f>
        <v>-9.1973119569063511E-2</v>
      </c>
      <c r="J1160" s="67">
        <f t="shared" ref="J1160" si="441">IF(MONTH(A1160)=MONTH(A1159),J1159+F1160,F1160)</f>
        <v>-5827099.805725202</v>
      </c>
      <c r="K1160" s="70">
        <f t="shared" ref="K1160" si="442">(1+K1159)*(1+G1160)-1</f>
        <v>-7.7073767143691074E-2</v>
      </c>
      <c r="L1160" s="70">
        <f t="shared" ref="L1160" si="443">1+G1160</f>
        <v>0.99031446085094088</v>
      </c>
      <c r="M1160" s="70">
        <f>PRODUCT($L$2:L1160)-1</f>
        <v>0.56109787561690694</v>
      </c>
      <c r="N1160" s="70">
        <f>PRODUCT($L$909:L1160)-1</f>
        <v>0.23360112753587936</v>
      </c>
      <c r="O1160" s="70">
        <f>AVERAGE($G$909:G1160)*252</f>
        <v>0.33794912009555045</v>
      </c>
      <c r="P1160" s="70">
        <f>STDEV($G$909:G1160)*252^0.5</f>
        <v>0.50495170222162078</v>
      </c>
      <c r="Q1160" s="67">
        <f t="shared" ref="Q1160" si="444">B1160-C1160-D1129</f>
        <v>-4913761.709022209</v>
      </c>
      <c r="R1160" s="70">
        <f t="shared" ref="R1160" si="445">Q1160/B1129</f>
        <v>-6.5889743396103456E-2</v>
      </c>
      <c r="S1160" s="67">
        <f t="shared" ref="S1160" si="446">B1160-C1160-D1069</f>
        <v>12969717.483471692</v>
      </c>
      <c r="T1160" s="70">
        <f t="shared" ref="T1160" si="447">S1160/B1069</f>
        <v>0.22877493701042326</v>
      </c>
      <c r="U1160" s="67">
        <f t="shared" ref="U1160" si="448">B1160-C1160-D794</f>
        <v>29618819.990236796</v>
      </c>
      <c r="V1160" s="70">
        <f t="shared" ref="V1160" si="449">U1160/B794</f>
        <v>0.73967653540087985</v>
      </c>
      <c r="W1160" s="87">
        <f t="shared" ref="W1160" si="450">O1160/P1160</f>
        <v>0.66927018684893202</v>
      </c>
      <c r="X1160" s="142">
        <f t="shared" si="253"/>
        <v>1.7857142857142857E-4</v>
      </c>
      <c r="Y1160" s="139">
        <f t="shared" ref="Y1160" si="451">G1160-X1160</f>
        <v>-9.8641105776305429E-3</v>
      </c>
      <c r="Z1160" s="139">
        <f t="shared" ref="Z1160" si="452">IF(Y1160&lt;0,Y1160,0)</f>
        <v>-9.8641105776305429E-3</v>
      </c>
      <c r="AA1160" s="139">
        <f t="shared" ref="AA1160" si="453">Z1160^2</f>
        <v>9.7300677487722762E-5</v>
      </c>
      <c r="AB1160" s="144">
        <f t="shared" ref="AB1160" si="454">AVERAGE(Y907:Y1160)/AVERAGE(AA907:AA1160)</f>
        <v>1.740951347278878</v>
      </c>
      <c r="AC1160" s="144">
        <f t="shared" ref="AC1160" si="455">AVERAGE(G1129:G1160)-_xlfn.NORM.S.INV(0.95)*_xlfn.STDEV.S(G1129:G1160)</f>
        <v>-3.7218594386915327E-2</v>
      </c>
      <c r="AD1160" s="144">
        <f t="shared" ref="AD1160" si="456">AVERAGE(G1069:G1160)-_xlfn.NORM.S.INV(0.95)*_xlfn.STDEV.S(G1069:G1160)</f>
        <v>-4.3885549212583613E-2</v>
      </c>
      <c r="AE1160" s="144">
        <f t="shared" ref="AE1160" si="457">AVERAGE(G794:G1160)-_xlfn.NORM.S.INV(0.95)*_xlfn.STDEV.S(G794:G1160)</f>
        <v>-4.8079210793480098E-2</v>
      </c>
    </row>
    <row r="1161" spans="1:31">
      <c r="A1161" s="88">
        <v>45646</v>
      </c>
      <c r="B1161" s="78">
        <v>72017375.235193595</v>
      </c>
      <c r="D1161" s="67">
        <f t="shared" ref="D1161" si="458">B1161</f>
        <v>72017375.235193595</v>
      </c>
      <c r="E1161" s="67">
        <f t="shared" ref="E1161" si="459">IF(MONTH(A1161)=MONTH(A1160),E1160,D1160)</f>
        <v>75288855.555961996</v>
      </c>
      <c r="F1161" s="67">
        <f t="shared" ref="F1161" si="460">B1161-C1161-D1160</f>
        <v>2355619.4849568009</v>
      </c>
      <c r="G1161" s="70">
        <f t="shared" si="275"/>
        <v>3.3815103561308006E-2</v>
      </c>
      <c r="H1161" s="67">
        <f t="shared" ref="H1161" si="461">IF(WEEKNUM(A1161)=WEEKNUM(A1160),H1160+F1161,F1161)</f>
        <v>-4562423.4213749021</v>
      </c>
      <c r="I1161" s="70">
        <f t="shared" ref="I1161" si="462">IF(WEEKNUM(A1161)=WEEKNUM(A1160),I1160+G1161,G1161)</f>
        <v>-5.8158016007755504E-2</v>
      </c>
      <c r="J1161" s="67">
        <f t="shared" ref="J1161" si="463">IF(MONTH(A1161)=MONTH(A1160),J1160+F1161,F1161)</f>
        <v>-3471480.320768401</v>
      </c>
      <c r="K1161" s="70">
        <f t="shared" ref="K1161" si="464">(1+K1160)*(1+G1161)-1</f>
        <v>-4.5864921000207226E-2</v>
      </c>
      <c r="L1161" s="70">
        <f t="shared" ref="L1161" si="465">1+G1161</f>
        <v>1.0338151035613079</v>
      </c>
      <c r="M1161" s="70">
        <f>PRODUCT($L$2:L1161)-1</f>
        <v>0.6138865619502305</v>
      </c>
      <c r="N1161" s="70">
        <f>PRODUCT($L$909:L1161)-1</f>
        <v>0.27531547741685136</v>
      </c>
      <c r="O1161" s="70">
        <f>AVERAGE($G$909:G1161)*252</f>
        <v>0.37029479984793806</v>
      </c>
      <c r="P1161" s="70">
        <f>STDEV($G$909:G1161)*252^0.5</f>
        <v>0.50498990676052735</v>
      </c>
      <c r="Q1161" s="67">
        <f t="shared" ref="Q1161" si="466">B1161-C1161-D1130</f>
        <v>-5231453.8270529062</v>
      </c>
      <c r="R1161" s="70">
        <f t="shared" ref="R1161" si="467">Q1161/B1130</f>
        <v>-6.7722111656054254E-2</v>
      </c>
      <c r="S1161" s="67">
        <f t="shared" ref="S1161" si="468">B1161-C1161-D1070</f>
        <v>12211856.785380095</v>
      </c>
      <c r="T1161" s="70">
        <f t="shared" ref="T1161" si="469">S1161/B1070</f>
        <v>0.20419280865573999</v>
      </c>
      <c r="U1161" s="67">
        <f t="shared" ref="U1161" si="470">B1161-C1161-D795</f>
        <v>31589734.305193596</v>
      </c>
      <c r="V1161" s="70">
        <f t="shared" ref="V1161" si="471">U1161/B795</f>
        <v>0.78138950427235809</v>
      </c>
      <c r="W1161" s="87">
        <f t="shared" ref="W1161" si="472">O1161/P1161</f>
        <v>0.73327168501911577</v>
      </c>
      <c r="X1161" s="142">
        <f t="shared" si="253"/>
        <v>1.7857142857142857E-4</v>
      </c>
      <c r="Y1161" s="139">
        <f t="shared" ref="Y1161" si="473">G1161-X1161</f>
        <v>3.3636532132736575E-2</v>
      </c>
      <c r="Z1161" s="139">
        <f t="shared" ref="Z1161" si="474">IF(Y1161&lt;0,Y1161,0)</f>
        <v>0</v>
      </c>
      <c r="AA1161" s="139">
        <f t="shared" ref="AA1161" si="475">Z1161^2</f>
        <v>0</v>
      </c>
      <c r="AB1161" s="144">
        <f t="shared" ref="AB1161" si="476">AVERAGE(Y908:Y1161)/AVERAGE(AA908:AA1161)</f>
        <v>2.115730715310145</v>
      </c>
      <c r="AC1161" s="144">
        <f t="shared" ref="AC1161" si="477">AVERAGE(G1130:G1161)-_xlfn.NORM.S.INV(0.95)*_xlfn.STDEV.S(G1130:G1161)</f>
        <v>-3.6046019851720186E-2</v>
      </c>
      <c r="AD1161" s="144">
        <f t="shared" ref="AD1161" si="478">AVERAGE(G1070:G1161)-_xlfn.NORM.S.INV(0.95)*_xlfn.STDEV.S(G1070:G1161)</f>
        <v>-4.38444215122505E-2</v>
      </c>
      <c r="AE1161" s="144">
        <f t="shared" ref="AE1161" si="479">AVERAGE(G795:G1161)-_xlfn.NORM.S.INV(0.95)*_xlfn.STDEV.S(G795:G1161)</f>
        <v>-4.8062674040666775E-2</v>
      </c>
    </row>
    <row r="1162" spans="1:31">
      <c r="A1162" s="88">
        <v>45649</v>
      </c>
      <c r="B1162" s="78">
        <v>74183361.931585699</v>
      </c>
      <c r="D1162" s="67">
        <f t="shared" ref="D1162" si="480">B1162</f>
        <v>74183361.931585699</v>
      </c>
      <c r="E1162" s="67">
        <f t="shared" ref="E1162" si="481">IF(MONTH(A1162)=MONTH(A1161),E1161,D1161)</f>
        <v>75288855.555961996</v>
      </c>
      <c r="F1162" s="67">
        <f t="shared" ref="F1162" si="482">B1162-C1162-D1161</f>
        <v>2165986.696392104</v>
      </c>
      <c r="G1162" s="70">
        <f t="shared" si="275"/>
        <v>3.0075890565553761E-2</v>
      </c>
      <c r="H1162" s="67">
        <f t="shared" ref="H1162" si="483">IF(WEEKNUM(A1162)=WEEKNUM(A1161),H1161+F1162,F1162)</f>
        <v>2165986.696392104</v>
      </c>
      <c r="I1162" s="70">
        <f t="shared" ref="I1162" si="484">IF(WEEKNUM(A1162)=WEEKNUM(A1161),I1161+G1162,G1162)</f>
        <v>3.0075890565553761E-2</v>
      </c>
      <c r="J1162" s="67">
        <f t="shared" ref="J1162" si="485">IF(MONTH(A1162)=MONTH(A1161),J1161+F1162,F1162)</f>
        <v>-1305493.624376297</v>
      </c>
      <c r="K1162" s="70">
        <f t="shared" ref="K1162" si="486">(1+K1161)*(1+G1162)-1</f>
        <v>-1.7168458779453388E-2</v>
      </c>
      <c r="L1162" s="70">
        <f t="shared" ref="L1162" si="487">1+G1162</f>
        <v>1.0300758905655538</v>
      </c>
      <c r="M1162" s="70">
        <f>PRODUCT($L$2:L1162)-1</f>
        <v>0.66242563757266359</v>
      </c>
      <c r="N1162" s="70">
        <f>PRODUCT($L$909:L1162)-1</f>
        <v>0.31367172615219752</v>
      </c>
      <c r="O1162" s="70">
        <f>AVERAGE($G$909:G1162)*252</f>
        <v>0.39867601883483417</v>
      </c>
      <c r="P1162" s="70">
        <f>STDEV($G$909:G1162)*252^0.5</f>
        <v>0.50479572964483876</v>
      </c>
      <c r="Q1162" s="67">
        <f t="shared" ref="Q1162" si="488">B1162-C1162-D1131</f>
        <v>-3088399.3625750989</v>
      </c>
      <c r="R1162" s="70">
        <f t="shared" ref="R1162" si="489">Q1162/B1131</f>
        <v>-3.9968020798931629E-2</v>
      </c>
      <c r="S1162" s="67">
        <f t="shared" ref="S1162" si="490">B1162-C1162-D1071</f>
        <v>13046851.308472797</v>
      </c>
      <c r="T1162" s="70">
        <f t="shared" ref="T1162" si="491">S1162/B1071</f>
        <v>0.21340523323129246</v>
      </c>
      <c r="U1162" s="67">
        <f t="shared" ref="U1162" si="492">B1162-C1162-D796</f>
        <v>33765455.441585697</v>
      </c>
      <c r="V1162" s="70">
        <f t="shared" ref="V1162" si="493">U1162/B796</f>
        <v>0.83540832205002447</v>
      </c>
      <c r="W1162" s="87">
        <f t="shared" ref="W1162" si="494">O1162/P1162</f>
        <v>0.78977692445087111</v>
      </c>
      <c r="X1162" s="142">
        <f t="shared" si="253"/>
        <v>1.7857142857142857E-4</v>
      </c>
      <c r="Y1162" s="139">
        <f t="shared" ref="Y1162" si="495">G1162-X1162</f>
        <v>2.9897319136982334E-2</v>
      </c>
      <c r="Z1162" s="139">
        <f t="shared" ref="Z1162" si="496">IF(Y1162&lt;0,Y1162,0)</f>
        <v>0</v>
      </c>
      <c r="AA1162" s="139">
        <f t="shared" ref="AA1162" si="497">Z1162^2</f>
        <v>0</v>
      </c>
      <c r="AB1162" s="144">
        <f t="shared" ref="AB1162" si="498">AVERAGE(Y909:Y1162)/AVERAGE(AA909:AA1162)</f>
        <v>2.7419829225979111</v>
      </c>
      <c r="AC1162" s="144">
        <f t="shared" ref="AC1162" si="499">AVERAGE(G1131:G1162)-_xlfn.NORM.S.INV(0.95)*_xlfn.STDEV.S(G1131:G1162)</f>
        <v>-3.5735073202014515E-2</v>
      </c>
      <c r="AD1162" s="144">
        <f t="shared" ref="AD1162" si="500">AVERAGE(G1071:G1162)-_xlfn.NORM.S.INV(0.95)*_xlfn.STDEV.S(G1071:G1162)</f>
        <v>-4.3493752073559579E-2</v>
      </c>
      <c r="AE1162" s="144">
        <f t="shared" ref="AE1162" si="501">AVERAGE(G796:G1162)-_xlfn.NORM.S.INV(0.95)*_xlfn.STDEV.S(G796:G1162)</f>
        <v>-4.8061333468040861E-2</v>
      </c>
    </row>
    <row r="1163" spans="1:31">
      <c r="A1163" s="88">
        <v>45650</v>
      </c>
      <c r="B1163" s="78">
        <v>75925636.637719199</v>
      </c>
      <c r="D1163" s="67">
        <f t="shared" ref="D1163" si="502">B1163</f>
        <v>75925636.637719199</v>
      </c>
      <c r="E1163" s="67">
        <f t="shared" ref="E1163" si="503">IF(MONTH(A1163)=MONTH(A1162),E1162,D1162)</f>
        <v>75288855.555961996</v>
      </c>
      <c r="F1163" s="67">
        <f t="shared" ref="F1163" si="504">B1163-C1163-D1162</f>
        <v>1742274.7061334997</v>
      </c>
      <c r="G1163" s="70">
        <f t="shared" si="275"/>
        <v>2.3486057530532008E-2</v>
      </c>
      <c r="H1163" s="67">
        <f t="shared" ref="H1163" si="505">IF(WEEKNUM(A1163)=WEEKNUM(A1162),H1162+F1163,F1163)</f>
        <v>3908261.4025256038</v>
      </c>
      <c r="I1163" s="70">
        <f t="shared" ref="I1163" si="506">IF(WEEKNUM(A1163)=WEEKNUM(A1162),I1162+G1163,G1163)</f>
        <v>5.3561948096085769E-2</v>
      </c>
      <c r="J1163" s="67">
        <f t="shared" ref="J1163" si="507">IF(MONTH(A1163)=MONTH(A1162),J1162+F1163,F1163)</f>
        <v>436781.08175720274</v>
      </c>
      <c r="K1163" s="70">
        <f t="shared" ref="K1163" si="508">(1+K1162)*(1+G1163)-1</f>
        <v>5.9143793404738965E-3</v>
      </c>
      <c r="L1163" s="70">
        <f t="shared" ref="L1163" si="509">1+G1163</f>
        <v>1.023486057530532</v>
      </c>
      <c r="M1163" s="70">
        <f>PRODUCT($L$2:L1163)-1</f>
        <v>0.70146946173692659</v>
      </c>
      <c r="N1163" s="70">
        <f>PRODUCT($L$909:L1163)-1</f>
        <v>0.34452469588884127</v>
      </c>
      <c r="O1163" s="70">
        <f>AVERAGE($G$909:G1163)*252</f>
        <v>0.42032233443820372</v>
      </c>
      <c r="P1163" s="70">
        <f>STDEV($G$909:G1163)*252^0.5</f>
        <v>0.50427140156502959</v>
      </c>
      <c r="Q1163" s="67">
        <f t="shared" ref="Q1163" si="510">B1163-C1163-D1132</f>
        <v>-265104.46751789749</v>
      </c>
      <c r="R1163" s="70">
        <f t="shared" ref="R1163" si="511">Q1163/B1132</f>
        <v>-3.4794840379847032E-3</v>
      </c>
      <c r="S1163" s="67">
        <f t="shared" ref="S1163" si="512">B1163-C1163-D1072</f>
        <v>12726968.789729699</v>
      </c>
      <c r="T1163" s="70">
        <f t="shared" ref="T1163" si="513">S1163/B1072</f>
        <v>0.20138033321116236</v>
      </c>
      <c r="U1163" s="67">
        <f t="shared" ref="U1163" si="514">B1163-C1163-D797</f>
        <v>36360912.307719201</v>
      </c>
      <c r="V1163" s="70">
        <f t="shared" ref="V1163" si="515">U1163/B797</f>
        <v>0.91902352217701411</v>
      </c>
      <c r="W1163" s="87">
        <f t="shared" ref="W1163" si="516">O1163/P1163</f>
        <v>0.83352403712309275</v>
      </c>
      <c r="X1163" s="142">
        <f t="shared" si="253"/>
        <v>1.7857142857142857E-4</v>
      </c>
      <c r="Y1163" s="139">
        <f t="shared" ref="Y1163" si="517">G1163-X1163</f>
        <v>2.3307486101960581E-2</v>
      </c>
      <c r="Z1163" s="139">
        <f t="shared" ref="Z1163" si="518">IF(Y1163&lt;0,Y1163,0)</f>
        <v>0</v>
      </c>
      <c r="AA1163" s="139">
        <f t="shared" ref="AA1163" si="519">Z1163^2</f>
        <v>0</v>
      </c>
      <c r="AB1163" s="144">
        <f t="shared" ref="AB1163" si="520">AVERAGE(Y910:Y1163)/AVERAGE(AA910:AA1163)</f>
        <v>2.9250660466601817</v>
      </c>
      <c r="AC1163" s="144">
        <f t="shared" ref="AC1163" si="521">AVERAGE(G1132:G1163)-_xlfn.NORM.S.INV(0.95)*_xlfn.STDEV.S(G1132:G1163)</f>
        <v>-3.574271737970678E-2</v>
      </c>
      <c r="AD1163" s="144">
        <f t="shared" ref="AD1163" si="522">AVERAGE(G1072:G1163)-_xlfn.NORM.S.INV(0.95)*_xlfn.STDEV.S(G1072:G1163)</f>
        <v>-4.3495986583511857E-2</v>
      </c>
      <c r="AE1163" s="144">
        <f t="shared" ref="AE1163" si="523">AVERAGE(G797:G1163)-_xlfn.NORM.S.INV(0.95)*_xlfn.STDEV.S(G797:G1163)</f>
        <v>-4.8030671363298166E-2</v>
      </c>
    </row>
    <row r="1164" spans="1:31">
      <c r="A1164" s="88">
        <v>45651</v>
      </c>
      <c r="B1164" s="78">
        <v>75928550.679627493</v>
      </c>
      <c r="D1164" s="67">
        <f t="shared" ref="D1164" si="524">B1164</f>
        <v>75928550.679627493</v>
      </c>
      <c r="E1164" s="67">
        <f t="shared" ref="E1164" si="525">IF(MONTH(A1164)=MONTH(A1163),E1163,D1163)</f>
        <v>75288855.555961996</v>
      </c>
      <c r="F1164" s="67">
        <f t="shared" ref="F1164" si="526">B1164-C1164-D1163</f>
        <v>2914.0419082939625</v>
      </c>
      <c r="G1164" s="70">
        <f t="shared" si="275"/>
        <v>3.8380210391891424E-5</v>
      </c>
      <c r="H1164" s="67">
        <f t="shared" ref="H1164" si="527">IF(WEEKNUM(A1164)=WEEKNUM(A1163),H1163+F1164,F1164)</f>
        <v>3911175.4444338977</v>
      </c>
      <c r="I1164" s="70">
        <f t="shared" ref="I1164" si="528">IF(WEEKNUM(A1164)=WEEKNUM(A1163),I1163+G1164,G1164)</f>
        <v>5.3600328306477658E-2</v>
      </c>
      <c r="J1164" s="67">
        <f t="shared" ref="J1164" si="529">IF(MONTH(A1164)=MONTH(A1163),J1163+F1164,F1164)</f>
        <v>439695.12366549671</v>
      </c>
      <c r="K1164" s="70">
        <f t="shared" ref="K1164" si="530">(1+K1163)*(1+G1164)-1</f>
        <v>5.9529865459890807E-3</v>
      </c>
      <c r="L1164" s="70">
        <f t="shared" ref="L1164" si="531">1+G1164</f>
        <v>1.0000383802103918</v>
      </c>
      <c r="M1164" s="70">
        <f>PRODUCT($L$2:L1164)-1</f>
        <v>0.70153476449284335</v>
      </c>
      <c r="N1164" s="70">
        <f>PRODUCT($L$909:L1164)-1</f>
        <v>0.34457629902954645</v>
      </c>
      <c r="O1164" s="70">
        <f>AVERAGE($G$909:G1164)*252</f>
        <v>0.41871823083890897</v>
      </c>
      <c r="P1164" s="70">
        <f>STDEV($G$909:G1164)*252^0.5</f>
        <v>0.5032842597663777</v>
      </c>
      <c r="Q1164" s="67">
        <f t="shared" ref="Q1164" si="532">B1164-C1164-D1133</f>
        <v>621129.98584848642</v>
      </c>
      <c r="R1164" s="70">
        <f t="shared" ref="R1164" si="533">Q1164/B1133</f>
        <v>8.2479253721113935E-3</v>
      </c>
      <c r="S1164" s="67">
        <f t="shared" ref="S1164" si="534">B1164-C1164-D1073</f>
        <v>14150745.843962096</v>
      </c>
      <c r="T1164" s="70">
        <f t="shared" ref="T1164" si="535">S1164/B1073</f>
        <v>0.22905873527886547</v>
      </c>
      <c r="U1164" s="67">
        <f t="shared" ref="U1164" si="536">B1164-C1164-D798</f>
        <v>35146692.90962749</v>
      </c>
      <c r="V1164" s="70">
        <f t="shared" ref="V1164" si="537">U1164/B798</f>
        <v>0.86182177153003903</v>
      </c>
      <c r="W1164" s="87">
        <f t="shared" ref="W1164" si="538">O1164/P1164</f>
        <v>0.83197163971167332</v>
      </c>
      <c r="X1164" s="142">
        <f t="shared" si="253"/>
        <v>1.7857142857142857E-4</v>
      </c>
      <c r="Y1164" s="139">
        <f t="shared" ref="Y1164" si="539">G1164-X1164</f>
        <v>-1.4019121817953714E-4</v>
      </c>
      <c r="Z1164" s="139">
        <f t="shared" ref="Z1164" si="540">IF(Y1164&lt;0,Y1164,0)</f>
        <v>-1.4019121817953714E-4</v>
      </c>
      <c r="AA1164" s="139">
        <f t="shared" ref="AA1164" si="541">Z1164^2</f>
        <v>1.9653577654662586E-8</v>
      </c>
      <c r="AB1164" s="144">
        <f t="shared" ref="AB1164" si="542">AVERAGE(Y911:Y1164)/AVERAGE(AA911:AA1164)</f>
        <v>3.5213382235978172</v>
      </c>
      <c r="AC1164" s="144">
        <f t="shared" ref="AC1164" si="543">AVERAGE(G1133:G1164)-_xlfn.NORM.S.INV(0.95)*_xlfn.STDEV.S(G1133:G1164)</f>
        <v>-3.5068202985928908E-2</v>
      </c>
      <c r="AD1164" s="144">
        <f t="shared" ref="AD1164" si="544">AVERAGE(G1073:G1164)-_xlfn.NORM.S.INV(0.95)*_xlfn.STDEV.S(G1073:G1164)</f>
        <v>-4.3558986016735884E-2</v>
      </c>
      <c r="AE1164" s="144">
        <f t="shared" ref="AE1164" si="545">AVERAGE(G798:G1164)-_xlfn.NORM.S.INV(0.95)*_xlfn.STDEV.S(G798:G1164)</f>
        <v>-4.7933848326990158E-2</v>
      </c>
    </row>
    <row r="1165" spans="1:31">
      <c r="A1165" s="88">
        <v>45652</v>
      </c>
      <c r="B1165" s="78">
        <v>75709228.804973707</v>
      </c>
      <c r="D1165" s="67">
        <f t="shared" ref="D1165" si="546">B1165</f>
        <v>75709228.804973707</v>
      </c>
      <c r="E1165" s="67">
        <f t="shared" ref="E1165" si="547">IF(MONTH(A1165)=MONTH(A1164),E1164,D1164)</f>
        <v>75288855.555961996</v>
      </c>
      <c r="F1165" s="67">
        <f t="shared" ref="F1165" si="548">B1165-C1165-D1164</f>
        <v>-219321.87465378642</v>
      </c>
      <c r="G1165" s="70">
        <f t="shared" si="275"/>
        <v>-2.8885297123501267E-3</v>
      </c>
      <c r="H1165" s="67">
        <f t="shared" ref="H1165" si="549">IF(WEEKNUM(A1165)=WEEKNUM(A1164),H1164+F1165,F1165)</f>
        <v>3691853.5697801113</v>
      </c>
      <c r="I1165" s="70">
        <f t="shared" ref="I1165" si="550">IF(WEEKNUM(A1165)=WEEKNUM(A1164),I1164+G1165,G1165)</f>
        <v>5.0711798594127534E-2</v>
      </c>
      <c r="J1165" s="67">
        <f t="shared" ref="J1165" si="551">IF(MONTH(A1165)=MONTH(A1164),J1164+F1165,F1165)</f>
        <v>220373.24901171029</v>
      </c>
      <c r="K1165" s="70">
        <f t="shared" ref="K1165" si="552">(1+K1164)*(1+G1165)-1</f>
        <v>3.0472614551235733E-3</v>
      </c>
      <c r="L1165" s="70">
        <f t="shared" ref="L1165" si="553">1+G1165</f>
        <v>0.9971114702876499</v>
      </c>
      <c r="M1165" s="70">
        <f>PRODUCT($L$2:L1165)-1</f>
        <v>0.69661983076900924</v>
      </c>
      <c r="N1165" s="70">
        <f>PRODUCT($L$909:L1165)-1</f>
        <v>0.34069245043927787</v>
      </c>
      <c r="O1165" s="70">
        <f>AVERAGE($G$909:G1165)*252</f>
        <v>0.41425664438618082</v>
      </c>
      <c r="P1165" s="70">
        <f>STDEV($G$909:G1165)*252^0.5</f>
        <v>0.50232052821257089</v>
      </c>
      <c r="Q1165" s="67">
        <f t="shared" ref="Q1165" si="554">B1165-C1165-D1134</f>
        <v>1484659.599171102</v>
      </c>
      <c r="R1165" s="70">
        <f t="shared" ref="R1165" si="555">Q1165/B1134</f>
        <v>2.0002266298839451E-2</v>
      </c>
      <c r="S1165" s="67">
        <f t="shared" ref="S1165" si="556">B1165-C1165-D1074</f>
        <v>13050784.450105108</v>
      </c>
      <c r="T1165" s="70">
        <f t="shared" ref="T1165" si="557">S1165/B1074</f>
        <v>0.20828452708132156</v>
      </c>
      <c r="U1165" s="67">
        <f t="shared" ref="U1165" si="558">B1165-C1165-D799</f>
        <v>34876281.404973708</v>
      </c>
      <c r="V1165" s="70">
        <f t="shared" ref="V1165" si="559">U1165/B799</f>
        <v>0.85412108666379816</v>
      </c>
      <c r="W1165" s="87">
        <f t="shared" ref="W1165" si="560">O1165/P1165</f>
        <v>0.82468587509303737</v>
      </c>
      <c r="X1165" s="142">
        <f t="shared" si="253"/>
        <v>1.7857142857142857E-4</v>
      </c>
      <c r="Y1165" s="139">
        <f t="shared" ref="Y1165" si="561">G1165-X1165</f>
        <v>-3.0671011409215553E-3</v>
      </c>
      <c r="Z1165" s="139">
        <f t="shared" ref="Z1165" si="562">IF(Y1165&lt;0,Y1165,0)</f>
        <v>-3.0671011409215553E-3</v>
      </c>
      <c r="AA1165" s="139">
        <f t="shared" ref="AA1165" si="563">Z1165^2</f>
        <v>9.4071094086423054E-6</v>
      </c>
      <c r="AB1165" s="144">
        <f t="shared" ref="AB1165" si="564">AVERAGE(Y912:Y1165)/AVERAGE(AA912:AA1165)</f>
        <v>4.0926426854355151</v>
      </c>
      <c r="AC1165" s="144">
        <f t="shared" ref="AC1165" si="565">AVERAGE(G1134:G1165)-_xlfn.NORM.S.INV(0.95)*_xlfn.STDEV.S(G1134:G1165)</f>
        <v>-3.4635352970904497E-2</v>
      </c>
      <c r="AD1165" s="144">
        <f t="shared" ref="AD1165" si="566">AVERAGE(G1074:G1165)-_xlfn.NORM.S.INV(0.95)*_xlfn.STDEV.S(G1074:G1165)</f>
        <v>-4.3150805309526613E-2</v>
      </c>
      <c r="AE1165" s="144">
        <f t="shared" ref="AE1165" si="567">AVERAGE(G799:G1165)-_xlfn.NORM.S.INV(0.95)*_xlfn.STDEV.S(G799:G1165)</f>
        <v>-4.7965973921013573E-2</v>
      </c>
    </row>
    <row r="1166" spans="1:31">
      <c r="A1166" s="88">
        <v>45653</v>
      </c>
      <c r="B1166" s="78">
        <v>73648042.516767606</v>
      </c>
      <c r="D1166" s="67">
        <f t="shared" ref="D1166" si="568">B1166</f>
        <v>73648042.516767606</v>
      </c>
      <c r="E1166" s="67">
        <f t="shared" ref="E1166" si="569">IF(MONTH(A1166)=MONTH(A1165),E1165,D1165)</f>
        <v>75288855.555961996</v>
      </c>
      <c r="F1166" s="67">
        <f t="shared" ref="F1166" si="570">B1166-C1166-D1165</f>
        <v>-2061186.2882061005</v>
      </c>
      <c r="G1166" s="70">
        <f t="shared" ref="G1166:G1169" si="571">F1166/(B1165+C1166)</f>
        <v>-2.7225033470037026E-2</v>
      </c>
      <c r="H1166" s="67">
        <f t="shared" ref="H1166" si="572">IF(WEEKNUM(A1166)=WEEKNUM(A1165),H1165+F1166,F1166)</f>
        <v>1630667.2815740108</v>
      </c>
      <c r="I1166" s="70">
        <f t="shared" ref="I1166" si="573">IF(WEEKNUM(A1166)=WEEKNUM(A1165),I1165+G1166,G1166)</f>
        <v>2.3486765124090508E-2</v>
      </c>
      <c r="J1166" s="67">
        <f t="shared" ref="J1166" si="574">IF(MONTH(A1166)=MONTH(A1165),J1165+F1166,F1166)</f>
        <v>-1840813.0391943902</v>
      </c>
      <c r="K1166" s="70">
        <f t="shared" ref="K1166" si="575">(1+K1165)*(1+G1166)-1</f>
        <v>-2.426073381002114E-2</v>
      </c>
      <c r="L1166" s="70">
        <f t="shared" ref="L1166" si="576">1+G1166</f>
        <v>0.97277496652996298</v>
      </c>
      <c r="M1166" s="70">
        <f>PRODUCT($L$2:L1166)-1</f>
        <v>0.65042929909039437</v>
      </c>
      <c r="N1166" s="70">
        <f>PRODUCT($L$909:L1166)-1</f>
        <v>0.30419205360304269</v>
      </c>
      <c r="O1166" s="70">
        <f>AVERAGE($G$909:G1166)*252</f>
        <v>0.38605910532092691</v>
      </c>
      <c r="P1166" s="70">
        <f>STDEV($G$909:G1166)*252^0.5</f>
        <v>0.50215349482301608</v>
      </c>
      <c r="Q1166" s="67">
        <f t="shared" ref="Q1166" si="577">B1166-C1166-D1135</f>
        <v>208006.11023470759</v>
      </c>
      <c r="R1166" s="70">
        <f t="shared" ref="R1166" si="578">Q1166/B1135</f>
        <v>2.8323258050046976E-3</v>
      </c>
      <c r="S1166" s="67">
        <f t="shared" ref="S1166" si="579">B1166-C1166-D1075</f>
        <v>13385793.845856205</v>
      </c>
      <c r="T1166" s="70">
        <f t="shared" ref="T1166" si="580">S1166/B1075</f>
        <v>0.22212569462774678</v>
      </c>
      <c r="U1166" s="67">
        <f t="shared" ref="U1166" si="581">B1166-C1166-D800</f>
        <v>33480643.636767603</v>
      </c>
      <c r="V1166" s="70">
        <f t="shared" ref="V1166" si="582">U1166/B800</f>
        <v>0.83352780041323904</v>
      </c>
      <c r="W1166" s="87">
        <f t="shared" ref="W1166" si="583">O1166/P1166</f>
        <v>0.76880696699520812</v>
      </c>
      <c r="X1166" s="142">
        <f t="shared" si="253"/>
        <v>1.7857142857142857E-4</v>
      </c>
      <c r="Y1166" s="139">
        <f t="shared" ref="Y1166" si="584">G1166-X1166</f>
        <v>-2.7403604898608453E-2</v>
      </c>
      <c r="Z1166" s="139">
        <f t="shared" ref="Z1166" si="585">IF(Y1166&lt;0,Y1166,0)</f>
        <v>-2.7403604898608453E-2</v>
      </c>
      <c r="AA1166" s="139">
        <f t="shared" ref="AA1166" si="586">Z1166^2</f>
        <v>7.509575614390372E-4</v>
      </c>
      <c r="AB1166" s="144">
        <f t="shared" ref="AB1166" si="587">AVERAGE(Y913:Y1166)/AVERAGE(AA913:AA1166)</f>
        <v>3.920024062526327</v>
      </c>
      <c r="AC1166" s="144">
        <f t="shared" ref="AC1166" si="588">AVERAGE(G1135:G1166)-_xlfn.NORM.S.INV(0.95)*_xlfn.STDEV.S(G1135:G1166)</f>
        <v>-3.5701345982583794E-2</v>
      </c>
      <c r="AD1166" s="144">
        <f t="shared" ref="AD1166" si="589">AVERAGE(G1075:G1166)-_xlfn.NORM.S.INV(0.95)*_xlfn.STDEV.S(G1075:G1166)</f>
        <v>-4.3845822801471264E-2</v>
      </c>
      <c r="AE1166" s="144">
        <f t="shared" ref="AE1166" si="590">AVERAGE(G800:G1166)-_xlfn.NORM.S.INV(0.95)*_xlfn.STDEV.S(G800:G1166)</f>
        <v>-4.8106313509363452E-2</v>
      </c>
    </row>
    <row r="1167" spans="1:31">
      <c r="A1167" s="88">
        <v>45656</v>
      </c>
      <c r="B1167" s="78">
        <v>72275004.793477505</v>
      </c>
      <c r="D1167" s="67">
        <f t="shared" ref="D1167" si="591">B1167</f>
        <v>72275004.793477505</v>
      </c>
      <c r="E1167" s="67">
        <f t="shared" ref="E1167" si="592">IF(MONTH(A1167)=MONTH(A1166),E1166,D1166)</f>
        <v>75288855.555961996</v>
      </c>
      <c r="F1167" s="67">
        <f t="shared" ref="F1167" si="593">B1167-C1167-D1166</f>
        <v>-1373037.7232901007</v>
      </c>
      <c r="G1167" s="70">
        <f t="shared" si="571"/>
        <v>-1.8643234448186431E-2</v>
      </c>
      <c r="H1167" s="67">
        <f t="shared" ref="H1167" si="594">IF(WEEKNUM(A1167)=WEEKNUM(A1166),H1166+F1167,F1167)</f>
        <v>-1373037.7232901007</v>
      </c>
      <c r="I1167" s="70">
        <f t="shared" ref="I1167" si="595">IF(WEEKNUM(A1167)=WEEKNUM(A1166),I1166+G1167,G1167)</f>
        <v>-1.8643234448186431E-2</v>
      </c>
      <c r="J1167" s="67">
        <f t="shared" ref="J1167" si="596">IF(MONTH(A1167)=MONTH(A1166),J1166+F1167,F1167)</f>
        <v>-3213850.7624844909</v>
      </c>
      <c r="K1167" s="70">
        <f t="shared" ref="K1167" si="597">(1+K1166)*(1+G1167)-1</f>
        <v>-4.2451669709902218E-2</v>
      </c>
      <c r="L1167" s="70">
        <f t="shared" ref="L1167" si="598">1+G1167</f>
        <v>0.98135676555181361</v>
      </c>
      <c r="M1167" s="70">
        <f>PRODUCT($L$2:L1167)-1</f>
        <v>0.61965995872729618</v>
      </c>
      <c r="N1167" s="70">
        <f>PRODUCT($L$909:L1167)-1</f>
        <v>0.27987769538225948</v>
      </c>
      <c r="O1167" s="70">
        <f>AVERAGE($G$909:G1167)*252</f>
        <v>0.36642916637782297</v>
      </c>
      <c r="P1167" s="70">
        <f>STDEV($G$909:G1167)*252^0.5</f>
        <v>0.50157433496929305</v>
      </c>
      <c r="Q1167" s="67">
        <f t="shared" ref="Q1167" si="599">B1167-C1167-D1136</f>
        <v>1243371.7553371042</v>
      </c>
      <c r="R1167" s="70">
        <f t="shared" ref="R1167" si="600">Q1167/B1136</f>
        <v>1.7504479372865839E-2</v>
      </c>
      <c r="S1167" s="67">
        <f t="shared" ref="S1167" si="601">B1167-C1167-D1076</f>
        <v>8769639.5048285052</v>
      </c>
      <c r="T1167" s="70">
        <f t="shared" ref="T1167" si="602">S1167/B1076</f>
        <v>0.13809289128513993</v>
      </c>
      <c r="U1167" s="67">
        <f t="shared" ref="U1167" si="603">B1167-C1167-D801</f>
        <v>33946135.613477506</v>
      </c>
      <c r="V1167" s="70">
        <f t="shared" ref="V1167" si="604">U1167/B801</f>
        <v>0.88565450376476529</v>
      </c>
      <c r="W1167" s="87">
        <f t="shared" ref="W1167" si="605">O1167/P1167</f>
        <v>0.73055804659593715</v>
      </c>
      <c r="X1167" s="142">
        <f t="shared" si="253"/>
        <v>1.7857142857142857E-4</v>
      </c>
      <c r="Y1167" s="139">
        <f t="shared" ref="Y1167" si="606">G1167-X1167</f>
        <v>-1.8821805876757858E-2</v>
      </c>
      <c r="Z1167" s="139">
        <f t="shared" ref="Z1167" si="607">IF(Y1167&lt;0,Y1167,0)</f>
        <v>-1.8821805876757858E-2</v>
      </c>
      <c r="AA1167" s="139">
        <f t="shared" ref="AA1167" si="608">Z1167^2</f>
        <v>3.5426037646235664E-4</v>
      </c>
      <c r="AB1167" s="144">
        <f t="shared" ref="AB1167" si="609">AVERAGE(Y914:Y1167)/AVERAGE(AA914:AA1167)</f>
        <v>3.7512854264653845</v>
      </c>
      <c r="AC1167" s="144">
        <f t="shared" ref="AC1167" si="610">AVERAGE(G1136:G1167)-_xlfn.NORM.S.INV(0.95)*_xlfn.STDEV.S(G1136:G1167)</f>
        <v>-3.6237217295430724E-2</v>
      </c>
      <c r="AD1167" s="144">
        <f t="shared" ref="AD1167" si="611">AVERAGE(G1076:G1167)-_xlfn.NORM.S.INV(0.95)*_xlfn.STDEV.S(G1076:G1167)</f>
        <v>-4.3241062367764517E-2</v>
      </c>
      <c r="AE1167" s="144">
        <f t="shared" ref="AE1167" si="612">AVERAGE(G801:G1167)-_xlfn.NORM.S.INV(0.95)*_xlfn.STDEV.S(G801:G1167)</f>
        <v>-4.8119401632482101E-2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69" si="613">B1168</f>
        <v>71204832.621444106</v>
      </c>
      <c r="E1168" s="80">
        <f t="shared" ref="E1168:E1169" si="614">IF(MONTH(A1168)=MONTH(A1167),E1167,D1167)</f>
        <v>75288855.555961996</v>
      </c>
      <c r="F1168" s="80">
        <f t="shared" ref="F1168:F1169" si="615">B1168-C1168-D1167</f>
        <v>-1070172.1720333993</v>
      </c>
      <c r="G1168" s="81">
        <f t="shared" si="571"/>
        <v>-1.4806947091755538E-2</v>
      </c>
      <c r="H1168" s="80">
        <f t="shared" ref="H1168" si="616">IF(WEEKNUM(A1168)=WEEKNUM(A1167),H1167+F1168,F1168)</f>
        <v>-2443209.8953235</v>
      </c>
      <c r="I1168" s="81">
        <f t="shared" ref="I1168" si="617">IF(WEEKNUM(A1168)=WEEKNUM(A1167),I1167+G1168,G1168)</f>
        <v>-3.3450181539941969E-2</v>
      </c>
      <c r="J1168" s="80">
        <f t="shared" ref="J1168:J1169" si="618">IF(MONTH(A1168)=MONTH(A1167),J1167+F1168,F1168)</f>
        <v>-4284022.9345178902</v>
      </c>
      <c r="K1168" s="81">
        <f t="shared" ref="K1168" si="619">(1+K1167)*(1+G1168)-1</f>
        <v>-5.6630037174306591E-2</v>
      </c>
      <c r="L1168" s="81">
        <f t="shared" ref="L1168:L1169" si="620">1+G1168</f>
        <v>0.98519305290824444</v>
      </c>
      <c r="M1168" s="81">
        <f>PRODUCT($L$2:L1168)-1</f>
        <v>0.59567773941178603</v>
      </c>
      <c r="N1168" s="81">
        <f>PRODUCT($L$909:L1168)-1</f>
        <v>0.26092661406281636</v>
      </c>
      <c r="O1168" s="81">
        <f>AVERAGE($G$909:G1168)*252</f>
        <v>0.35066847471051443</v>
      </c>
      <c r="P1168" s="81">
        <f>STDEV($G$909:G1168)*252^0.5</f>
        <v>0.50086101819642015</v>
      </c>
      <c r="Q1168" s="80">
        <f t="shared" ref="Q1168" si="621">B1168-C1168-D1137</f>
        <v>-901124.66062599421</v>
      </c>
      <c r="R1168" s="81">
        <f t="shared" ref="R1168:R1169" si="622">Q1168/B1137</f>
        <v>-1.249722900288113E-2</v>
      </c>
      <c r="S1168" s="80">
        <f t="shared" ref="S1168" si="623">B1168-C1168-D1077</f>
        <v>8821999.1092319041</v>
      </c>
      <c r="T1168" s="81">
        <f t="shared" ref="T1168:T1169" si="624">S1168/B1077</f>
        <v>0.14141709525754212</v>
      </c>
      <c r="U1168" s="80">
        <f t="shared" ref="U1168" si="625">B1168-C1168-D802</f>
        <v>33452277.181444108</v>
      </c>
      <c r="V1168" s="81">
        <f t="shared" ref="V1168:V1169" si="626">U1168/B802</f>
        <v>0.8860930549353061</v>
      </c>
      <c r="W1168" s="136">
        <f t="shared" ref="W1168:W1169" si="627">O1168/P1168</f>
        <v>0.70013129784637096</v>
      </c>
      <c r="X1168" s="143">
        <f t="shared" si="253"/>
        <v>1.7857142857142857E-4</v>
      </c>
      <c r="Y1168" s="140">
        <f t="shared" ref="Y1168" si="628">G1168-X1168</f>
        <v>-1.4985518520326967E-2</v>
      </c>
      <c r="Z1168" s="140">
        <f t="shared" ref="Z1168" si="629">IF(Y1168&lt;0,Y1168,0)</f>
        <v>-1.4985518520326967E-2</v>
      </c>
      <c r="AA1168" s="140">
        <f t="shared" ref="AA1168" si="630">Z1168^2</f>
        <v>2.2456576532306252E-4</v>
      </c>
      <c r="AB1168" s="145">
        <f t="shared" ref="AB1168" si="631">AVERAGE(Y915:Y1168)/AVERAGE(AA915:AA1168)</f>
        <v>3.3927067893907275</v>
      </c>
      <c r="AC1168" s="145">
        <f t="shared" ref="AC1168" si="632">AVERAGE(G1137:G1168)-_xlfn.NORM.S.INV(0.95)*_xlfn.STDEV.S(G1137:G1168)</f>
        <v>-3.4621464882227407E-2</v>
      </c>
      <c r="AD1168" s="145">
        <f t="shared" ref="AD1168" si="633">AVERAGE(G1077:G1168)-_xlfn.NORM.S.INV(0.95)*_xlfn.STDEV.S(G1077:G1168)</f>
        <v>-4.3213843219203671E-2</v>
      </c>
      <c r="AE1168" s="145">
        <f t="shared" ref="AE1168" si="634">AVERAGE(G802:G1168)-_xlfn.NORM.S.INV(0.95)*_xlfn.STDEV.S(G802:G1168)</f>
        <v>-4.7887393861942816E-2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13"/>
        <v>63255466.560107999</v>
      </c>
      <c r="E1169" s="67">
        <f t="shared" si="614"/>
        <v>71204832.621444106</v>
      </c>
      <c r="F1169" s="67">
        <f t="shared" si="615"/>
        <v>1050633.9386638999</v>
      </c>
      <c r="G1169" s="70">
        <f t="shared" si="571"/>
        <v>1.6889908619442388E-2</v>
      </c>
      <c r="H1169" s="272">
        <f>J1169</f>
        <v>1050633.9386638999</v>
      </c>
      <c r="I1169" s="271">
        <f>K1169</f>
        <v>1.6889908619442388E-2</v>
      </c>
      <c r="J1169" s="67">
        <f t="shared" si="618"/>
        <v>1050633.9386638999</v>
      </c>
      <c r="K1169" s="70">
        <f>G1169</f>
        <v>1.6889908619442388E-2</v>
      </c>
      <c r="L1169" s="70">
        <f t="shared" si="620"/>
        <v>1.0168899086194423</v>
      </c>
      <c r="M1169" s="70">
        <f>PRODUCT($L$2:L1169)-1</f>
        <v>0.62262859061652942</v>
      </c>
      <c r="N1169" s="85">
        <f>PRODUCT($L$1169:L1169)-1</f>
        <v>1.6889908619442284E-2</v>
      </c>
      <c r="O1169" s="85">
        <f>AVERAGE($G$1169:G1169)*252</f>
        <v>4.2562569720994823</v>
      </c>
      <c r="P1169" s="85" t="e">
        <f>STDEV($G$1169:G1169)*252^0.5</f>
        <v>#DIV/0!</v>
      </c>
      <c r="Q1169" s="67">
        <f t="shared" ref="Q1169" si="635">B1169-C1169-D1140</f>
        <v>-3101349.4700603932</v>
      </c>
      <c r="R1169" s="70">
        <f t="shared" si="622"/>
        <v>-4.1906767922036355E-2</v>
      </c>
      <c r="S1169" s="67">
        <f t="shared" ref="S1169" si="636">B1169-C1169-D1080</f>
        <v>11991600.444230303</v>
      </c>
      <c r="T1169" s="70">
        <f t="shared" si="624"/>
        <v>0.18976938144993891</v>
      </c>
      <c r="U1169" s="67">
        <f t="shared" ref="U1169" si="637">B1169-C1169-D805</f>
        <v>34484856.90010801</v>
      </c>
      <c r="V1169" s="70">
        <f t="shared" si="626"/>
        <v>0.91223793030466227</v>
      </c>
      <c r="W1169" s="87" t="e">
        <f t="shared" si="627"/>
        <v>#DIV/0!</v>
      </c>
      <c r="X1169" s="142">
        <f>4.5%/252</f>
        <v>1.7857142857142857E-4</v>
      </c>
      <c r="Y1169" s="139">
        <f>G1169-X1169</f>
        <v>1.6711337190870961E-2</v>
      </c>
      <c r="Z1169" s="139">
        <f>IF(Y1169&lt;0,Y1169,0)</f>
        <v>0</v>
      </c>
      <c r="AA1169" s="139">
        <f>Z1169^2</f>
        <v>0</v>
      </c>
      <c r="AB1169" s="144">
        <f>AVERAGE(Y918:Y1169)/AVERAGE(AA918:AA1169)</f>
        <v>3.6460504252824069</v>
      </c>
      <c r="AC1169" s="144">
        <f>AVERAGE(G1140:G1169)-_xlfn.NORM.S.INV(0.95)*_xlfn.STDEV.S(G1140:G1169)</f>
        <v>-3.5742781256980737E-2</v>
      </c>
      <c r="AD1169" s="144">
        <f>AVERAGE(G1080:G1169)-_xlfn.NORM.S.INV(0.95)*_xlfn.STDEV.S(G1080:G1169)</f>
        <v>-4.2704572070813469E-2</v>
      </c>
      <c r="AE1169" s="144">
        <f>AVERAGE(G805:G1169)-_xlfn.NORM.S.INV(0.95)*_xlfn.STDEV.S(G805:G1169)</f>
        <v>-4.7937771521059269E-2</v>
      </c>
    </row>
    <row r="1170" spans="1:31">
      <c r="A1170" s="88"/>
      <c r="B1170" s="78"/>
      <c r="D1170" s="67"/>
      <c r="E1170" s="67"/>
      <c r="F1170" s="67"/>
      <c r="G1170" s="70"/>
      <c r="H1170" s="67"/>
      <c r="I1170" s="70"/>
      <c r="J1170" s="67"/>
      <c r="K1170" s="70"/>
      <c r="L1170" s="70"/>
      <c r="M1170" s="70"/>
      <c r="N1170" s="70"/>
      <c r="O1170" s="70"/>
      <c r="P1170" s="70"/>
      <c r="Q1170" s="67"/>
      <c r="R1170" s="70"/>
      <c r="S1170" s="67"/>
      <c r="T1170" s="70"/>
      <c r="U1170" s="67"/>
      <c r="V1170" s="70"/>
      <c r="W1170" s="87"/>
      <c r="X1170" s="142"/>
      <c r="Y1170" s="139"/>
      <c r="Z1170" s="139"/>
      <c r="AA1170" s="139"/>
      <c r="AB1170" s="144"/>
      <c r="AC1170" s="144"/>
      <c r="AD1170" s="144"/>
      <c r="AE1170" s="144"/>
    </row>
    <row r="1171" spans="1:31">
      <c r="A1171" s="88"/>
      <c r="B1171" s="78"/>
      <c r="D1171" s="67"/>
      <c r="E1171" s="67"/>
      <c r="F1171" s="67"/>
      <c r="G1171" s="70"/>
      <c r="H1171" s="67"/>
      <c r="I1171" s="70"/>
      <c r="J1171" s="67"/>
      <c r="K1171" s="70"/>
      <c r="L1171" s="70"/>
      <c r="M1171" s="70"/>
      <c r="N1171" s="70"/>
      <c r="O1171" s="70"/>
      <c r="P1171" s="70"/>
      <c r="Q1171" s="67"/>
      <c r="R1171" s="70"/>
      <c r="S1171" s="67"/>
      <c r="T1171" s="70"/>
      <c r="U1171" s="67"/>
      <c r="V1171" s="70"/>
      <c r="W1171" s="87"/>
      <c r="X1171" s="142"/>
      <c r="Y1171" s="139"/>
      <c r="Z1171" s="139"/>
      <c r="AA1171" s="139"/>
      <c r="AB1171" s="144"/>
      <c r="AC1171" s="144"/>
      <c r="AD1171" s="144"/>
      <c r="AE1171" s="144"/>
    </row>
    <row r="1172" spans="1:31">
      <c r="A1172" s="88"/>
      <c r="B1172" s="78"/>
      <c r="D1172" s="67"/>
      <c r="E1172" s="67"/>
      <c r="F1172" s="67"/>
      <c r="G1172" s="70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2"/>
      <c r="Y1172" s="139"/>
      <c r="Z1172" s="139"/>
      <c r="AA1172" s="139"/>
      <c r="AB1172" s="144"/>
      <c r="AC1172" s="144"/>
      <c r="AD1172" s="144"/>
      <c r="AE1172" s="144"/>
    </row>
    <row r="1173" spans="1:31">
      <c r="A1173" s="88"/>
      <c r="B1173" s="78"/>
      <c r="D1173" s="67"/>
      <c r="E1173" s="67"/>
      <c r="F1173" s="67"/>
      <c r="G1173" s="70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A1174" s="88"/>
      <c r="B1174" s="78"/>
      <c r="D1174" s="67"/>
      <c r="E1174" s="67"/>
      <c r="F1174" s="67"/>
      <c r="G1174" s="70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A1175" s="88"/>
      <c r="B1175" s="78"/>
      <c r="D1175" s="67"/>
      <c r="E1175" s="67"/>
      <c r="F1175" s="67"/>
      <c r="G1175" s="70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A1176" s="88"/>
      <c r="B1176" s="78"/>
      <c r="D1176" s="67"/>
      <c r="E1176" s="67"/>
      <c r="F1176" s="67"/>
      <c r="G1176" s="70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dimension ref="A1:K169"/>
  <sheetViews>
    <sheetView zoomScaleNormal="100" workbookViewId="0">
      <pane ySplit="2" topLeftCell="A3" activePane="bottomLeft" state="frozen"/>
      <selection activeCell="B1099" sqref="B1099"/>
      <selection pane="bottomLeft" activeCell="C54" sqref="C54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92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94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97" t="s">
        <v>276</v>
      </c>
      <c r="I2" s="98" t="s">
        <v>277</v>
      </c>
    </row>
    <row r="3" spans="1:11">
      <c r="A3" s="221">
        <v>1109</v>
      </c>
      <c r="B3" s="153" t="s">
        <v>138</v>
      </c>
      <c r="C3" s="153" t="s">
        <v>33</v>
      </c>
      <c r="D3" s="153">
        <v>190000</v>
      </c>
      <c r="E3" s="153">
        <v>22.2</v>
      </c>
      <c r="F3" s="153">
        <v>4218000</v>
      </c>
      <c r="G3" s="153">
        <v>7.7766544832413089</v>
      </c>
      <c r="H3" s="153">
        <v>542392.62</v>
      </c>
      <c r="I3" s="218">
        <v>0.28000000000000003</v>
      </c>
      <c r="J3"/>
      <c r="K3"/>
    </row>
    <row r="4" spans="1:11">
      <c r="A4" s="221">
        <v>1211</v>
      </c>
      <c r="B4" s="153" t="s">
        <v>138</v>
      </c>
      <c r="C4" s="153" t="s">
        <v>33</v>
      </c>
      <c r="D4" s="153">
        <v>25500</v>
      </c>
      <c r="E4" s="153">
        <v>258.2</v>
      </c>
      <c r="F4" s="153">
        <v>6584100</v>
      </c>
      <c r="G4" s="153">
        <v>7.7766544832413089</v>
      </c>
      <c r="H4" s="153">
        <v>846649.42</v>
      </c>
      <c r="I4" s="218">
        <v>0.43</v>
      </c>
      <c r="J4"/>
      <c r="K4"/>
    </row>
    <row r="5" spans="1:11">
      <c r="A5" s="221">
        <v>1288</v>
      </c>
      <c r="B5" s="153" t="s">
        <v>138</v>
      </c>
      <c r="C5" s="153" t="s">
        <v>33</v>
      </c>
      <c r="D5" s="153">
        <v>2625000</v>
      </c>
      <c r="E5" s="153">
        <v>4.1900000000000004</v>
      </c>
      <c r="F5" s="153">
        <v>10998750</v>
      </c>
      <c r="G5" s="153">
        <v>7.7766544832413089</v>
      </c>
      <c r="H5" s="153">
        <v>1414329.26</v>
      </c>
      <c r="I5" s="218">
        <v>0.72</v>
      </c>
      <c r="J5"/>
      <c r="K5"/>
    </row>
    <row r="6" spans="1:11">
      <c r="A6" s="221">
        <v>1810</v>
      </c>
      <c r="B6" s="153" t="s">
        <v>138</v>
      </c>
      <c r="C6" s="153" t="s">
        <v>33</v>
      </c>
      <c r="D6" s="153">
        <v>80000</v>
      </c>
      <c r="E6" s="153">
        <v>34</v>
      </c>
      <c r="F6" s="153">
        <v>2720000</v>
      </c>
      <c r="G6" s="153">
        <v>7.7766544832413089</v>
      </c>
      <c r="H6" s="153">
        <v>349764.8</v>
      </c>
      <c r="I6" s="218">
        <v>0.18</v>
      </c>
      <c r="J6"/>
      <c r="K6"/>
    </row>
    <row r="7" spans="1:11">
      <c r="A7" s="221">
        <v>2020</v>
      </c>
      <c r="B7" s="153" t="s">
        <v>138</v>
      </c>
      <c r="C7" s="153" t="s">
        <v>33</v>
      </c>
      <c r="D7" s="153">
        <v>5000</v>
      </c>
      <c r="E7" s="153">
        <v>76.150000000000006</v>
      </c>
      <c r="F7" s="153">
        <v>380750</v>
      </c>
      <c r="G7" s="153">
        <v>7.7766544832413089</v>
      </c>
      <c r="H7" s="153">
        <v>48960.639999999999</v>
      </c>
      <c r="I7" s="218">
        <v>0.03</v>
      </c>
      <c r="J7"/>
      <c r="K7"/>
    </row>
    <row r="8" spans="1:11">
      <c r="A8" s="221">
        <v>2318</v>
      </c>
      <c r="B8" s="153" t="s">
        <v>138</v>
      </c>
      <c r="C8" s="153" t="s">
        <v>33</v>
      </c>
      <c r="D8" s="153">
        <v>125000</v>
      </c>
      <c r="E8" s="153">
        <v>44.2</v>
      </c>
      <c r="F8" s="153">
        <v>5525000</v>
      </c>
      <c r="G8" s="153">
        <v>7.7766544832413089</v>
      </c>
      <c r="H8" s="153">
        <v>710459.75</v>
      </c>
      <c r="I8" s="218">
        <v>0.36</v>
      </c>
      <c r="J8"/>
      <c r="K8"/>
    </row>
    <row r="9" spans="1:11">
      <c r="A9" s="221">
        <v>2359</v>
      </c>
      <c r="B9" s="153" t="s">
        <v>138</v>
      </c>
      <c r="C9" s="153" t="s">
        <v>33</v>
      </c>
      <c r="D9" s="153">
        <v>20000</v>
      </c>
      <c r="E9" s="153">
        <v>53.15</v>
      </c>
      <c r="F9" s="153">
        <v>1063000</v>
      </c>
      <c r="G9" s="153">
        <v>7.7766544832413089</v>
      </c>
      <c r="H9" s="153">
        <v>136691.17000000001</v>
      </c>
      <c r="I9" s="218">
        <v>6.9999999999999993E-2</v>
      </c>
      <c r="J9"/>
      <c r="K9"/>
    </row>
    <row r="10" spans="1:11">
      <c r="A10" s="221">
        <v>2828</v>
      </c>
      <c r="B10" s="153" t="s">
        <v>138</v>
      </c>
      <c r="C10" s="153" t="s">
        <v>33</v>
      </c>
      <c r="D10" s="153">
        <v>435000</v>
      </c>
      <c r="E10" s="153">
        <v>72.36</v>
      </c>
      <c r="F10" s="153">
        <v>31476600</v>
      </c>
      <c r="G10" s="153">
        <v>7.7766544832413089</v>
      </c>
      <c r="H10" s="153">
        <v>4047575.99</v>
      </c>
      <c r="I10" s="218">
        <v>2.0699999999999998</v>
      </c>
      <c r="J10"/>
      <c r="K10"/>
    </row>
    <row r="11" spans="1:11">
      <c r="A11" s="221">
        <v>3067</v>
      </c>
      <c r="B11" s="153" t="s">
        <v>138</v>
      </c>
      <c r="C11" s="153" t="s">
        <v>33</v>
      </c>
      <c r="D11" s="153">
        <v>600000</v>
      </c>
      <c r="E11" s="153">
        <v>9.1199999999999992</v>
      </c>
      <c r="F11" s="153">
        <v>5471999.9999999991</v>
      </c>
      <c r="G11" s="153">
        <v>7.7766544832413089</v>
      </c>
      <c r="H11" s="153">
        <v>703644.48</v>
      </c>
      <c r="I11" s="218">
        <v>0.36</v>
      </c>
      <c r="J11"/>
      <c r="K11"/>
    </row>
    <row r="12" spans="1:11">
      <c r="A12" s="221">
        <v>3690</v>
      </c>
      <c r="B12" s="153" t="s">
        <v>138</v>
      </c>
      <c r="C12" s="153" t="s">
        <v>33</v>
      </c>
      <c r="D12" s="153">
        <v>12500</v>
      </c>
      <c r="E12" s="153">
        <v>150.6</v>
      </c>
      <c r="F12" s="153">
        <v>1882500</v>
      </c>
      <c r="G12" s="153">
        <v>7.7766544832413089</v>
      </c>
      <c r="H12" s="153">
        <v>242070.68</v>
      </c>
      <c r="I12" s="218">
        <v>0.12</v>
      </c>
      <c r="J12"/>
      <c r="K12"/>
    </row>
    <row r="13" spans="1:11">
      <c r="A13" s="221" t="s">
        <v>293</v>
      </c>
      <c r="B13" s="153" t="s">
        <v>138</v>
      </c>
      <c r="C13" s="153" t="s">
        <v>34</v>
      </c>
      <c r="D13" s="153">
        <v>10000</v>
      </c>
      <c r="E13" s="153">
        <v>1490.5</v>
      </c>
      <c r="F13" s="153">
        <v>14905000</v>
      </c>
      <c r="G13" s="153">
        <v>157.52993068683051</v>
      </c>
      <c r="H13" s="153">
        <v>94616.94</v>
      </c>
      <c r="I13" s="218">
        <v>0.05</v>
      </c>
      <c r="J13"/>
      <c r="K13"/>
    </row>
    <row r="14" spans="1:11">
      <c r="A14" s="221" t="s">
        <v>288</v>
      </c>
      <c r="B14" s="153" t="s">
        <v>138</v>
      </c>
      <c r="C14" s="153" t="s">
        <v>34</v>
      </c>
      <c r="D14" s="153">
        <v>15000</v>
      </c>
      <c r="E14" s="153">
        <v>3937</v>
      </c>
      <c r="F14" s="153">
        <v>59055000</v>
      </c>
      <c r="G14" s="153">
        <v>157.52993068683051</v>
      </c>
      <c r="H14" s="153">
        <v>374881.14</v>
      </c>
      <c r="I14" s="218">
        <v>0.19</v>
      </c>
      <c r="J14"/>
      <c r="K14"/>
    </row>
    <row r="15" spans="1:11">
      <c r="A15" s="221">
        <v>688</v>
      </c>
      <c r="B15" s="153" t="s">
        <v>138</v>
      </c>
      <c r="C15" s="153" t="s">
        <v>33</v>
      </c>
      <c r="D15" s="153">
        <v>240000</v>
      </c>
      <c r="E15" s="153">
        <v>12.18</v>
      </c>
      <c r="F15" s="153">
        <v>2923200</v>
      </c>
      <c r="G15" s="153">
        <v>7.7766544832413089</v>
      </c>
      <c r="H15" s="153">
        <v>375894.29</v>
      </c>
      <c r="I15" s="218">
        <v>0.19</v>
      </c>
      <c r="J15"/>
      <c r="K15"/>
    </row>
    <row r="16" spans="1:11">
      <c r="A16" s="221">
        <v>700</v>
      </c>
      <c r="B16" s="153" t="s">
        <v>138</v>
      </c>
      <c r="C16" s="153" t="s">
        <v>33</v>
      </c>
      <c r="D16" s="153">
        <v>41500</v>
      </c>
      <c r="E16" s="153">
        <v>416</v>
      </c>
      <c r="F16" s="153">
        <v>17264000</v>
      </c>
      <c r="G16" s="153">
        <v>7.7766544832413089</v>
      </c>
      <c r="H16" s="153">
        <v>2219977.7599999998</v>
      </c>
      <c r="I16" s="218">
        <v>1.1299999999999999</v>
      </c>
      <c r="J16"/>
      <c r="K16"/>
    </row>
    <row r="17" spans="1:11">
      <c r="A17" s="221">
        <v>883</v>
      </c>
      <c r="B17" s="153" t="s">
        <v>138</v>
      </c>
      <c r="C17" s="153" t="s">
        <v>33</v>
      </c>
      <c r="D17" s="153">
        <v>500000</v>
      </c>
      <c r="E17" s="153">
        <v>18.88</v>
      </c>
      <c r="F17" s="153">
        <v>9440000</v>
      </c>
      <c r="G17" s="153">
        <v>7.7766544832413089</v>
      </c>
      <c r="H17" s="153">
        <v>1213889.6000000001</v>
      </c>
      <c r="I17" s="218">
        <v>0.62</v>
      </c>
      <c r="J17"/>
      <c r="K17"/>
    </row>
    <row r="18" spans="1:11">
      <c r="A18" s="221">
        <v>941</v>
      </c>
      <c r="B18" s="153" t="s">
        <v>138</v>
      </c>
      <c r="C18" s="153" t="s">
        <v>33</v>
      </c>
      <c r="D18" s="153">
        <v>125000</v>
      </c>
      <c r="E18" s="153">
        <v>75.599999999999994</v>
      </c>
      <c r="F18" s="153">
        <v>9450000</v>
      </c>
      <c r="G18" s="153">
        <v>7.7766544832413089</v>
      </c>
      <c r="H18" s="153">
        <v>1215175.5</v>
      </c>
      <c r="I18" s="218">
        <v>0.62</v>
      </c>
      <c r="J18"/>
      <c r="K18"/>
    </row>
    <row r="19" spans="1:11">
      <c r="A19" s="221">
        <v>9618</v>
      </c>
      <c r="B19" s="153" t="s">
        <v>138</v>
      </c>
      <c r="C19" s="153" t="s">
        <v>33</v>
      </c>
      <c r="D19" s="153">
        <v>12500</v>
      </c>
      <c r="E19" s="153">
        <v>132.5</v>
      </c>
      <c r="F19" s="153">
        <v>1656250</v>
      </c>
      <c r="G19" s="153">
        <v>7.7766544832413089</v>
      </c>
      <c r="H19" s="153">
        <v>212977.19</v>
      </c>
      <c r="I19" s="218">
        <v>0.11</v>
      </c>
      <c r="J19"/>
      <c r="K19"/>
    </row>
    <row r="20" spans="1:11">
      <c r="A20" s="221">
        <v>992</v>
      </c>
      <c r="B20" s="153" t="s">
        <v>138</v>
      </c>
      <c r="C20" s="153" t="s">
        <v>33</v>
      </c>
      <c r="D20" s="153">
        <v>50000</v>
      </c>
      <c r="E20" s="153">
        <v>9.7899999999999991</v>
      </c>
      <c r="F20" s="153">
        <v>489499.99999999988</v>
      </c>
      <c r="G20" s="153">
        <v>7.7766544832413089</v>
      </c>
      <c r="H20" s="153">
        <v>62944.800000000003</v>
      </c>
      <c r="I20" s="218">
        <v>0.03</v>
      </c>
      <c r="J20"/>
      <c r="K20"/>
    </row>
    <row r="21" spans="1:11">
      <c r="A21" s="221">
        <v>9961</v>
      </c>
      <c r="B21" s="153" t="s">
        <v>138</v>
      </c>
      <c r="C21" s="153" t="s">
        <v>33</v>
      </c>
      <c r="D21" s="153">
        <v>9500</v>
      </c>
      <c r="E21" s="153">
        <v>520</v>
      </c>
      <c r="F21" s="153">
        <v>4940000</v>
      </c>
      <c r="G21" s="153">
        <v>7.7766544832413089</v>
      </c>
      <c r="H21" s="153">
        <v>635234.6</v>
      </c>
      <c r="I21" s="218">
        <v>0.32</v>
      </c>
      <c r="J21"/>
      <c r="K21"/>
    </row>
    <row r="22" spans="1:11">
      <c r="A22" s="221">
        <v>9988</v>
      </c>
      <c r="B22" s="153" t="s">
        <v>138</v>
      </c>
      <c r="C22" s="153" t="s">
        <v>33</v>
      </c>
      <c r="D22" s="153">
        <v>30000</v>
      </c>
      <c r="E22" s="153">
        <v>81.3</v>
      </c>
      <c r="F22" s="153">
        <v>2439000</v>
      </c>
      <c r="G22" s="153">
        <v>7.7766544832413089</v>
      </c>
      <c r="H22" s="153">
        <v>313631.01</v>
      </c>
      <c r="I22" s="218">
        <v>0.16</v>
      </c>
      <c r="J22"/>
      <c r="K22"/>
    </row>
    <row r="23" spans="1:11">
      <c r="A23" s="221" t="s">
        <v>295</v>
      </c>
      <c r="B23" s="153" t="s">
        <v>138</v>
      </c>
      <c r="C23" s="153" t="s">
        <v>37</v>
      </c>
      <c r="D23" s="153">
        <v>500000</v>
      </c>
      <c r="E23" s="153">
        <v>2.65</v>
      </c>
      <c r="F23" s="153">
        <v>1325000</v>
      </c>
      <c r="G23" s="153">
        <v>1.3700882336822491</v>
      </c>
      <c r="H23" s="153">
        <v>967091</v>
      </c>
      <c r="I23" s="218">
        <v>0.49</v>
      </c>
      <c r="J23"/>
      <c r="K23"/>
    </row>
    <row r="24" spans="1:11">
      <c r="A24" s="221" t="s">
        <v>82</v>
      </c>
      <c r="B24" s="153" t="s">
        <v>23</v>
      </c>
      <c r="C24" s="153" t="s">
        <v>38</v>
      </c>
      <c r="D24" s="153">
        <v>2000</v>
      </c>
      <c r="E24" s="153">
        <v>243.85</v>
      </c>
      <c r="F24" s="153">
        <v>487700</v>
      </c>
      <c r="G24" s="153">
        <v>1</v>
      </c>
      <c r="H24" s="153">
        <v>487700</v>
      </c>
      <c r="I24" s="218">
        <v>0.25</v>
      </c>
      <c r="J24"/>
      <c r="K24"/>
    </row>
    <row r="25" spans="1:11">
      <c r="A25" s="221" t="s">
        <v>371</v>
      </c>
      <c r="B25" s="153" t="s">
        <v>23</v>
      </c>
      <c r="C25" s="153" t="s">
        <v>38</v>
      </c>
      <c r="D25" s="153">
        <v>2000</v>
      </c>
      <c r="E25" s="153">
        <v>220.22</v>
      </c>
      <c r="F25" s="153">
        <v>440440</v>
      </c>
      <c r="G25" s="153">
        <v>1</v>
      </c>
      <c r="H25" s="153">
        <v>440440</v>
      </c>
      <c r="I25" s="218">
        <v>0.23</v>
      </c>
      <c r="J25"/>
      <c r="K25"/>
    </row>
    <row r="26" spans="1:11">
      <c r="A26" s="221" t="s">
        <v>304</v>
      </c>
      <c r="B26" s="153" t="s">
        <v>23</v>
      </c>
      <c r="C26" s="153" t="s">
        <v>38</v>
      </c>
      <c r="D26" s="153">
        <v>1000</v>
      </c>
      <c r="E26" s="153">
        <v>153.24</v>
      </c>
      <c r="F26" s="153">
        <v>153240</v>
      </c>
      <c r="G26" s="153">
        <v>1</v>
      </c>
      <c r="H26" s="153">
        <v>153240</v>
      </c>
      <c r="I26" s="218">
        <v>0.08</v>
      </c>
      <c r="J26"/>
      <c r="K26" s="153"/>
    </row>
    <row r="27" spans="1:11">
      <c r="A27" s="221" t="s">
        <v>393</v>
      </c>
      <c r="B27" s="153" t="s">
        <v>23</v>
      </c>
      <c r="C27" s="153" t="s">
        <v>38</v>
      </c>
      <c r="D27" s="153">
        <v>500</v>
      </c>
      <c r="E27" s="153">
        <v>700.42</v>
      </c>
      <c r="F27" s="153">
        <v>350210</v>
      </c>
      <c r="G27" s="153">
        <v>1</v>
      </c>
      <c r="H27" s="153">
        <v>350210</v>
      </c>
      <c r="I27" s="218">
        <v>0.18</v>
      </c>
      <c r="J27"/>
      <c r="K27"/>
    </row>
    <row r="28" spans="1:11">
      <c r="A28" s="221" t="s">
        <v>388</v>
      </c>
      <c r="B28" s="153" t="s">
        <v>140</v>
      </c>
      <c r="C28" s="153" t="s">
        <v>38</v>
      </c>
      <c r="D28" s="153">
        <v>-5</v>
      </c>
      <c r="E28" s="153">
        <v>0.48</v>
      </c>
      <c r="F28" s="153">
        <v>-2.4</v>
      </c>
      <c r="G28" s="153">
        <v>1</v>
      </c>
      <c r="H28" s="153">
        <v>-2.4</v>
      </c>
      <c r="I28" s="218">
        <v>0</v>
      </c>
      <c r="J28"/>
      <c r="K28"/>
    </row>
    <row r="29" spans="1:11">
      <c r="A29" s="221" t="s">
        <v>311</v>
      </c>
      <c r="B29" s="153" t="s">
        <v>138</v>
      </c>
      <c r="C29" s="153" t="s">
        <v>38</v>
      </c>
      <c r="D29" s="153">
        <v>2500</v>
      </c>
      <c r="E29" s="153">
        <v>17.13</v>
      </c>
      <c r="F29" s="153">
        <v>42825</v>
      </c>
      <c r="G29" s="153">
        <v>1</v>
      </c>
      <c r="H29" s="153">
        <v>42825</v>
      </c>
      <c r="I29" s="218">
        <v>0.02</v>
      </c>
      <c r="J29"/>
      <c r="K29"/>
    </row>
    <row r="30" spans="1:11">
      <c r="A30" s="221" t="s">
        <v>298</v>
      </c>
      <c r="B30" s="153" t="s">
        <v>23</v>
      </c>
      <c r="C30" s="153" t="s">
        <v>38</v>
      </c>
      <c r="D30" s="153">
        <v>2000</v>
      </c>
      <c r="E30" s="153">
        <v>451.1</v>
      </c>
      <c r="F30" s="153">
        <v>902200</v>
      </c>
      <c r="G30" s="153">
        <v>1</v>
      </c>
      <c r="H30" s="153">
        <v>902200</v>
      </c>
      <c r="I30" s="218">
        <v>0.46</v>
      </c>
      <c r="J30"/>
      <c r="K30"/>
    </row>
    <row r="31" spans="1:11">
      <c r="A31" s="221" t="s">
        <v>302</v>
      </c>
      <c r="B31" s="153" t="s">
        <v>23</v>
      </c>
      <c r="C31" s="153" t="s">
        <v>38</v>
      </c>
      <c r="D31" s="153">
        <v>1500</v>
      </c>
      <c r="E31" s="153">
        <v>173.75</v>
      </c>
      <c r="F31" s="153">
        <v>260625</v>
      </c>
      <c r="G31" s="153">
        <v>1</v>
      </c>
      <c r="H31" s="153">
        <v>260625</v>
      </c>
      <c r="I31" s="218">
        <v>0.13</v>
      </c>
      <c r="J31"/>
      <c r="K31"/>
    </row>
    <row r="32" spans="1:11">
      <c r="A32" s="221" t="s">
        <v>310</v>
      </c>
      <c r="B32" s="153" t="s">
        <v>44</v>
      </c>
      <c r="C32" s="153" t="s">
        <v>38</v>
      </c>
      <c r="D32" s="153">
        <v>2000</v>
      </c>
      <c r="E32" s="153">
        <v>52.16</v>
      </c>
      <c r="F32" s="153">
        <v>104320</v>
      </c>
      <c r="G32" s="153">
        <v>1</v>
      </c>
      <c r="H32" s="153">
        <v>104320</v>
      </c>
      <c r="I32" s="218">
        <v>0.05</v>
      </c>
      <c r="J32"/>
      <c r="K32"/>
    </row>
    <row r="33" spans="1:11">
      <c r="A33" s="221" t="s">
        <v>377</v>
      </c>
      <c r="B33" s="153" t="s">
        <v>23</v>
      </c>
      <c r="C33" s="153" t="s">
        <v>38</v>
      </c>
      <c r="D33" s="153">
        <v>1000</v>
      </c>
      <c r="E33" s="153">
        <v>330.66</v>
      </c>
      <c r="F33" s="153">
        <v>330660</v>
      </c>
      <c r="G33" s="153">
        <v>1</v>
      </c>
      <c r="H33" s="153">
        <v>330660</v>
      </c>
      <c r="I33" s="218">
        <v>0.17</v>
      </c>
      <c r="J33"/>
      <c r="K33"/>
    </row>
    <row r="34" spans="1:11">
      <c r="A34" s="221" t="s">
        <v>285</v>
      </c>
      <c r="B34" s="153" t="s">
        <v>23</v>
      </c>
      <c r="C34" s="153" t="s">
        <v>38</v>
      </c>
      <c r="D34" s="153">
        <v>10000</v>
      </c>
      <c r="E34" s="153">
        <v>182.09</v>
      </c>
      <c r="F34" s="153">
        <v>1820900</v>
      </c>
      <c r="G34" s="153">
        <v>1</v>
      </c>
      <c r="H34" s="153">
        <v>1820900</v>
      </c>
      <c r="I34" s="218">
        <v>0.92999999999999994</v>
      </c>
      <c r="J34"/>
      <c r="K34"/>
    </row>
    <row r="35" spans="1:11">
      <c r="A35" s="221" t="s">
        <v>103</v>
      </c>
      <c r="B35" s="153" t="s">
        <v>42</v>
      </c>
      <c r="C35" s="153" t="s">
        <v>38</v>
      </c>
      <c r="D35" s="153">
        <v>38350</v>
      </c>
      <c r="E35" s="153">
        <v>78</v>
      </c>
      <c r="F35" s="153">
        <v>2991300</v>
      </c>
      <c r="G35" s="153">
        <v>1</v>
      </c>
      <c r="H35" s="153">
        <v>2991300</v>
      </c>
      <c r="I35" s="218">
        <v>1.53</v>
      </c>
      <c r="J35"/>
      <c r="K35"/>
    </row>
    <row r="36" spans="1:11">
      <c r="A36" s="221" t="s">
        <v>296</v>
      </c>
      <c r="B36" s="153" t="s">
        <v>138</v>
      </c>
      <c r="C36" s="153" t="s">
        <v>37</v>
      </c>
      <c r="D36" s="153">
        <v>50000</v>
      </c>
      <c r="E36" s="153">
        <v>43.96</v>
      </c>
      <c r="F36" s="153">
        <v>2198000</v>
      </c>
      <c r="G36" s="153">
        <v>1.3700882336822491</v>
      </c>
      <c r="H36" s="153">
        <v>1604276.24</v>
      </c>
      <c r="I36" s="218">
        <v>0.82000000000000006</v>
      </c>
      <c r="J36"/>
      <c r="K36"/>
    </row>
    <row r="37" spans="1:11">
      <c r="A37" s="221" t="s">
        <v>110</v>
      </c>
      <c r="B37" s="153" t="s">
        <v>44</v>
      </c>
      <c r="C37" s="153" t="s">
        <v>38</v>
      </c>
      <c r="D37" s="153">
        <v>55000</v>
      </c>
      <c r="E37" s="153">
        <v>26.62</v>
      </c>
      <c r="F37" s="153">
        <v>1464100</v>
      </c>
      <c r="G37" s="153">
        <v>1</v>
      </c>
      <c r="H37" s="153">
        <v>1464100</v>
      </c>
      <c r="I37" s="218">
        <v>0.75</v>
      </c>
      <c r="J37"/>
      <c r="K37"/>
    </row>
    <row r="38" spans="1:11">
      <c r="A38" s="221" t="s">
        <v>378</v>
      </c>
      <c r="B38" s="153" t="s">
        <v>139</v>
      </c>
      <c r="C38" s="153" t="s">
        <v>38</v>
      </c>
      <c r="D38" s="153">
        <v>2000</v>
      </c>
      <c r="E38" s="153">
        <v>423.8</v>
      </c>
      <c r="F38" s="153">
        <v>847600</v>
      </c>
      <c r="G38" s="153">
        <v>1</v>
      </c>
      <c r="H38" s="153">
        <v>847600</v>
      </c>
      <c r="I38" s="218">
        <v>0.43</v>
      </c>
      <c r="J38"/>
      <c r="K38"/>
    </row>
    <row r="39" spans="1:11">
      <c r="A39" s="221" t="s">
        <v>114</v>
      </c>
      <c r="B39" s="153" t="s">
        <v>139</v>
      </c>
      <c r="C39" s="153" t="s">
        <v>38</v>
      </c>
      <c r="D39" s="153">
        <v>50000</v>
      </c>
      <c r="E39" s="153">
        <v>45.81</v>
      </c>
      <c r="F39" s="153">
        <v>2290500</v>
      </c>
      <c r="G39" s="153">
        <v>1</v>
      </c>
      <c r="H39" s="153">
        <v>2290500</v>
      </c>
      <c r="I39" s="218">
        <v>1.17</v>
      </c>
      <c r="J39"/>
      <c r="K39"/>
    </row>
    <row r="40" spans="1:11">
      <c r="A40" s="221" t="s">
        <v>381</v>
      </c>
      <c r="B40" s="153" t="s">
        <v>140</v>
      </c>
      <c r="C40" s="153" t="s">
        <v>38</v>
      </c>
      <c r="D40" s="153">
        <v>-25</v>
      </c>
      <c r="E40" s="153">
        <v>36.25</v>
      </c>
      <c r="F40" s="153">
        <v>-906.25</v>
      </c>
      <c r="G40" s="153">
        <v>1</v>
      </c>
      <c r="H40" s="153">
        <v>-906.25</v>
      </c>
      <c r="I40" s="218">
        <v>0</v>
      </c>
      <c r="J40"/>
      <c r="K40"/>
    </row>
    <row r="41" spans="1:11">
      <c r="A41" s="221" t="s">
        <v>382</v>
      </c>
      <c r="B41" s="153" t="s">
        <v>140</v>
      </c>
      <c r="C41" s="153" t="s">
        <v>38</v>
      </c>
      <c r="D41" s="153">
        <v>25</v>
      </c>
      <c r="E41" s="153">
        <v>26.5</v>
      </c>
      <c r="F41" s="153">
        <v>662.5</v>
      </c>
      <c r="G41" s="153">
        <v>1</v>
      </c>
      <c r="H41" s="153">
        <v>662.5</v>
      </c>
      <c r="I41" s="218">
        <v>0</v>
      </c>
      <c r="J41"/>
      <c r="K41"/>
    </row>
    <row r="42" spans="1:11">
      <c r="A42" s="221" t="s">
        <v>383</v>
      </c>
      <c r="B42" s="153" t="s">
        <v>155</v>
      </c>
      <c r="C42" s="153" t="s">
        <v>38</v>
      </c>
      <c r="D42" s="153">
        <v>15</v>
      </c>
      <c r="E42" s="153">
        <v>5916.5</v>
      </c>
      <c r="F42" s="153">
        <v>88747.5</v>
      </c>
      <c r="G42" s="153">
        <v>1</v>
      </c>
      <c r="H42" s="153">
        <v>88747.5</v>
      </c>
      <c r="I42" s="218">
        <v>0.05</v>
      </c>
      <c r="J42"/>
      <c r="K42"/>
    </row>
    <row r="43" spans="1:11">
      <c r="A43" s="221" t="s">
        <v>76</v>
      </c>
      <c r="B43" s="153" t="s">
        <v>42</v>
      </c>
      <c r="C43" s="153" t="s">
        <v>38</v>
      </c>
      <c r="D43" s="153">
        <v>200000</v>
      </c>
      <c r="E43" s="153">
        <v>17.75</v>
      </c>
      <c r="F43" s="153">
        <v>3550000</v>
      </c>
      <c r="G43" s="153">
        <v>1</v>
      </c>
      <c r="H43" s="153">
        <v>3550000</v>
      </c>
      <c r="I43" s="218">
        <v>1.81</v>
      </c>
      <c r="J43" s="153"/>
      <c r="K43"/>
    </row>
    <row r="44" spans="1:11">
      <c r="A44" s="221" t="s">
        <v>108</v>
      </c>
      <c r="B44" s="153" t="s">
        <v>44</v>
      </c>
      <c r="C44" s="153" t="s">
        <v>38</v>
      </c>
      <c r="D44" s="153">
        <v>69481</v>
      </c>
      <c r="E44" s="153">
        <v>245.42</v>
      </c>
      <c r="F44" s="153">
        <v>17052027.02</v>
      </c>
      <c r="G44" s="153">
        <v>1</v>
      </c>
      <c r="H44" s="153">
        <v>17052027.02</v>
      </c>
      <c r="I44" s="218">
        <v>8.7099999999999991</v>
      </c>
      <c r="J44"/>
      <c r="K44"/>
    </row>
    <row r="45" spans="1:11">
      <c r="A45" s="221" t="s">
        <v>312</v>
      </c>
      <c r="B45" s="153" t="s">
        <v>23</v>
      </c>
      <c r="C45" s="153" t="s">
        <v>38</v>
      </c>
      <c r="D45" s="153">
        <v>2000</v>
      </c>
      <c r="E45" s="153">
        <v>190.63</v>
      </c>
      <c r="F45" s="153">
        <v>381260</v>
      </c>
      <c r="G45" s="153">
        <v>1</v>
      </c>
      <c r="H45" s="153">
        <v>381260</v>
      </c>
      <c r="I45" s="218">
        <v>0.19</v>
      </c>
      <c r="J45"/>
      <c r="K45"/>
    </row>
    <row r="46" spans="1:11">
      <c r="A46" s="221" t="s">
        <v>307</v>
      </c>
      <c r="B46" s="153" t="s">
        <v>23</v>
      </c>
      <c r="C46" s="153" t="s">
        <v>38</v>
      </c>
      <c r="D46" s="153">
        <v>2000</v>
      </c>
      <c r="E46" s="153">
        <v>574.97</v>
      </c>
      <c r="F46" s="153">
        <v>1149940</v>
      </c>
      <c r="G46" s="153">
        <v>1</v>
      </c>
      <c r="H46" s="153">
        <v>1149940</v>
      </c>
      <c r="I46" s="218">
        <v>0.59</v>
      </c>
      <c r="J46"/>
      <c r="K46"/>
    </row>
    <row r="47" spans="1:11">
      <c r="A47" s="221" t="s">
        <v>199</v>
      </c>
      <c r="B47" s="153" t="s">
        <v>44</v>
      </c>
      <c r="C47" s="153" t="s">
        <v>38</v>
      </c>
      <c r="D47" s="153">
        <v>11100</v>
      </c>
      <c r="E47" s="153">
        <v>135.41999999999999</v>
      </c>
      <c r="F47" s="153">
        <v>1503162</v>
      </c>
      <c r="G47" s="153">
        <v>1</v>
      </c>
      <c r="H47" s="153">
        <v>1503162</v>
      </c>
      <c r="I47" s="218">
        <v>0.77</v>
      </c>
      <c r="J47"/>
      <c r="K47"/>
    </row>
    <row r="48" spans="1:11">
      <c r="A48" s="221" t="s">
        <v>120</v>
      </c>
      <c r="B48" s="153" t="s">
        <v>44</v>
      </c>
      <c r="C48" s="153" t="s">
        <v>38</v>
      </c>
      <c r="D48" s="153">
        <v>55000</v>
      </c>
      <c r="E48" s="153">
        <v>26.52</v>
      </c>
      <c r="F48" s="153">
        <v>1458600</v>
      </c>
      <c r="G48" s="153">
        <v>1</v>
      </c>
      <c r="H48" s="153">
        <v>1458600</v>
      </c>
      <c r="I48" s="218">
        <v>0.75</v>
      </c>
      <c r="J48"/>
      <c r="K48"/>
    </row>
    <row r="49" spans="1:11">
      <c r="A49" s="221" t="s">
        <v>282</v>
      </c>
      <c r="B49" s="153" t="s">
        <v>44</v>
      </c>
      <c r="C49" s="153" t="s">
        <v>38</v>
      </c>
      <c r="D49" s="153">
        <v>53000</v>
      </c>
      <c r="E49" s="153">
        <v>55.37</v>
      </c>
      <c r="F49" s="153">
        <v>2934610</v>
      </c>
      <c r="G49" s="153">
        <v>1</v>
      </c>
      <c r="H49" s="153">
        <v>2934610</v>
      </c>
      <c r="I49" s="218">
        <v>1.5</v>
      </c>
      <c r="J49"/>
      <c r="K49"/>
    </row>
    <row r="50" spans="1:11">
      <c r="A50" s="221" t="s">
        <v>315</v>
      </c>
      <c r="B50" s="153" t="s">
        <v>140</v>
      </c>
      <c r="C50" s="153" t="s">
        <v>38</v>
      </c>
      <c r="D50" s="153">
        <v>1000</v>
      </c>
      <c r="E50" s="153">
        <v>149.34</v>
      </c>
      <c r="F50" s="153">
        <v>149340</v>
      </c>
      <c r="G50" s="153">
        <v>1</v>
      </c>
      <c r="H50" s="153">
        <v>149340</v>
      </c>
      <c r="I50" s="218">
        <v>0.08</v>
      </c>
      <c r="J50"/>
      <c r="K50"/>
    </row>
    <row r="51" spans="1:11">
      <c r="A51" s="221" t="s">
        <v>313</v>
      </c>
      <c r="B51" s="153" t="s">
        <v>139</v>
      </c>
      <c r="C51" s="153" t="s">
        <v>38</v>
      </c>
      <c r="D51" s="153">
        <v>10000</v>
      </c>
      <c r="E51" s="153">
        <v>99.91</v>
      </c>
      <c r="F51" s="153">
        <v>999100</v>
      </c>
      <c r="G51" s="153">
        <v>1</v>
      </c>
      <c r="H51" s="153">
        <v>999100</v>
      </c>
      <c r="I51" s="218">
        <v>0.51</v>
      </c>
      <c r="J51"/>
      <c r="K51"/>
    </row>
    <row r="52" spans="1:11">
      <c r="A52" s="221" t="s">
        <v>387</v>
      </c>
      <c r="B52" s="153" t="s">
        <v>140</v>
      </c>
      <c r="C52" s="153" t="s">
        <v>38</v>
      </c>
      <c r="D52" s="153">
        <v>-10</v>
      </c>
      <c r="E52" s="153">
        <v>3.65</v>
      </c>
      <c r="F52" s="153">
        <v>-36.5</v>
      </c>
      <c r="G52" s="153">
        <v>1</v>
      </c>
      <c r="H52" s="153">
        <v>-36.5</v>
      </c>
      <c r="I52" s="218">
        <v>0</v>
      </c>
      <c r="J52"/>
      <c r="K52"/>
    </row>
    <row r="53" spans="1:11">
      <c r="A53" s="221" t="s">
        <v>300</v>
      </c>
      <c r="B53" s="153" t="s">
        <v>139</v>
      </c>
      <c r="C53" s="153" t="s">
        <v>38</v>
      </c>
      <c r="D53" s="153">
        <v>63000</v>
      </c>
      <c r="E53" s="153">
        <v>62.15</v>
      </c>
      <c r="F53" s="153">
        <v>3915450</v>
      </c>
      <c r="G53" s="153">
        <v>1</v>
      </c>
      <c r="H53" s="153">
        <v>3915450</v>
      </c>
      <c r="I53" s="218">
        <v>2</v>
      </c>
      <c r="J53"/>
      <c r="K53"/>
    </row>
    <row r="54" spans="1:11">
      <c r="A54" s="221" t="s">
        <v>385</v>
      </c>
      <c r="B54" s="153" t="s">
        <v>140</v>
      </c>
      <c r="C54" s="153" t="s">
        <v>38</v>
      </c>
      <c r="D54" s="153">
        <v>-15</v>
      </c>
      <c r="E54" s="153">
        <v>0.71</v>
      </c>
      <c r="F54" s="153">
        <v>-10.65</v>
      </c>
      <c r="G54" s="153">
        <v>1</v>
      </c>
      <c r="H54" s="153">
        <v>-10.65</v>
      </c>
      <c r="I54" s="218">
        <v>0</v>
      </c>
      <c r="J54"/>
      <c r="K54"/>
    </row>
    <row r="55" spans="1:11">
      <c r="A55" s="221" t="s">
        <v>113</v>
      </c>
      <c r="B55" s="153" t="s">
        <v>42</v>
      </c>
      <c r="C55" s="153" t="s">
        <v>38</v>
      </c>
      <c r="D55" s="153">
        <v>21013</v>
      </c>
      <c r="E55" s="153">
        <v>47.77</v>
      </c>
      <c r="F55" s="153">
        <v>1003791.01</v>
      </c>
      <c r="G55" s="153">
        <v>1</v>
      </c>
      <c r="H55" s="153">
        <v>1003791.01</v>
      </c>
      <c r="I55" s="218">
        <v>0.51</v>
      </c>
      <c r="J55"/>
      <c r="K55"/>
    </row>
    <row r="56" spans="1:11">
      <c r="A56" s="221" t="s">
        <v>106</v>
      </c>
      <c r="B56" s="153" t="s">
        <v>139</v>
      </c>
      <c r="C56" s="153" t="s">
        <v>38</v>
      </c>
      <c r="D56" s="153">
        <v>36000</v>
      </c>
      <c r="E56" s="153">
        <v>221.14</v>
      </c>
      <c r="F56" s="153">
        <v>7961039.9999999991</v>
      </c>
      <c r="G56" s="153">
        <v>1</v>
      </c>
      <c r="H56" s="153">
        <v>7961040</v>
      </c>
      <c r="I56" s="218">
        <v>4.07</v>
      </c>
      <c r="J56"/>
      <c r="K56"/>
    </row>
    <row r="57" spans="1:11">
      <c r="A57" s="221" t="s">
        <v>306</v>
      </c>
      <c r="B57" s="153" t="s">
        <v>23</v>
      </c>
      <c r="C57" s="153" t="s">
        <v>38</v>
      </c>
      <c r="D57" s="153">
        <v>3000</v>
      </c>
      <c r="E57" s="153">
        <v>240</v>
      </c>
      <c r="F57" s="153">
        <v>720000</v>
      </c>
      <c r="G57" s="153">
        <v>1</v>
      </c>
      <c r="H57" s="153">
        <v>720000</v>
      </c>
      <c r="I57" s="218">
        <v>0.37</v>
      </c>
      <c r="J57"/>
      <c r="K57"/>
    </row>
    <row r="58" spans="1:11">
      <c r="A58" s="221" t="s">
        <v>399</v>
      </c>
      <c r="B58" s="153" t="s">
        <v>140</v>
      </c>
      <c r="C58" s="153" t="s">
        <v>38</v>
      </c>
      <c r="D58" s="153">
        <v>-10</v>
      </c>
      <c r="E58" s="153">
        <v>0.79</v>
      </c>
      <c r="F58" s="153">
        <v>-7.9</v>
      </c>
      <c r="G58" s="153">
        <v>1</v>
      </c>
      <c r="H58" s="153">
        <v>-7.9</v>
      </c>
      <c r="I58" s="218">
        <v>0</v>
      </c>
      <c r="J58"/>
      <c r="K58"/>
    </row>
    <row r="59" spans="1:11">
      <c r="A59" s="221" t="s">
        <v>379</v>
      </c>
      <c r="B59" s="153" t="s">
        <v>23</v>
      </c>
      <c r="C59" s="153" t="s">
        <v>38</v>
      </c>
      <c r="D59" s="153">
        <v>5000</v>
      </c>
      <c r="E59" s="153">
        <v>61.84</v>
      </c>
      <c r="F59" s="153">
        <v>309200</v>
      </c>
      <c r="G59" s="153">
        <v>1</v>
      </c>
      <c r="H59" s="153">
        <v>309200</v>
      </c>
      <c r="I59" s="218">
        <v>0.16</v>
      </c>
      <c r="J59"/>
      <c r="K59"/>
    </row>
    <row r="60" spans="1:11">
      <c r="A60" s="221" t="s">
        <v>289</v>
      </c>
      <c r="B60" s="153" t="s">
        <v>23</v>
      </c>
      <c r="C60" s="153" t="s">
        <v>38</v>
      </c>
      <c r="D60" s="153">
        <v>400</v>
      </c>
      <c r="E60" s="153">
        <v>778.07</v>
      </c>
      <c r="F60" s="153">
        <v>311228</v>
      </c>
      <c r="G60" s="153">
        <v>1</v>
      </c>
      <c r="H60" s="153">
        <v>311228</v>
      </c>
      <c r="I60" s="218">
        <v>0.16</v>
      </c>
      <c r="J60"/>
      <c r="K60"/>
    </row>
    <row r="61" spans="1:11">
      <c r="A61" s="221" t="s">
        <v>107</v>
      </c>
      <c r="B61" s="153" t="s">
        <v>42</v>
      </c>
      <c r="C61" s="153" t="s">
        <v>38</v>
      </c>
      <c r="D61" s="153">
        <v>20000</v>
      </c>
      <c r="E61" s="153">
        <v>106.85</v>
      </c>
      <c r="F61" s="153">
        <v>2137000</v>
      </c>
      <c r="G61" s="153">
        <v>1</v>
      </c>
      <c r="H61" s="153">
        <v>2137000</v>
      </c>
      <c r="I61" s="218">
        <v>1.0900000000000001</v>
      </c>
      <c r="J61"/>
      <c r="K61"/>
    </row>
    <row r="62" spans="1:11">
      <c r="A62" s="221" t="s">
        <v>308</v>
      </c>
      <c r="B62" s="153" t="s">
        <v>42</v>
      </c>
      <c r="C62" s="153" t="s">
        <v>38</v>
      </c>
      <c r="D62" s="153">
        <v>4000</v>
      </c>
      <c r="E62" s="153">
        <v>91.6</v>
      </c>
      <c r="F62" s="153">
        <v>366400</v>
      </c>
      <c r="G62" s="153">
        <v>1</v>
      </c>
      <c r="H62" s="153">
        <v>366400</v>
      </c>
      <c r="I62" s="218">
        <v>0.19</v>
      </c>
      <c r="J62"/>
      <c r="K62"/>
    </row>
    <row r="63" spans="1:11">
      <c r="A63" s="221" t="s">
        <v>96</v>
      </c>
      <c r="B63" s="153" t="s">
        <v>23</v>
      </c>
      <c r="C63" s="153" t="s">
        <v>38</v>
      </c>
      <c r="D63" s="153">
        <v>10500</v>
      </c>
      <c r="E63" s="153">
        <v>292.51</v>
      </c>
      <c r="F63" s="153">
        <v>3071355</v>
      </c>
      <c r="G63" s="153">
        <v>1</v>
      </c>
      <c r="H63" s="153">
        <v>3071355</v>
      </c>
      <c r="I63" s="218">
        <v>1.57</v>
      </c>
      <c r="J63"/>
      <c r="K63"/>
    </row>
    <row r="64" spans="1:11">
      <c r="A64" s="221" t="s">
        <v>389</v>
      </c>
      <c r="B64" s="153" t="s">
        <v>140</v>
      </c>
      <c r="C64" s="153" t="s">
        <v>38</v>
      </c>
      <c r="D64" s="153">
        <v>-10</v>
      </c>
      <c r="E64" s="153">
        <v>0.04</v>
      </c>
      <c r="F64" s="153">
        <v>-0.4</v>
      </c>
      <c r="G64" s="153">
        <v>1</v>
      </c>
      <c r="H64" s="153">
        <v>-0.4</v>
      </c>
      <c r="I64" s="218">
        <v>0</v>
      </c>
      <c r="J64"/>
      <c r="K64"/>
    </row>
    <row r="65" spans="1:11">
      <c r="A65" s="221" t="s">
        <v>303</v>
      </c>
      <c r="B65" s="153" t="s">
        <v>140</v>
      </c>
      <c r="C65" s="153" t="s">
        <v>38</v>
      </c>
      <c r="D65" s="153">
        <v>10</v>
      </c>
      <c r="E65" s="153">
        <v>0.08</v>
      </c>
      <c r="F65" s="153">
        <v>0.8</v>
      </c>
      <c r="G65" s="153">
        <v>1</v>
      </c>
      <c r="H65" s="153">
        <v>0.8</v>
      </c>
      <c r="I65" s="218">
        <v>0</v>
      </c>
      <c r="J65"/>
      <c r="K65"/>
    </row>
    <row r="66" spans="1:11">
      <c r="A66" s="221" t="s">
        <v>290</v>
      </c>
      <c r="B66" s="153" t="s">
        <v>23</v>
      </c>
      <c r="C66" s="153" t="s">
        <v>38</v>
      </c>
      <c r="D66" s="153">
        <v>1400</v>
      </c>
      <c r="E66" s="153">
        <v>418.58</v>
      </c>
      <c r="F66" s="153">
        <v>586012</v>
      </c>
      <c r="G66" s="153">
        <v>1</v>
      </c>
      <c r="H66" s="153">
        <v>586012</v>
      </c>
      <c r="I66" s="218">
        <v>0.3</v>
      </c>
      <c r="J66"/>
      <c r="K66"/>
    </row>
    <row r="67" spans="1:11">
      <c r="A67" s="221" t="s">
        <v>394</v>
      </c>
      <c r="B67" s="153" t="s">
        <v>140</v>
      </c>
      <c r="C67" s="153" t="s">
        <v>38</v>
      </c>
      <c r="D67" s="153">
        <v>-10</v>
      </c>
      <c r="E67" s="153">
        <v>437.5</v>
      </c>
      <c r="F67" s="153">
        <v>-4375</v>
      </c>
      <c r="G67" s="153">
        <v>1</v>
      </c>
      <c r="H67" s="153">
        <v>-4375</v>
      </c>
      <c r="I67" s="218">
        <v>0</v>
      </c>
      <c r="J67"/>
      <c r="K67"/>
    </row>
    <row r="68" spans="1:11">
      <c r="A68" s="221" t="s">
        <v>386</v>
      </c>
      <c r="B68" s="153" t="s">
        <v>140</v>
      </c>
      <c r="C68" s="153" t="s">
        <v>38</v>
      </c>
      <c r="D68" s="153">
        <v>30</v>
      </c>
      <c r="E68" s="153">
        <v>81.5</v>
      </c>
      <c r="F68" s="153">
        <v>2445</v>
      </c>
      <c r="G68" s="153">
        <v>1</v>
      </c>
      <c r="H68" s="153">
        <v>2445</v>
      </c>
      <c r="I68" s="218">
        <v>0</v>
      </c>
      <c r="J68"/>
      <c r="K68"/>
    </row>
    <row r="69" spans="1:11">
      <c r="A69" s="221" t="s">
        <v>384</v>
      </c>
      <c r="B69" s="153" t="s">
        <v>155</v>
      </c>
      <c r="C69" s="153" t="s">
        <v>38</v>
      </c>
      <c r="D69" s="153">
        <v>20</v>
      </c>
      <c r="E69" s="153">
        <v>21167.5</v>
      </c>
      <c r="F69" s="153">
        <v>423350</v>
      </c>
      <c r="G69" s="153">
        <v>1</v>
      </c>
      <c r="H69" s="153">
        <v>423350</v>
      </c>
      <c r="I69" s="218">
        <v>0.22</v>
      </c>
      <c r="J69"/>
      <c r="K69"/>
    </row>
    <row r="70" spans="1:11">
      <c r="A70" s="221" t="s">
        <v>88</v>
      </c>
      <c r="B70" s="153" t="s">
        <v>23</v>
      </c>
      <c r="C70" s="153" t="s">
        <v>38</v>
      </c>
      <c r="D70" s="153">
        <v>167800</v>
      </c>
      <c r="E70" s="153">
        <v>138.31</v>
      </c>
      <c r="F70" s="153">
        <v>23208418</v>
      </c>
      <c r="G70" s="153">
        <v>1</v>
      </c>
      <c r="H70" s="153">
        <v>23208418</v>
      </c>
      <c r="I70" s="218">
        <v>11.86</v>
      </c>
      <c r="J70"/>
      <c r="K70"/>
    </row>
    <row r="71" spans="1:11">
      <c r="A71" s="221" t="s">
        <v>395</v>
      </c>
      <c r="B71" s="153" t="s">
        <v>140</v>
      </c>
      <c r="C71" s="153" t="s">
        <v>38</v>
      </c>
      <c r="D71" s="153">
        <v>-50</v>
      </c>
      <c r="E71" s="153">
        <v>0.69</v>
      </c>
      <c r="F71" s="153">
        <v>-34.5</v>
      </c>
      <c r="G71" s="153">
        <v>1</v>
      </c>
      <c r="H71" s="153">
        <v>-34.5</v>
      </c>
      <c r="I71" s="218">
        <v>0</v>
      </c>
      <c r="J71"/>
      <c r="K71"/>
    </row>
    <row r="72" spans="1:11">
      <c r="A72" s="221" t="s">
        <v>403</v>
      </c>
      <c r="B72" s="153" t="s">
        <v>140</v>
      </c>
      <c r="C72" s="153" t="s">
        <v>38</v>
      </c>
      <c r="D72" s="153">
        <v>-100</v>
      </c>
      <c r="E72" s="153">
        <v>1.32</v>
      </c>
      <c r="F72" s="153">
        <v>-132</v>
      </c>
      <c r="G72" s="153">
        <v>1</v>
      </c>
      <c r="H72" s="153">
        <v>-132</v>
      </c>
      <c r="I72" s="218">
        <v>0</v>
      </c>
      <c r="J72"/>
      <c r="K72"/>
    </row>
    <row r="73" spans="1:11">
      <c r="A73" s="221" t="s">
        <v>396</v>
      </c>
      <c r="B73" s="153" t="s">
        <v>140</v>
      </c>
      <c r="C73" s="153" t="s">
        <v>38</v>
      </c>
      <c r="D73" s="153">
        <v>-100</v>
      </c>
      <c r="E73" s="153">
        <v>1.86</v>
      </c>
      <c r="F73" s="153">
        <v>-186</v>
      </c>
      <c r="G73" s="153">
        <v>1</v>
      </c>
      <c r="H73" s="153">
        <v>-186</v>
      </c>
      <c r="I73" s="218">
        <v>0</v>
      </c>
      <c r="J73"/>
      <c r="K73"/>
    </row>
    <row r="74" spans="1:11">
      <c r="A74" s="221" t="s">
        <v>380</v>
      </c>
      <c r="B74" s="153" t="s">
        <v>23</v>
      </c>
      <c r="C74" s="153" t="s">
        <v>38</v>
      </c>
      <c r="D74" s="153">
        <v>1500</v>
      </c>
      <c r="E74" s="153">
        <v>166.03</v>
      </c>
      <c r="F74" s="153">
        <v>249045</v>
      </c>
      <c r="G74" s="153">
        <v>1</v>
      </c>
      <c r="H74" s="153">
        <v>249045</v>
      </c>
      <c r="I74" s="218">
        <v>0.13</v>
      </c>
      <c r="J74"/>
      <c r="K74"/>
    </row>
    <row r="75" spans="1:11">
      <c r="A75" s="221" t="s">
        <v>397</v>
      </c>
      <c r="B75" s="153" t="s">
        <v>140</v>
      </c>
      <c r="C75" s="153" t="s">
        <v>38</v>
      </c>
      <c r="D75" s="153">
        <v>-10</v>
      </c>
      <c r="E75" s="153">
        <v>0.56000000000000005</v>
      </c>
      <c r="F75" s="153">
        <v>-5.6000000000000014</v>
      </c>
      <c r="G75" s="153">
        <v>1</v>
      </c>
      <c r="H75" s="153">
        <v>-5.6</v>
      </c>
      <c r="I75" s="218">
        <v>0</v>
      </c>
      <c r="J75"/>
      <c r="K75"/>
    </row>
    <row r="76" spans="1:11">
      <c r="A76" s="221" t="s">
        <v>314</v>
      </c>
      <c r="B76" s="153" t="s">
        <v>23</v>
      </c>
      <c r="C76" s="153" t="s">
        <v>38</v>
      </c>
      <c r="D76" s="153">
        <v>2000</v>
      </c>
      <c r="E76" s="153">
        <v>180.74</v>
      </c>
      <c r="F76" s="153">
        <v>361480</v>
      </c>
      <c r="G76" s="153">
        <v>1</v>
      </c>
      <c r="H76" s="153">
        <v>361480</v>
      </c>
      <c r="I76" s="218">
        <v>0.18</v>
      </c>
      <c r="J76"/>
      <c r="K76"/>
    </row>
    <row r="77" spans="1:11">
      <c r="A77" s="221" t="s">
        <v>294</v>
      </c>
      <c r="B77" s="153" t="s">
        <v>138</v>
      </c>
      <c r="C77" s="153" t="s">
        <v>38</v>
      </c>
      <c r="D77" s="153">
        <v>11400</v>
      </c>
      <c r="E77" s="153">
        <v>96.89</v>
      </c>
      <c r="F77" s="153">
        <v>1104546</v>
      </c>
      <c r="G77" s="153">
        <v>1</v>
      </c>
      <c r="H77" s="153">
        <v>1104546</v>
      </c>
      <c r="I77" s="218">
        <v>0.55999999999999994</v>
      </c>
      <c r="J77"/>
      <c r="K77"/>
    </row>
    <row r="78" spans="1:11">
      <c r="A78" s="221" t="s">
        <v>400</v>
      </c>
      <c r="B78" s="153" t="s">
        <v>23</v>
      </c>
      <c r="C78" s="153" t="s">
        <v>38</v>
      </c>
      <c r="D78" s="153">
        <v>1500</v>
      </c>
      <c r="E78" s="153">
        <v>75.19</v>
      </c>
      <c r="F78" s="153">
        <v>112785</v>
      </c>
      <c r="G78" s="153">
        <v>1</v>
      </c>
      <c r="H78" s="153">
        <v>112785</v>
      </c>
      <c r="I78" s="218">
        <v>0.06</v>
      </c>
      <c r="J78"/>
      <c r="K78"/>
    </row>
    <row r="79" spans="1:11">
      <c r="A79" s="221" t="s">
        <v>401</v>
      </c>
      <c r="B79" s="153" t="s">
        <v>140</v>
      </c>
      <c r="C79" s="153" t="s">
        <v>38</v>
      </c>
      <c r="D79" s="153">
        <v>-10</v>
      </c>
      <c r="E79" s="153">
        <v>2.31</v>
      </c>
      <c r="F79" s="153">
        <v>-23.1</v>
      </c>
      <c r="G79" s="153">
        <v>1</v>
      </c>
      <c r="H79" s="153">
        <v>-23.1</v>
      </c>
      <c r="I79" s="218">
        <v>0</v>
      </c>
      <c r="J79"/>
      <c r="K79"/>
    </row>
    <row r="80" spans="1:11">
      <c r="A80" s="221" t="s">
        <v>402</v>
      </c>
      <c r="B80" s="153" t="s">
        <v>140</v>
      </c>
      <c r="C80" s="153" t="s">
        <v>38</v>
      </c>
      <c r="D80" s="153">
        <v>-5</v>
      </c>
      <c r="E80" s="153">
        <v>0.8</v>
      </c>
      <c r="F80" s="153">
        <v>-4</v>
      </c>
      <c r="G80" s="153">
        <v>1</v>
      </c>
      <c r="H80" s="153">
        <v>-4</v>
      </c>
      <c r="I80" s="218">
        <v>0</v>
      </c>
      <c r="J80"/>
      <c r="K80"/>
    </row>
    <row r="81" spans="1:11">
      <c r="A81" s="221" t="s">
        <v>25</v>
      </c>
      <c r="B81" s="153" t="s">
        <v>139</v>
      </c>
      <c r="C81" s="153" t="s">
        <v>38</v>
      </c>
      <c r="D81" s="153">
        <v>62000</v>
      </c>
      <c r="E81" s="153">
        <v>510.23</v>
      </c>
      <c r="F81" s="153">
        <v>31634260</v>
      </c>
      <c r="G81" s="153">
        <v>1</v>
      </c>
      <c r="H81" s="153">
        <v>31634260</v>
      </c>
      <c r="I81" s="218">
        <v>16.16</v>
      </c>
      <c r="J81"/>
      <c r="K81"/>
    </row>
    <row r="82" spans="1:11">
      <c r="A82" s="221" t="s">
        <v>286</v>
      </c>
      <c r="B82" s="153" t="s">
        <v>139</v>
      </c>
      <c r="C82" s="153" t="s">
        <v>38</v>
      </c>
      <c r="D82" s="153">
        <v>10000</v>
      </c>
      <c r="E82" s="153">
        <v>174.72</v>
      </c>
      <c r="F82" s="153">
        <v>1747200</v>
      </c>
      <c r="G82" s="153">
        <v>1</v>
      </c>
      <c r="H82" s="153">
        <v>1747200</v>
      </c>
      <c r="I82" s="218">
        <v>0.89</v>
      </c>
      <c r="J82"/>
      <c r="K82"/>
    </row>
    <row r="83" spans="1:11">
      <c r="A83" s="221" t="s">
        <v>309</v>
      </c>
      <c r="B83" s="153" t="s">
        <v>23</v>
      </c>
      <c r="C83" s="153" t="s">
        <v>38</v>
      </c>
      <c r="D83" s="153">
        <v>5000</v>
      </c>
      <c r="E83" s="153">
        <v>116.01</v>
      </c>
      <c r="F83" s="153">
        <v>580050</v>
      </c>
      <c r="G83" s="153">
        <v>1</v>
      </c>
      <c r="H83" s="153">
        <v>580050</v>
      </c>
      <c r="I83" s="218">
        <v>0.3</v>
      </c>
      <c r="J83"/>
      <c r="K83"/>
    </row>
    <row r="84" spans="1:11">
      <c r="A84" s="221" t="s">
        <v>297</v>
      </c>
      <c r="B84" s="153" t="s">
        <v>138</v>
      </c>
      <c r="C84" s="153" t="s">
        <v>38</v>
      </c>
      <c r="D84" s="153">
        <v>5500</v>
      </c>
      <c r="E84" s="153">
        <v>104.87</v>
      </c>
      <c r="F84" s="153">
        <v>576785</v>
      </c>
      <c r="G84" s="153">
        <v>1</v>
      </c>
      <c r="H84" s="153">
        <v>576785</v>
      </c>
      <c r="I84" s="218">
        <v>0.28999999999999998</v>
      </c>
      <c r="J84"/>
      <c r="K84"/>
    </row>
    <row r="85" spans="1:11">
      <c r="A85" s="221" t="s">
        <v>292</v>
      </c>
      <c r="B85" s="153" t="s">
        <v>42</v>
      </c>
      <c r="C85" s="153" t="s">
        <v>38</v>
      </c>
      <c r="D85" s="153">
        <v>12000</v>
      </c>
      <c r="E85" s="153">
        <v>22.51</v>
      </c>
      <c r="F85" s="153">
        <v>270120</v>
      </c>
      <c r="G85" s="153">
        <v>1</v>
      </c>
      <c r="H85" s="153">
        <v>270120</v>
      </c>
      <c r="I85" s="218">
        <v>0.14000000000000001</v>
      </c>
      <c r="J85"/>
      <c r="K85"/>
    </row>
    <row r="86" spans="1:11">
      <c r="A86" s="221" t="s">
        <v>390</v>
      </c>
      <c r="B86" s="153" t="s">
        <v>140</v>
      </c>
      <c r="C86" s="153" t="s">
        <v>38</v>
      </c>
      <c r="D86" s="153">
        <v>-5</v>
      </c>
      <c r="E86" s="153">
        <v>2.93</v>
      </c>
      <c r="F86" s="153">
        <v>-14.65</v>
      </c>
      <c r="G86" s="153">
        <v>1</v>
      </c>
      <c r="H86" s="153">
        <v>-14.65</v>
      </c>
      <c r="I86" s="218">
        <v>0</v>
      </c>
      <c r="J86"/>
      <c r="K86"/>
    </row>
    <row r="87" spans="1:11">
      <c r="A87" s="221" t="s">
        <v>291</v>
      </c>
      <c r="B87" s="153" t="s">
        <v>42</v>
      </c>
      <c r="C87" s="153" t="s">
        <v>38</v>
      </c>
      <c r="D87" s="153">
        <v>15000</v>
      </c>
      <c r="E87" s="153">
        <v>100.66</v>
      </c>
      <c r="F87" s="153">
        <v>1509900</v>
      </c>
      <c r="G87" s="153">
        <v>1</v>
      </c>
      <c r="H87" s="153">
        <v>1509900</v>
      </c>
      <c r="I87" s="218">
        <v>0.77</v>
      </c>
      <c r="J87"/>
      <c r="K87"/>
    </row>
    <row r="88" spans="1:11">
      <c r="A88" s="221" t="s">
        <v>105</v>
      </c>
      <c r="B88" s="153" t="s">
        <v>42</v>
      </c>
      <c r="C88" s="153" t="s">
        <v>38</v>
      </c>
      <c r="D88" s="153">
        <v>52500</v>
      </c>
      <c r="E88" s="153">
        <v>87.57</v>
      </c>
      <c r="F88" s="153">
        <v>4597425</v>
      </c>
      <c r="G88" s="153">
        <v>1</v>
      </c>
      <c r="H88" s="153">
        <v>4597425</v>
      </c>
      <c r="I88" s="218">
        <v>2.35</v>
      </c>
      <c r="J88"/>
      <c r="K88"/>
    </row>
    <row r="89" spans="1:11">
      <c r="A89" s="221" t="s">
        <v>200</v>
      </c>
      <c r="B89" s="153" t="s">
        <v>23</v>
      </c>
      <c r="C89" s="153" t="s">
        <v>38</v>
      </c>
      <c r="D89" s="153">
        <v>81500</v>
      </c>
      <c r="E89" s="153">
        <v>201.58</v>
      </c>
      <c r="F89" s="153">
        <v>16428770</v>
      </c>
      <c r="G89" s="153">
        <v>1</v>
      </c>
      <c r="H89" s="153">
        <v>16428770</v>
      </c>
      <c r="I89" s="218">
        <v>8.39</v>
      </c>
      <c r="J89"/>
      <c r="K89"/>
    </row>
    <row r="90" spans="1:11">
      <c r="A90" s="221" t="s">
        <v>404</v>
      </c>
      <c r="B90" s="153" t="s">
        <v>140</v>
      </c>
      <c r="C90" s="153" t="s">
        <v>38</v>
      </c>
      <c r="D90" s="153">
        <v>-100</v>
      </c>
      <c r="E90" s="153">
        <v>1.46</v>
      </c>
      <c r="F90" s="153">
        <v>-146</v>
      </c>
      <c r="G90" s="153">
        <v>1</v>
      </c>
      <c r="H90" s="153">
        <v>-146</v>
      </c>
      <c r="I90" s="218">
        <v>0</v>
      </c>
      <c r="J90"/>
      <c r="K90"/>
    </row>
    <row r="91" spans="1:11">
      <c r="A91" s="221" t="s">
        <v>398</v>
      </c>
      <c r="B91" s="153" t="s">
        <v>140</v>
      </c>
      <c r="C91" s="153" t="s">
        <v>38</v>
      </c>
      <c r="D91" s="153">
        <v>-100</v>
      </c>
      <c r="E91" s="153">
        <v>2.44</v>
      </c>
      <c r="F91" s="153">
        <v>-244</v>
      </c>
      <c r="G91" s="153">
        <v>1</v>
      </c>
      <c r="H91" s="153">
        <v>-244</v>
      </c>
      <c r="I91" s="218">
        <v>0</v>
      </c>
      <c r="J91"/>
      <c r="K91"/>
    </row>
    <row r="92" spans="1:11">
      <c r="A92" s="221" t="s">
        <v>109</v>
      </c>
      <c r="B92" s="153" t="s">
        <v>42</v>
      </c>
      <c r="C92" s="153" t="s">
        <v>38</v>
      </c>
      <c r="D92" s="153">
        <v>40000</v>
      </c>
      <c r="E92" s="153">
        <v>36.86</v>
      </c>
      <c r="F92" s="153">
        <v>1474400</v>
      </c>
      <c r="G92" s="153">
        <v>1</v>
      </c>
      <c r="H92" s="153">
        <v>1474400</v>
      </c>
      <c r="I92" s="218">
        <v>0.75</v>
      </c>
      <c r="J92"/>
      <c r="K92"/>
    </row>
    <row r="93" spans="1:11">
      <c r="A93" s="221" t="s">
        <v>104</v>
      </c>
      <c r="B93" s="153" t="s">
        <v>42</v>
      </c>
      <c r="C93" s="153" t="s">
        <v>38</v>
      </c>
      <c r="D93" s="153">
        <v>30000</v>
      </c>
      <c r="E93" s="153">
        <v>80.290000000000006</v>
      </c>
      <c r="F93" s="153">
        <v>2408700</v>
      </c>
      <c r="G93" s="153">
        <v>1</v>
      </c>
      <c r="H93" s="153">
        <v>2408700</v>
      </c>
      <c r="I93" s="218">
        <v>1.23</v>
      </c>
      <c r="J93"/>
      <c r="K93"/>
    </row>
    <row r="94" spans="1:11">
      <c r="A94" s="221" t="s">
        <v>305</v>
      </c>
      <c r="B94" s="153" t="s">
        <v>23</v>
      </c>
      <c r="C94" s="153" t="s">
        <v>38</v>
      </c>
      <c r="D94" s="153">
        <v>2000</v>
      </c>
      <c r="E94" s="153">
        <v>41.12</v>
      </c>
      <c r="F94" s="153">
        <v>82240</v>
      </c>
      <c r="G94" s="153">
        <v>1</v>
      </c>
      <c r="H94" s="153">
        <v>82240</v>
      </c>
      <c r="I94" s="218">
        <v>0.04</v>
      </c>
      <c r="J94"/>
      <c r="K94"/>
    </row>
    <row r="95" spans="1:11">
      <c r="A95" s="221" t="s">
        <v>287</v>
      </c>
      <c r="B95" s="153" t="s">
        <v>139</v>
      </c>
      <c r="C95" s="153" t="s">
        <v>38</v>
      </c>
      <c r="D95" s="153">
        <v>5500</v>
      </c>
      <c r="E95" s="153">
        <v>103.48</v>
      </c>
      <c r="F95" s="153">
        <v>569140</v>
      </c>
      <c r="G95" s="153">
        <v>1</v>
      </c>
      <c r="H95" s="153">
        <v>569140</v>
      </c>
      <c r="I95" s="218">
        <v>0.28999999999999998</v>
      </c>
      <c r="J95"/>
      <c r="K95"/>
    </row>
    <row r="96" spans="1:11">
      <c r="A96" s="221" t="s">
        <v>26</v>
      </c>
      <c r="B96" s="153" t="s">
        <v>139</v>
      </c>
      <c r="C96" s="153" t="s">
        <v>38</v>
      </c>
      <c r="D96" s="153">
        <v>67500</v>
      </c>
      <c r="E96" s="153">
        <v>86.66</v>
      </c>
      <c r="F96" s="153">
        <v>5849550</v>
      </c>
      <c r="G96" s="153">
        <v>1</v>
      </c>
      <c r="H96" s="153">
        <v>5849550</v>
      </c>
      <c r="I96" s="218">
        <v>2.99</v>
      </c>
      <c r="J96"/>
      <c r="K96"/>
    </row>
    <row r="97" spans="1:11">
      <c r="A97" s="221" t="s">
        <v>117</v>
      </c>
      <c r="B97" s="153" t="s">
        <v>139</v>
      </c>
      <c r="C97" s="153" t="s">
        <v>38</v>
      </c>
      <c r="D97" s="153">
        <v>199563</v>
      </c>
      <c r="E97" s="153">
        <v>48.21</v>
      </c>
      <c r="F97" s="153">
        <v>9620932.2300000004</v>
      </c>
      <c r="G97" s="153">
        <v>1</v>
      </c>
      <c r="H97" s="153">
        <v>9620932.2300000004</v>
      </c>
      <c r="I97" s="218">
        <v>4.92</v>
      </c>
      <c r="J97"/>
      <c r="K97"/>
    </row>
    <row r="98" spans="1:11">
      <c r="A98" s="221" t="s">
        <v>118</v>
      </c>
      <c r="B98" s="153" t="s">
        <v>139</v>
      </c>
      <c r="C98" s="153" t="s">
        <v>38</v>
      </c>
      <c r="D98" s="153">
        <v>24100</v>
      </c>
      <c r="E98" s="153">
        <v>231.97</v>
      </c>
      <c r="F98" s="153">
        <v>5590477</v>
      </c>
      <c r="G98" s="153">
        <v>1</v>
      </c>
      <c r="H98" s="153">
        <v>5590477</v>
      </c>
      <c r="I98" s="218">
        <v>2.86</v>
      </c>
      <c r="J98"/>
      <c r="K98"/>
    </row>
    <row r="99" spans="1:11">
      <c r="A99" s="221" t="s">
        <v>405</v>
      </c>
      <c r="B99" s="153" t="s">
        <v>140</v>
      </c>
      <c r="C99" s="153" t="s">
        <v>38</v>
      </c>
      <c r="D99" s="153">
        <v>-100</v>
      </c>
      <c r="E99" s="153">
        <v>0.47</v>
      </c>
      <c r="F99" s="153">
        <v>-47</v>
      </c>
      <c r="G99" s="153">
        <v>1</v>
      </c>
      <c r="H99" s="153">
        <v>-47</v>
      </c>
      <c r="I99" s="218">
        <v>0</v>
      </c>
      <c r="J99"/>
      <c r="K99"/>
    </row>
    <row r="100" spans="1:11">
      <c r="A100" s="221" t="s">
        <v>49</v>
      </c>
      <c r="B100" s="153" t="s">
        <v>44</v>
      </c>
      <c r="C100" s="153" t="s">
        <v>38</v>
      </c>
      <c r="D100" s="153">
        <v>6000</v>
      </c>
      <c r="E100" s="153">
        <v>76.27</v>
      </c>
      <c r="F100" s="153">
        <v>457620</v>
      </c>
      <c r="G100" s="153">
        <v>1</v>
      </c>
      <c r="H100" s="153">
        <v>457620</v>
      </c>
      <c r="I100" s="218">
        <v>0.23</v>
      </c>
      <c r="J100"/>
      <c r="K100"/>
    </row>
    <row r="101" spans="1:11">
      <c r="A101" s="221" t="s">
        <v>115</v>
      </c>
      <c r="B101" s="153" t="s">
        <v>139</v>
      </c>
      <c r="C101" s="153" t="s">
        <v>38</v>
      </c>
      <c r="D101" s="153">
        <v>31500</v>
      </c>
      <c r="E101" s="153">
        <v>137.61000000000001</v>
      </c>
      <c r="F101" s="153">
        <v>4334715</v>
      </c>
      <c r="G101" s="153">
        <v>1</v>
      </c>
      <c r="H101" s="153">
        <v>4334715</v>
      </c>
      <c r="I101" s="218">
        <v>2.21</v>
      </c>
      <c r="J101"/>
      <c r="K101"/>
    </row>
    <row r="102" spans="1:11">
      <c r="A102" s="221" t="s">
        <v>131</v>
      </c>
      <c r="B102" s="153" t="s">
        <v>44</v>
      </c>
      <c r="C102" s="153" t="s">
        <v>38</v>
      </c>
      <c r="D102" s="153">
        <v>13500</v>
      </c>
      <c r="E102" s="153">
        <v>57.63</v>
      </c>
      <c r="F102" s="153">
        <v>778005</v>
      </c>
      <c r="G102" s="153">
        <v>1</v>
      </c>
      <c r="H102" s="153">
        <v>778005</v>
      </c>
      <c r="I102" s="218">
        <v>0.4</v>
      </c>
      <c r="J102"/>
      <c r="K102"/>
    </row>
    <row r="103" spans="1:11">
      <c r="A103" s="221" t="s">
        <v>372</v>
      </c>
      <c r="B103" s="153" t="s">
        <v>139</v>
      </c>
      <c r="C103" s="153" t="s">
        <v>38</v>
      </c>
      <c r="D103" s="153">
        <v>4300</v>
      </c>
      <c r="E103" s="153">
        <v>189.47</v>
      </c>
      <c r="F103" s="153">
        <v>814721</v>
      </c>
      <c r="G103" s="153">
        <v>1</v>
      </c>
      <c r="H103" s="153">
        <v>814721</v>
      </c>
      <c r="I103" s="218">
        <v>0.42</v>
      </c>
      <c r="J103"/>
      <c r="K103"/>
    </row>
    <row r="104" spans="1:11">
      <c r="A104" s="221" t="s">
        <v>373</v>
      </c>
      <c r="B104" s="153" t="s">
        <v>140</v>
      </c>
      <c r="C104" s="153" t="s">
        <v>38</v>
      </c>
      <c r="D104" s="153">
        <v>-5</v>
      </c>
      <c r="E104" s="153">
        <v>0.85</v>
      </c>
      <c r="F104" s="153">
        <v>-4.25</v>
      </c>
      <c r="G104" s="153">
        <v>1</v>
      </c>
      <c r="H104" s="153">
        <v>-4.25</v>
      </c>
      <c r="I104" s="218">
        <v>0</v>
      </c>
      <c r="J104"/>
      <c r="K104"/>
    </row>
    <row r="105" spans="1:11">
      <c r="A105" s="221" t="s">
        <v>284</v>
      </c>
      <c r="B105" s="153" t="s">
        <v>138</v>
      </c>
      <c r="C105" s="153" t="s">
        <v>37</v>
      </c>
      <c r="D105" s="153">
        <v>200000</v>
      </c>
      <c r="E105" s="153">
        <v>3.09</v>
      </c>
      <c r="F105" s="153">
        <v>618000</v>
      </c>
      <c r="G105" s="153">
        <v>1.3700882336822491</v>
      </c>
      <c r="H105" s="153">
        <v>451065.84</v>
      </c>
      <c r="I105" s="218">
        <v>0.23</v>
      </c>
      <c r="J105"/>
      <c r="K105"/>
    </row>
    <row r="106" spans="1:11">
      <c r="A106" s="221"/>
      <c r="B106" s="153"/>
      <c r="C106" s="153"/>
      <c r="D106" s="153"/>
      <c r="E106" s="153"/>
      <c r="F106" s="153"/>
      <c r="G106" s="153"/>
      <c r="H106" s="153"/>
      <c r="I106" s="218"/>
      <c r="J106"/>
      <c r="K106"/>
    </row>
    <row r="107" spans="1:11">
      <c r="A107" s="221"/>
      <c r="B107" s="153"/>
      <c r="C107" s="153"/>
      <c r="D107" s="153"/>
      <c r="E107" s="153"/>
      <c r="F107" s="153"/>
      <c r="G107" s="153"/>
      <c r="H107" s="153"/>
      <c r="I107" s="218"/>
      <c r="J107"/>
      <c r="K107"/>
    </row>
    <row r="108" spans="1:11">
      <c r="A108" s="221"/>
      <c r="B108" s="153"/>
      <c r="C108" s="153"/>
      <c r="D108" s="153"/>
      <c r="E108" s="153"/>
      <c r="F108" s="153"/>
      <c r="G108" s="153"/>
      <c r="H108" s="153"/>
      <c r="I108" s="218"/>
      <c r="J108"/>
      <c r="K108"/>
    </row>
    <row r="109" spans="1:11">
      <c r="A109" s="221"/>
      <c r="B109" s="153"/>
      <c r="C109" s="153"/>
      <c r="D109" s="153"/>
      <c r="E109" s="153"/>
      <c r="F109" s="153"/>
      <c r="G109" s="153"/>
      <c r="H109" s="153"/>
      <c r="I109" s="218"/>
      <c r="J109"/>
      <c r="K109"/>
    </row>
    <row r="110" spans="1:11">
      <c r="A110" s="221"/>
      <c r="B110" s="153"/>
      <c r="C110" s="153"/>
      <c r="D110" s="153"/>
      <c r="E110" s="153"/>
      <c r="F110" s="153"/>
      <c r="G110" s="153"/>
      <c r="H110" s="153"/>
      <c r="I110" s="218"/>
      <c r="J110"/>
      <c r="K110"/>
    </row>
    <row r="111" spans="1:11">
      <c r="A111" s="221"/>
      <c r="B111" s="153"/>
      <c r="C111" s="153"/>
      <c r="D111" s="153"/>
      <c r="E111" s="153"/>
      <c r="F111" s="153"/>
      <c r="G111" s="153"/>
      <c r="H111" s="153"/>
      <c r="I111" s="218"/>
      <c r="J111"/>
      <c r="K111"/>
    </row>
    <row r="112" spans="1:11">
      <c r="A112" s="221"/>
      <c r="B112" s="153"/>
      <c r="C112" s="153"/>
      <c r="D112" s="153"/>
      <c r="E112" s="153"/>
      <c r="F112" s="153"/>
      <c r="G112" s="153"/>
      <c r="H112" s="153"/>
      <c r="I112" s="218"/>
      <c r="J112"/>
      <c r="K112"/>
    </row>
    <row r="113" spans="1:11">
      <c r="A113" s="221"/>
      <c r="B113" s="153"/>
      <c r="C113" s="153"/>
      <c r="D113" s="153"/>
      <c r="E113" s="153"/>
      <c r="F113" s="153"/>
      <c r="G113" s="153"/>
      <c r="H113" s="153"/>
      <c r="I113" s="218"/>
      <c r="J113"/>
      <c r="K113"/>
    </row>
    <row r="114" spans="1:11">
      <c r="A114" s="221"/>
      <c r="B114" s="153"/>
      <c r="C114" s="153"/>
      <c r="D114" s="153"/>
      <c r="E114" s="153"/>
      <c r="F114" s="153"/>
      <c r="G114" s="153"/>
      <c r="H114" s="153"/>
      <c r="I114" s="218"/>
      <c r="J114"/>
      <c r="K114"/>
    </row>
    <row r="115" spans="1:11">
      <c r="A115" s="221"/>
      <c r="B115" s="153"/>
      <c r="C115" s="153"/>
      <c r="D115" s="153"/>
      <c r="E115" s="153"/>
      <c r="F115" s="153"/>
      <c r="G115" s="153"/>
      <c r="H115" s="153"/>
      <c r="I115" s="218"/>
      <c r="J115"/>
      <c r="K115"/>
    </row>
    <row r="116" spans="1:11">
      <c r="A116" s="221"/>
      <c r="B116" s="153"/>
      <c r="C116" s="153"/>
      <c r="D116" s="153"/>
      <c r="E116" s="153"/>
      <c r="F116" s="153"/>
      <c r="G116" s="153"/>
      <c r="H116" s="153"/>
      <c r="I116" s="218"/>
      <c r="J116"/>
      <c r="K116"/>
    </row>
    <row r="117" spans="1:11">
      <c r="A117" s="221"/>
      <c r="B117" s="153"/>
      <c r="C117" s="153"/>
      <c r="D117" s="153"/>
      <c r="E117" s="153"/>
      <c r="F117" s="153"/>
      <c r="G117" s="153"/>
      <c r="H117" s="153"/>
      <c r="I117" s="218"/>
      <c r="J117"/>
      <c r="K117"/>
    </row>
    <row r="118" spans="1:11">
      <c r="A118" s="221"/>
      <c r="B118" s="153"/>
      <c r="C118" s="153"/>
      <c r="D118" s="153"/>
      <c r="E118" s="153"/>
      <c r="F118" s="153"/>
      <c r="G118" s="153"/>
      <c r="H118" s="153"/>
      <c r="I118" s="218"/>
      <c r="J118"/>
      <c r="K118"/>
    </row>
    <row r="119" spans="1:11">
      <c r="A119" s="221"/>
      <c r="B119" s="153"/>
      <c r="C119" s="153"/>
      <c r="D119" s="153"/>
      <c r="E119" s="153"/>
      <c r="F119" s="153"/>
      <c r="G119" s="153"/>
      <c r="H119" s="153"/>
      <c r="I119" s="218"/>
      <c r="J119"/>
      <c r="K119"/>
    </row>
    <row r="120" spans="1:11">
      <c r="A120" s="221"/>
      <c r="B120" s="153"/>
      <c r="C120" s="153"/>
      <c r="D120" s="153"/>
      <c r="E120" s="153"/>
      <c r="F120" s="153"/>
      <c r="G120" s="153"/>
      <c r="H120" s="153"/>
      <c r="I120" s="218"/>
      <c r="J120"/>
      <c r="K120"/>
    </row>
    <row r="121" spans="1:11">
      <c r="A121" s="221"/>
      <c r="B121" s="153"/>
      <c r="C121" s="153"/>
      <c r="D121" s="153"/>
      <c r="E121" s="153"/>
      <c r="F121" s="153"/>
      <c r="G121" s="153"/>
      <c r="H121" s="153"/>
      <c r="I121" s="218"/>
      <c r="J121"/>
      <c r="K121"/>
    </row>
    <row r="122" spans="1:11">
      <c r="A122" s="221"/>
      <c r="B122" s="153"/>
      <c r="C122" s="153"/>
      <c r="D122" s="153"/>
      <c r="E122" s="153"/>
      <c r="F122" s="153"/>
      <c r="G122" s="153"/>
      <c r="H122" s="153"/>
      <c r="I122" s="218"/>
      <c r="J122"/>
      <c r="K122"/>
    </row>
    <row r="123" spans="1:11">
      <c r="A123" s="221"/>
      <c r="B123" s="153"/>
      <c r="C123" s="153"/>
      <c r="D123" s="153"/>
      <c r="E123" s="153"/>
      <c r="F123" s="153"/>
      <c r="G123" s="153"/>
      <c r="H123" s="153"/>
      <c r="I123" s="218"/>
      <c r="J123"/>
      <c r="K123"/>
    </row>
    <row r="124" spans="1:11">
      <c r="A124" s="221"/>
      <c r="B124" s="153"/>
      <c r="C124" s="153"/>
      <c r="D124" s="153"/>
      <c r="E124" s="153"/>
      <c r="F124" s="153"/>
      <c r="G124" s="153"/>
      <c r="H124" s="153"/>
      <c r="I124" s="218"/>
      <c r="J124"/>
      <c r="K124"/>
    </row>
    <row r="125" spans="1:11">
      <c r="A125" s="221"/>
      <c r="B125" s="153"/>
      <c r="C125" s="153"/>
      <c r="D125" s="153"/>
      <c r="E125" s="153"/>
      <c r="F125" s="153"/>
      <c r="G125" s="153"/>
      <c r="H125" s="153"/>
      <c r="I125" s="218"/>
      <c r="J125"/>
      <c r="K125"/>
    </row>
    <row r="126" spans="1:11">
      <c r="A126" s="221"/>
      <c r="B126" s="153"/>
      <c r="C126" s="153"/>
      <c r="D126" s="153"/>
      <c r="E126" s="153"/>
      <c r="F126" s="153"/>
      <c r="G126" s="153"/>
      <c r="H126" s="153"/>
      <c r="I126" s="218"/>
      <c r="J126"/>
      <c r="K126"/>
    </row>
    <row r="127" spans="1:11">
      <c r="A127" s="221"/>
      <c r="B127" s="153"/>
      <c r="C127" s="153"/>
      <c r="D127" s="153"/>
      <c r="E127" s="153"/>
      <c r="F127" s="153"/>
      <c r="G127" s="153"/>
      <c r="H127" s="153"/>
      <c r="I127" s="218"/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153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153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153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153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153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153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153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153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153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153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153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153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153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153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153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153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153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153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153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153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153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153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153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153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153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153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153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153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153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153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153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153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153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153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153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153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153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153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153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153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153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153"/>
      <c r="I169" s="218"/>
    </row>
  </sheetData>
  <autoFilter ref="A2:I101" xr:uid="{F6DF4B25-B6CC-4ACC-B571-02DA8228728D}">
    <sortState xmlns:xlrd2="http://schemas.microsoft.com/office/spreadsheetml/2017/richdata2" ref="A3:I169">
      <sortCondition ref="A2:A101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0" sqref="E130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51">
        <v>1263133.29274105</v>
      </c>
      <c r="H176" s="351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tabSelected="1" zoomScale="85" zoomScaleNormal="85" workbookViewId="0">
      <selection activeCell="L32" sqref="L32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6.8554687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3" t="s">
        <v>369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329</v>
      </c>
      <c r="O2" s="273"/>
      <c r="P2" s="273"/>
      <c r="Q2" s="273"/>
      <c r="S2" s="273" t="s">
        <v>320</v>
      </c>
      <c r="T2" s="279"/>
      <c r="U2" s="273"/>
    </row>
    <row r="3" spans="2:21">
      <c r="B3" s="109" t="s">
        <v>367</v>
      </c>
      <c r="C3" s="109" t="s">
        <v>368</v>
      </c>
      <c r="D3" s="109" t="s">
        <v>334</v>
      </c>
      <c r="E3" s="109" t="s">
        <v>335</v>
      </c>
      <c r="F3" s="109" t="s">
        <v>336</v>
      </c>
      <c r="G3" s="109" t="s">
        <v>337</v>
      </c>
      <c r="H3" s="109" t="s">
        <v>338</v>
      </c>
      <c r="I3" s="109" t="s">
        <v>339</v>
      </c>
      <c r="J3" s="109" t="s">
        <v>66</v>
      </c>
      <c r="K3" s="109" t="s">
        <v>66</v>
      </c>
      <c r="L3" s="109" t="s">
        <v>299</v>
      </c>
      <c r="M3" s="292"/>
      <c r="N3" s="109"/>
      <c r="O3" s="109" t="s">
        <v>392</v>
      </c>
      <c r="P3" s="109" t="s">
        <v>330</v>
      </c>
      <c r="Q3" s="109" t="s">
        <v>20</v>
      </c>
      <c r="S3" t="s">
        <v>321</v>
      </c>
      <c r="T3" s="280">
        <f>ROUND(VLOOKUP("Starting Value", 'Email input'!C:D, 2, FALSE),2)</f>
        <v>71204832.620000005</v>
      </c>
    </row>
    <row r="4" spans="2:21">
      <c r="B4" t="s">
        <v>392</v>
      </c>
      <c r="C4" t="s">
        <v>391</v>
      </c>
      <c r="D4" s="8">
        <f ca="1">IF(D18=0, "", D18)</f>
        <v>1.6889908619442388E-2</v>
      </c>
      <c r="E4" s="8" t="str">
        <f t="shared" ref="E4:L5" si="0">IF(E18=0, "", E18)</f>
        <v/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1.6889908619442388E-2</v>
      </c>
      <c r="J4" s="8">
        <f t="shared" ca="1" si="0"/>
        <v>1.6889908619442388E-2</v>
      </c>
      <c r="K4" s="8">
        <f ca="1">J4</f>
        <v>1.6889908619442388E-2</v>
      </c>
      <c r="L4" s="8">
        <f t="shared" ca="1" si="0"/>
        <v>1.6889908619442284E-2</v>
      </c>
      <c r="N4" t="s">
        <v>321</v>
      </c>
      <c r="O4" s="280">
        <f>T3</f>
        <v>71204832.620000005</v>
      </c>
      <c r="P4" s="293">
        <f>P16</f>
        <v>1932595.1</v>
      </c>
      <c r="Q4" s="280">
        <f>SUM(O4:P4)</f>
        <v>73137427.719999999</v>
      </c>
      <c r="S4" t="s">
        <v>319</v>
      </c>
      <c r="T4" s="286">
        <f>ROUND(VLOOKUP("Deposits &amp; Withdrawals", 'Email input'!C:D, 2, FALSE),2)</f>
        <v>-9000000</v>
      </c>
    </row>
    <row r="5" spans="2:21">
      <c r="B5" t="s">
        <v>330</v>
      </c>
      <c r="C5" t="s">
        <v>366</v>
      </c>
      <c r="D5" s="8" t="str">
        <f>IF(D19=0, "", D19)</f>
        <v/>
      </c>
      <c r="E5" s="8" t="str">
        <f>IF(E19=0, "", E19)</f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 t="str">
        <f t="shared" si="0"/>
        <v/>
      </c>
      <c r="K5" s="8" t="str">
        <f>J5</f>
        <v/>
      </c>
      <c r="L5" s="8" t="e">
        <f>IF(L19=0, "", L19)+J5</f>
        <v>#VALUE!</v>
      </c>
      <c r="N5" t="s">
        <v>319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285588.93794469669</v>
      </c>
      <c r="U5" s="8">
        <f>VLOOKUP("Commodities", 'Email input'!F:G, 2, FALSE)/100</f>
        <v>4.0108083599999997E-3</v>
      </c>
    </row>
    <row r="6" spans="2:21">
      <c r="B6" t="s">
        <v>340</v>
      </c>
      <c r="C6" t="s">
        <v>365</v>
      </c>
      <c r="D6" s="8">
        <f t="array" ref="D6">IFERROR(_xll.BDP($B6,"INTERVAL_PERCENT_CHANGE", "END_DATE_OVERRIDE="&amp;TEXT(D$17,"yyyymmdd"), "START_DATE_OVERRIDE="&amp;TEXT(D$16,"yyyymmdd"))/100, "")</f>
        <v>-2.2238733140302817E-3</v>
      </c>
      <c r="E6" s="8" t="str">
        <f t="array" ref="E6">IFERROR(_xll.BDP($B6,"INTERVAL_PERCENT_CHANGE", "END_DATE_OVERRIDE="&amp;TEXT(E$17,"yyyymmdd"), "START_DATE_OVERRIDE="&amp;TEXT(E$16,"yyyymmdd"))/100, "")</f>
        <v/>
      </c>
      <c r="F6" s="8" t="str">
        <f t="array" ref="F6">IFERROR(_xll.BDP($B6,"INTERVAL_PERCENT_CHANGE", "END_DATE_OVERRIDE="&amp;TEXT(F$17,"yyyymmdd"), "START_DATE_OVERRIDE="&amp;TEXT(F$16,"yyyymmdd"))/100, "")</f>
        <v/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>
        <f>_xll.BDP(B6,"CHG_PCT_1D")/100</f>
        <v>-2.2238729999999999E-3</v>
      </c>
      <c r="J6" s="8">
        <f>_xll.BDP($B6,"CURRENT_TRR_MTD")/100</f>
        <v>-2.1089069999999997E-3</v>
      </c>
      <c r="K6" s="8">
        <f>_xll.BDP(B6,"CHG_PCT_1M")/100</f>
        <v>-2.9972509999999997E-2</v>
      </c>
      <c r="L6" s="8">
        <f t="array" ref="L6">_xll.BDP($B6,"CHG_PCT_YTD")/100</f>
        <v>-2.2238869999999999E-3</v>
      </c>
      <c r="N6" t="s">
        <v>331</v>
      </c>
      <c r="O6" s="278">
        <f>SUM(O4:O5)/SUM(O4:P5)</f>
        <v>0.96986790445608484</v>
      </c>
      <c r="P6" s="278">
        <f>SUM(P4:P5)/SUM(O4:P5)</f>
        <v>3.0132095543915275E-2</v>
      </c>
      <c r="Q6" s="278">
        <f>SUM(O6:P6)</f>
        <v>1.0000000000000002</v>
      </c>
      <c r="S6" t="s">
        <v>322</v>
      </c>
      <c r="T6" s="286">
        <f>($T$3-T$4)*U6</f>
        <v>1007195.7826894554</v>
      </c>
      <c r="U6" s="8">
        <f>VLOOKUP("new_equity", 'Email input'!F:G, 2, FALSE)/100</f>
        <v>1.2557794210000002E-2</v>
      </c>
    </row>
    <row r="7" spans="2:21">
      <c r="B7" t="s">
        <v>341</v>
      </c>
      <c r="C7" t="s">
        <v>364</v>
      </c>
      <c r="D7" s="8">
        <f t="array" ref="D7">IFERROR(_xll.BDP($B7,"INTERVAL_PERCENT_CHANGE", "END_DATE_OVERRIDE="&amp;TEXT(D$17,"yyyymmdd"), "START_DATE_OVERRIDE="&amp;TEXT(D$16,"yyyymmdd"))/100, "")</f>
        <v>-1.739468127280489E-3</v>
      </c>
      <c r="E7" s="8" t="str">
        <f t="array" ref="E7">IFERROR(_xll.BDP($B7,"INTERVAL_PERCENT_CHANGE", "END_DATE_OVERRIDE="&amp;TEXT(E$17,"yyyymmdd"), "START_DATE_OVERRIDE="&amp;TEXT(E$16,"yyyymmdd"))/100, "")</f>
        <v/>
      </c>
      <c r="F7" s="8" t="str">
        <f t="array" ref="F7">IFERROR(_xll.BDP($B7,"INTERVAL_PERCENT_CHANGE", "END_DATE_OVERRIDE="&amp;TEXT(F$17,"yyyymmdd"), "START_DATE_OVERRIDE="&amp;TEXT(F$16,"yyyymmdd"))/100, "")</f>
        <v/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>
        <f t="array" ref="I7">_xll.BDP(B7,"CHG_PCT_1D")/100</f>
        <v>-1.7394680000000001E-3</v>
      </c>
      <c r="J7" s="8">
        <f t="array" ref="J7">_xll.BDP($B7,"CURRENT_TRR_MTD")/100</f>
        <v>-1.612626E-3</v>
      </c>
      <c r="K7" s="8">
        <f>_xll.BDP(B7,"CHG_PCT_1M")/100</f>
        <v>-1.1950510000000001E-2</v>
      </c>
      <c r="L7" s="8">
        <f t="array" ref="L7">_xll.BDP($B7,"CHG_PCT_YTD")/100</f>
        <v>-1.7395050000000001E-3</v>
      </c>
      <c r="N7" s="47" t="s">
        <v>95</v>
      </c>
      <c r="O7" s="295">
        <f ca="1">OFFSET('Historical NAV'!F1,COUNT('Historical NAV'!A:A),,,)</f>
        <v>1050633.9386638999</v>
      </c>
      <c r="P7" s="296" t="s">
        <v>58</v>
      </c>
      <c r="Q7" s="297">
        <f ca="1">SUM(O7:P7)</f>
        <v>1050633.9386638999</v>
      </c>
      <c r="S7" t="s">
        <v>323</v>
      </c>
      <c r="T7" s="286">
        <f>($T$3-T$4)*U7</f>
        <v>40432.468018762891</v>
      </c>
      <c r="U7" s="8">
        <f>VLOOKUP("Fixed Income", 'Email input'!F:G, 2, FALSE)/100</f>
        <v>5.0411510999999996E-4</v>
      </c>
    </row>
    <row r="8" spans="2:21">
      <c r="B8" t="s">
        <v>342</v>
      </c>
      <c r="C8" s="8" t="s">
        <v>343</v>
      </c>
      <c r="D8" s="8">
        <f t="array" ref="D8">IFERROR(_xll.BDP($B8,"INTERVAL_PERCENT_CHANGE", "END_DATE_OVERRIDE="&amp;TEXT(D$17,"yyyymmdd"), "START_DATE_OVERRIDE="&amp;TEXT(D$16,"yyyymmdd"))/100, "")</f>
        <v>-1.402418632749785E-3</v>
      </c>
      <c r="E8" s="8" t="str">
        <f t="array" ref="E8">IFERROR(_xll.BDP($B8,"INTERVAL_PERCENT_CHANGE", "END_DATE_OVERRIDE="&amp;TEXT(E$17,"yyyymmdd"), "START_DATE_OVERRIDE="&amp;TEXT(E$16,"yyyymmdd"))/100, "")</f>
        <v/>
      </c>
      <c r="F8" s="8" t="str">
        <f t="array" ref="F8">IFERROR(_xll.BDP($B8,"INTERVAL_PERCENT_CHANGE", "END_DATE_OVERRIDE="&amp;TEXT(F$17,"yyyymmdd"), "START_DATE_OVERRIDE="&amp;TEXT(F$16,"yyyymmdd"))/100, "")</f>
        <v/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>
        <f t="array" ref="I8">_xll.BDP(B8,"CHG_PCT_1D")/100</f>
        <v>-1.4016110000000001E-3</v>
      </c>
      <c r="J8" s="8">
        <f t="array" ref="J8">_xll.BDP($B8,"CURRENT_TRR_MTD")/100</f>
        <v>-1.2790940000000002E-3</v>
      </c>
      <c r="K8" s="8">
        <f>_xll.BDP(B8,"CHG_PCT_1M")/100</f>
        <v>-3.3273410000000003E-2</v>
      </c>
      <c r="L8" s="8">
        <f t="array" ref="L8">_xll.BDP($B8,"CHG_PCT_YTD")/100</f>
        <v>-1.3919509999999998E-3</v>
      </c>
      <c r="N8" t="s">
        <v>332</v>
      </c>
      <c r="O8" s="69">
        <f ca="1">OFFSET('Historical NAV'!J1,COUNT('Historical NAV'!A:A),,,)</f>
        <v>1050633.9386638999</v>
      </c>
      <c r="P8" s="280" t="e">
        <f>SUM(P4:P5)*P9</f>
        <v>#VALUE!</v>
      </c>
      <c r="Q8" s="280" t="e">
        <f ca="1">SUM(O8:P8)</f>
        <v>#VALUE!</v>
      </c>
      <c r="S8" s="47" t="s">
        <v>324</v>
      </c>
      <c r="T8" s="287">
        <f>($T$3-T$4)*U8</f>
        <v>-14668.183015021061</v>
      </c>
      <c r="U8" s="207">
        <f>VLOOKUP("Cash", 'Email input'!F:G, 2, FALSE)/100</f>
        <v>-1.8288403000000001E-4</v>
      </c>
    </row>
    <row r="9" spans="2:21">
      <c r="B9" t="s">
        <v>344</v>
      </c>
      <c r="C9" s="8" t="s">
        <v>345</v>
      </c>
      <c r="D9" s="8">
        <f t="array" ref="D9">IFERROR(_xll.BDP($B9,"INTERVAL_PERCENT_CHANGE", "END_DATE_OVERRIDE="&amp;TEXT(D$17,"yyyymmdd"), "START_DATE_OVERRIDE="&amp;TEXT(D$16,"yyyymmdd"))/100, "")</f>
        <v>-2.7441038501350777E-3</v>
      </c>
      <c r="E9" s="8" t="str">
        <f t="array" ref="E9">IFERROR(_xll.BDP($B9,"INTERVAL_PERCENT_CHANGE", "END_DATE_OVERRIDE="&amp;TEXT(E$17,"yyyymmdd"), "START_DATE_OVERRIDE="&amp;TEXT(E$16,"yyyymmdd"))/100, "")</f>
        <v/>
      </c>
      <c r="F9" s="8" t="str">
        <f t="array" ref="F9">IFERROR(_xll.BDP($B9,"INTERVAL_PERCENT_CHANGE", "END_DATE_OVERRIDE="&amp;TEXT(F$17,"yyyymmdd"), "START_DATE_OVERRIDE="&amp;TEXT(F$16,"yyyymmdd"))/100, "")</f>
        <v/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>
        <f t="array" ref="I9">_xll.BDP(B9,"CHG_PCT_1D")/100</f>
        <v>-2.7441039999999998E-3</v>
      </c>
      <c r="J9" s="8">
        <f t="array" ref="J9">_xll.BDP($B9,"CURRENT_TRR_MTD")/100</f>
        <v>-2.7441259999999999E-3</v>
      </c>
      <c r="K9" s="8">
        <f>_xll.BDP(B9,"CHG_PCT_1M")/100</f>
        <v>-2.409729E-2</v>
      </c>
      <c r="L9" s="8">
        <f t="array" ref="L9">_xll.BDP($B9,"CHG_PCT_YTD")/100</f>
        <v>-2.7441259999999999E-3</v>
      </c>
      <c r="N9" t="s">
        <v>333</v>
      </c>
      <c r="O9" s="8">
        <f ca="1">OFFSET('Historical NAV'!K1,COUNT('Historical NAV'!A:A),,,)</f>
        <v>1.6889908619442388E-2</v>
      </c>
      <c r="P9" s="285" t="str">
        <f>J5</f>
        <v/>
      </c>
      <c r="S9" t="s">
        <v>325</v>
      </c>
      <c r="T9" s="288">
        <f>SUM(T5:T8)</f>
        <v>1318549.0056378942</v>
      </c>
      <c r="U9" s="8">
        <f>T9/(T3+T4)</f>
        <v>2.1196890178817977E-2</v>
      </c>
    </row>
    <row r="10" spans="2:21" ht="15.75" thickBot="1">
      <c r="B10" t="s">
        <v>361</v>
      </c>
      <c r="C10" s="8" t="s">
        <v>363</v>
      </c>
      <c r="D10" s="8">
        <f t="array" ref="D10">IFERROR(_xll.BDP($B10,"INTERVAL_PERCENT_CHANGE", "END_DATE_OVERRIDE="&amp;TEXT(D$17,"yyyymmdd"), "START_DATE_OVERRIDE="&amp;TEXT(D$16,"yyyymmdd"))/100, "")</f>
        <v>5.4343258631181328E-3</v>
      </c>
      <c r="E10" s="8" t="str">
        <f t="array" ref="E10">IFERROR(_xll.BDP($B10,"INTERVAL_PERCENT_CHANGE", "END_DATE_OVERRIDE="&amp;TEXT(E$17,"yyyymmdd"), "START_DATE_OVERRIDE="&amp;TEXT(E$16,"yyyymmdd"))/100, "")</f>
        <v/>
      </c>
      <c r="F10" s="8" t="str">
        <f t="array" ref="F10">IFERROR(_xll.BDP($B10,"INTERVAL_PERCENT_CHANGE", "END_DATE_OVERRIDE="&amp;TEXT(F$17,"yyyymmdd"), "START_DATE_OVERRIDE="&amp;TEXT(F$16,"yyyymmdd"))/100, "")</f>
        <v/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>
        <f>_xll.BDP(B10,"CHG_PCT_1D")/100</f>
        <v>-1.6243900000000001E-3</v>
      </c>
      <c r="J10" s="8">
        <f t="array" ref="J10">_xll.BDP($B10,"CURRENT_TRR_MTD")/100</f>
        <v>6.9227720000000006E-3</v>
      </c>
      <c r="K10" s="8">
        <f>_xll.BDP(B10,"CHG_PCT_1M")/100</f>
        <v>2.0118299999999999E-2</v>
      </c>
      <c r="L10" s="8">
        <f t="array" ref="L10">_xll.BDP($B10,"CHG_PCT_YTD")/100</f>
        <v>6.9227720000000006E-3</v>
      </c>
      <c r="N10" s="275" t="s">
        <v>328</v>
      </c>
      <c r="O10" s="281">
        <f ca="1">O4+O5+O8</f>
        <v>63255466.558663905</v>
      </c>
      <c r="P10" s="276" t="e">
        <f>P4+P5+P8</f>
        <v>#VALUE!</v>
      </c>
      <c r="Q10" s="281" t="e">
        <f ca="1">SUM(O10:P10)</f>
        <v>#VALUE!</v>
      </c>
      <c r="S10" t="s">
        <v>326</v>
      </c>
      <c r="T10" s="286">
        <f>SUM('Email input'!D5:D8)</f>
        <v>2571.7331769000029</v>
      </c>
      <c r="U10" s="8"/>
    </row>
    <row r="11" spans="2:21" ht="15.75" hidden="1" outlineLevel="1" thickTop="1">
      <c r="O11" s="283"/>
      <c r="P11" s="283"/>
      <c r="Q11" s="283"/>
      <c r="S11" t="s">
        <v>370</v>
      </c>
      <c r="T11" s="294">
        <v>-270486.79870679975</v>
      </c>
      <c r="U11" s="8"/>
    </row>
    <row r="12" spans="2:21" ht="15.75" collapsed="1" thickTop="1">
      <c r="S12" t="s">
        <v>327</v>
      </c>
      <c r="T12" s="280">
        <f>SUM('Email input'!D11:D14)</f>
        <v>0</v>
      </c>
      <c r="U12" s="8"/>
    </row>
    <row r="13" spans="2:21" ht="15.75" thickBot="1">
      <c r="S13" s="275" t="s">
        <v>328</v>
      </c>
      <c r="T13" s="281">
        <f>T3+T4+T9+T10+T12+T11</f>
        <v>63255466.560107999</v>
      </c>
      <c r="U13" s="277"/>
    </row>
    <row r="14" spans="2:21" ht="15.75" thickTop="1"/>
    <row r="15" spans="2:21" s="289" customFormat="1">
      <c r="T15" s="290"/>
    </row>
    <row r="16" spans="2:21">
      <c r="B16" t="s">
        <v>357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356</v>
      </c>
      <c r="P16" s="41">
        <v>1932595.1</v>
      </c>
      <c r="S16" t="s">
        <v>355</v>
      </c>
      <c r="T16" s="282">
        <f ca="1">OFFSET('Historical NAV'!B1,COUNT('Historical NAV'!A:A),,,)</f>
        <v>63255466.560107999</v>
      </c>
    </row>
    <row r="17" spans="2:21">
      <c r="B17" t="s">
        <v>358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t="s">
        <v>407</v>
      </c>
      <c r="T17" s="69">
        <f>T13</f>
        <v>63255466.560107999</v>
      </c>
    </row>
    <row r="18" spans="2:21">
      <c r="B18" t="s">
        <v>359</v>
      </c>
      <c r="D18" s="298">
        <f ca="1">Dashboard!$B$4</f>
        <v>1.6889908619442388E-2</v>
      </c>
      <c r="E18" s="298"/>
      <c r="F18" s="298"/>
      <c r="G18" s="298"/>
      <c r="H18" s="298"/>
      <c r="I18" s="8">
        <f ca="1">Dashboard!B9</f>
        <v>1.6889908619442388E-2</v>
      </c>
      <c r="J18" s="8">
        <f ca="1">Dashboard!B5</f>
        <v>1.6889908619442388E-2</v>
      </c>
      <c r="K18" s="8"/>
      <c r="L18" s="69">
        <f ca="1">Dashboard!B6</f>
        <v>1.6889908619442284E-2</v>
      </c>
      <c r="O18" s="69"/>
      <c r="T18" s="284">
        <f ca="1">T16-T17</f>
        <v>0</v>
      </c>
    </row>
    <row r="19" spans="2:21">
      <c r="B19" t="s">
        <v>360</v>
      </c>
      <c r="D19" s="298">
        <v>0</v>
      </c>
      <c r="E19" s="298"/>
      <c r="F19" s="298"/>
      <c r="G19" s="298"/>
      <c r="H19" s="298"/>
      <c r="J19">
        <f>SUM(D19:H19)</f>
        <v>0</v>
      </c>
      <c r="L19" s="41"/>
      <c r="M19" s="41" t="s">
        <v>362</v>
      </c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9"/>
  <sheetViews>
    <sheetView workbookViewId="0">
      <selection activeCell="F15" sqref="F15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374</v>
      </c>
      <c r="B1" s="282" t="s">
        <v>352</v>
      </c>
      <c r="C1" t="s">
        <v>375</v>
      </c>
      <c r="D1" s="282" t="s">
        <v>376</v>
      </c>
      <c r="F1" t="s">
        <v>150</v>
      </c>
      <c r="G1" t="s">
        <v>150</v>
      </c>
    </row>
    <row r="2" spans="1:7">
      <c r="A2" t="s">
        <v>374</v>
      </c>
      <c r="B2" s="282" t="s">
        <v>353</v>
      </c>
      <c r="C2" t="s">
        <v>346</v>
      </c>
      <c r="D2" s="282">
        <v>71204832.621444106</v>
      </c>
      <c r="F2" t="s">
        <v>352</v>
      </c>
      <c r="G2" t="s">
        <v>353</v>
      </c>
    </row>
    <row r="3" spans="1:7">
      <c r="A3" t="s">
        <v>374</v>
      </c>
      <c r="B3" s="282" t="s">
        <v>353</v>
      </c>
      <c r="C3" t="s">
        <v>347</v>
      </c>
      <c r="D3" s="282">
        <v>1048062.20548695</v>
      </c>
      <c r="F3" t="s">
        <v>165</v>
      </c>
      <c r="G3" t="s">
        <v>20</v>
      </c>
    </row>
    <row r="4" spans="1:7">
      <c r="A4" t="s">
        <v>374</v>
      </c>
      <c r="B4" s="282" t="s">
        <v>353</v>
      </c>
      <c r="C4" t="s">
        <v>348</v>
      </c>
      <c r="D4" s="282">
        <v>-9000000</v>
      </c>
      <c r="F4" t="s">
        <v>44</v>
      </c>
      <c r="G4">
        <v>0.401080836</v>
      </c>
    </row>
    <row r="5" spans="1:7">
      <c r="A5" t="s">
        <v>374</v>
      </c>
      <c r="B5" s="282" t="s">
        <v>353</v>
      </c>
      <c r="C5" t="s">
        <v>349</v>
      </c>
      <c r="D5" s="282">
        <v>38610.949045900001</v>
      </c>
      <c r="F5" t="s">
        <v>323</v>
      </c>
      <c r="G5">
        <v>5.0411510999999999E-2</v>
      </c>
    </row>
    <row r="6" spans="1:7">
      <c r="A6" t="s">
        <v>374</v>
      </c>
      <c r="B6" s="282" t="s">
        <v>353</v>
      </c>
      <c r="C6" t="s">
        <v>350</v>
      </c>
      <c r="D6" s="282">
        <v>-35932.083753799998</v>
      </c>
      <c r="F6" t="s">
        <v>324</v>
      </c>
      <c r="G6">
        <v>-1.8288403000000002E-2</v>
      </c>
    </row>
    <row r="7" spans="1:7">
      <c r="A7" t="s">
        <v>374</v>
      </c>
      <c r="B7" s="282" t="s">
        <v>353</v>
      </c>
      <c r="C7" t="s">
        <v>18</v>
      </c>
      <c r="D7" s="282">
        <v>-208.85504</v>
      </c>
    </row>
    <row r="8" spans="1:7">
      <c r="A8" t="s">
        <v>374</v>
      </c>
      <c r="B8" s="282" t="s">
        <v>353</v>
      </c>
      <c r="C8" t="s">
        <v>351</v>
      </c>
      <c r="D8" s="282">
        <v>101.7229248</v>
      </c>
      <c r="F8" t="s">
        <v>354</v>
      </c>
      <c r="G8">
        <v>1.2557794210000002</v>
      </c>
    </row>
    <row r="9" spans="1:7">
      <c r="A9" t="s">
        <v>374</v>
      </c>
      <c r="B9" s="282" t="s">
        <v>353</v>
      </c>
      <c r="C9" t="s">
        <v>328</v>
      </c>
      <c r="D9" s="282">
        <v>63255466.560107999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D655" sqref="D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63255466.560107999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1050633.9386638999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1.6889908619442388E-2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6.3949575764115973E-2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1.6889908619442388E-2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09" t="s">
        <v>10</v>
      </c>
      <c r="D2" s="310"/>
      <c r="E2" s="309" t="s">
        <v>11</v>
      </c>
      <c r="F2" s="310"/>
      <c r="G2" s="309" t="s">
        <v>12</v>
      </c>
      <c r="H2" s="311"/>
      <c r="I2" s="311"/>
      <c r="J2" s="311"/>
      <c r="K2" s="310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05" t="s">
        <v>129</v>
      </c>
      <c r="O3" s="305"/>
      <c r="P3" s="305"/>
      <c r="Q3" s="305"/>
      <c r="R3" s="305"/>
      <c r="S3" s="305"/>
      <c r="T3" s="305"/>
      <c r="U3" s="305"/>
      <c r="V3" s="305"/>
      <c r="W3" s="305"/>
      <c r="X3" s="305"/>
      <c r="Z3" s="2"/>
      <c r="AA3" s="2"/>
    </row>
    <row r="4" spans="1:27" ht="16.5" customHeight="1">
      <c r="B4" s="308" t="s">
        <v>23</v>
      </c>
      <c r="C4" s="308"/>
      <c r="D4" s="308"/>
      <c r="E4" s="308"/>
      <c r="F4" s="308"/>
      <c r="G4" s="308"/>
      <c r="H4" s="308"/>
      <c r="I4" s="308"/>
      <c r="J4" s="308"/>
      <c r="K4" s="308"/>
      <c r="L4" s="308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06" t="s">
        <v>130</v>
      </c>
      <c r="O52" s="306"/>
      <c r="P52" s="306"/>
      <c r="Q52" s="306"/>
      <c r="R52" s="307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05" t="s">
        <v>244</v>
      </c>
      <c r="O53" s="305"/>
      <c r="P53" s="305"/>
      <c r="Q53" s="305"/>
      <c r="R53" s="305"/>
      <c r="S53" s="305"/>
      <c r="T53" s="305"/>
      <c r="U53" s="305"/>
      <c r="V53" s="305"/>
      <c r="W53" s="305"/>
      <c r="X53" s="305"/>
    </row>
    <row r="54" spans="2:24" ht="15" customHeight="1">
      <c r="B54" s="301" t="s">
        <v>27</v>
      </c>
      <c r="C54" s="301"/>
      <c r="D54" s="301"/>
      <c r="E54" s="301"/>
      <c r="F54" s="302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08" t="s">
        <v>129</v>
      </c>
      <c r="C55" s="308"/>
      <c r="D55" s="308"/>
      <c r="E55" s="308"/>
      <c r="F55" s="308"/>
      <c r="G55" s="308"/>
      <c r="H55" s="308"/>
      <c r="I55" s="308"/>
      <c r="J55" s="308"/>
      <c r="K55" s="308"/>
      <c r="L55" s="308"/>
      <c r="N55" s="306" t="s">
        <v>246</v>
      </c>
      <c r="O55" s="306"/>
      <c r="P55" s="306"/>
      <c r="Q55" s="306"/>
      <c r="R55" s="307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05" t="s">
        <v>247</v>
      </c>
      <c r="O56" s="305"/>
      <c r="P56" s="305"/>
      <c r="Q56" s="305"/>
      <c r="R56" s="305"/>
      <c r="S56" s="305"/>
      <c r="T56" s="305"/>
      <c r="U56" s="305"/>
      <c r="V56" s="305"/>
      <c r="W56" s="305"/>
      <c r="X56" s="305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06" t="s">
        <v>266</v>
      </c>
      <c r="O75" s="306"/>
      <c r="P75" s="306"/>
      <c r="Q75" s="306"/>
      <c r="R75" s="307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01" t="s">
        <v>130</v>
      </c>
      <c r="C104" s="301"/>
      <c r="D104" s="301"/>
      <c r="E104" s="301"/>
      <c r="F104" s="302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08" t="s">
        <v>244</v>
      </c>
      <c r="C105" s="308"/>
      <c r="D105" s="308"/>
      <c r="E105" s="308"/>
      <c r="F105" s="308"/>
      <c r="G105" s="308"/>
      <c r="H105" s="308"/>
      <c r="I105" s="308"/>
      <c r="J105" s="308"/>
      <c r="K105" s="308"/>
      <c r="L105" s="308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01" t="s">
        <v>246</v>
      </c>
      <c r="C107" s="301"/>
      <c r="D107" s="301"/>
      <c r="E107" s="301"/>
      <c r="F107" s="302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08" t="s">
        <v>247</v>
      </c>
      <c r="C108" s="308"/>
      <c r="D108" s="308"/>
      <c r="E108" s="308"/>
      <c r="F108" s="308"/>
      <c r="G108" s="308"/>
      <c r="H108" s="308"/>
      <c r="I108" s="308"/>
      <c r="J108" s="308"/>
      <c r="K108" s="308"/>
      <c r="L108" s="308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01" t="s">
        <v>266</v>
      </c>
      <c r="C127" s="301"/>
      <c r="D127" s="301"/>
      <c r="E127" s="301"/>
      <c r="F127" s="302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08" t="s">
        <v>28</v>
      </c>
      <c r="C128" s="308"/>
      <c r="D128" s="308"/>
      <c r="E128" s="308"/>
      <c r="F128" s="308"/>
      <c r="G128" s="308"/>
      <c r="H128" s="308"/>
      <c r="I128" s="308"/>
      <c r="J128" s="308"/>
      <c r="K128" s="308"/>
      <c r="L128" s="308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01" t="s">
        <v>39</v>
      </c>
      <c r="C139" s="301"/>
      <c r="D139" s="301"/>
      <c r="E139" s="301"/>
      <c r="F139" s="302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01" t="s">
        <v>40</v>
      </c>
      <c r="C140" s="301"/>
      <c r="D140" s="301"/>
      <c r="E140" s="301"/>
      <c r="F140" s="302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03" t="s">
        <v>41</v>
      </c>
      <c r="C141" s="303"/>
      <c r="D141" s="303"/>
      <c r="E141" s="303"/>
      <c r="F141" s="303"/>
      <c r="G141" s="303"/>
      <c r="H141" s="303"/>
      <c r="I141" s="303"/>
      <c r="J141" s="304"/>
      <c r="K141" s="191">
        <v>-854078.19</v>
      </c>
      <c r="L141" s="192"/>
      <c r="T141" s="3"/>
    </row>
    <row r="142" spans="2:20">
      <c r="B142" s="303" t="s">
        <v>43</v>
      </c>
      <c r="C142" s="303"/>
      <c r="D142" s="303"/>
      <c r="E142" s="303"/>
      <c r="F142" s="303"/>
      <c r="G142" s="303"/>
      <c r="H142" s="303"/>
      <c r="I142" s="303"/>
      <c r="J142" s="304"/>
      <c r="K142" s="189">
        <v>-167.75</v>
      </c>
      <c r="L142" s="192"/>
    </row>
    <row r="143" spans="2:20">
      <c r="B143" s="301" t="s">
        <v>133</v>
      </c>
      <c r="C143" s="301"/>
      <c r="D143" s="301"/>
      <c r="E143" s="301"/>
      <c r="F143" s="301"/>
      <c r="G143" s="301"/>
      <c r="H143" s="301"/>
      <c r="I143" s="301"/>
      <c r="J143" s="302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04:F104"/>
    <mergeCell ref="B105:L105"/>
    <mergeCell ref="C2:D2"/>
    <mergeCell ref="E2:F2"/>
    <mergeCell ref="G2:K2"/>
    <mergeCell ref="B4:L4"/>
    <mergeCell ref="B54:F54"/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17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67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/>
      <c r="F1168" s="67"/>
      <c r="G1168" s="67"/>
      <c r="H1168" s="67"/>
      <c r="I1168" s="70"/>
      <c r="J1168" s="67"/>
      <c r="K1168" s="70"/>
      <c r="L1168" s="70"/>
      <c r="M1168" s="70"/>
      <c r="N1168" s="70"/>
      <c r="O1168" s="70"/>
      <c r="P1168" s="70"/>
      <c r="Q1168" s="67"/>
      <c r="R1168" s="70"/>
      <c r="S1168" s="67"/>
      <c r="T1168" s="70"/>
      <c r="U1168" s="67"/>
      <c r="V1168" s="70"/>
      <c r="W1168" s="87"/>
      <c r="X1168" s="142"/>
      <c r="Y1168" s="139"/>
      <c r="Z1168" s="139"/>
      <c r="AA1168" s="139"/>
      <c r="AB1168" s="144"/>
      <c r="AC1168" s="144"/>
      <c r="AD1168" s="144"/>
      <c r="AE1168" s="144"/>
    </row>
    <row r="1169" spans="1:31">
      <c r="A1169" s="172"/>
      <c r="F1169" s="67"/>
      <c r="G1169" s="67"/>
      <c r="H1169" s="67"/>
      <c r="I1169" s="70"/>
      <c r="J1169" s="67"/>
      <c r="K1169" s="70"/>
      <c r="L1169" s="70"/>
      <c r="M1169" s="70"/>
      <c r="N1169" s="70"/>
      <c r="O1169" s="70"/>
      <c r="P1169" s="70"/>
      <c r="Q1169" s="67"/>
      <c r="R1169" s="70"/>
      <c r="S1169" s="67"/>
      <c r="T1169" s="70"/>
      <c r="U1169" s="67"/>
      <c r="V1169" s="70"/>
      <c r="W1169" s="87"/>
      <c r="X1169" s="142"/>
      <c r="Y1169" s="139"/>
      <c r="Z1169" s="139"/>
      <c r="AA1169" s="139"/>
      <c r="AB1169" s="144"/>
      <c r="AC1169" s="144"/>
      <c r="AD1169" s="144"/>
      <c r="AE1169" s="144"/>
    </row>
    <row r="1170" spans="1:31">
      <c r="F1170" s="67"/>
      <c r="G1170" s="67"/>
      <c r="H1170" s="67"/>
      <c r="I1170" s="70"/>
      <c r="J1170" s="67"/>
      <c r="K1170" s="70"/>
      <c r="L1170" s="70"/>
      <c r="M1170" s="70"/>
      <c r="N1170" s="70"/>
      <c r="O1170" s="70"/>
      <c r="P1170" s="70"/>
      <c r="Q1170" s="67"/>
      <c r="R1170" s="70"/>
      <c r="S1170" s="67"/>
      <c r="T1170" s="70"/>
      <c r="U1170" s="67"/>
      <c r="V1170" s="70"/>
      <c r="W1170" s="87"/>
      <c r="X1170" s="142"/>
      <c r="Y1170" s="139"/>
      <c r="Z1170" s="139"/>
      <c r="AA1170" s="139"/>
      <c r="AB1170" s="144"/>
      <c r="AC1170" s="144"/>
      <c r="AD1170" s="144"/>
      <c r="AE1170" s="144"/>
    </row>
    <row r="1171" spans="1:31">
      <c r="F1171" s="67"/>
      <c r="G1171" s="67"/>
      <c r="H1171" s="67"/>
      <c r="I1171" s="70"/>
      <c r="J1171" s="67"/>
      <c r="K1171" s="70"/>
      <c r="L1171" s="70"/>
      <c r="M1171" s="70"/>
      <c r="N1171" s="70"/>
      <c r="O1171" s="70"/>
      <c r="P1171" s="70"/>
      <c r="Q1171" s="67"/>
      <c r="R1171" s="70"/>
      <c r="S1171" s="67"/>
      <c r="T1171" s="70"/>
      <c r="U1171" s="67"/>
      <c r="V1171" s="70"/>
      <c r="W1171" s="87"/>
      <c r="X1171" s="142"/>
      <c r="Y1171" s="139"/>
      <c r="Z1171" s="139"/>
      <c r="AA1171" s="139"/>
      <c r="AB1171" s="144"/>
      <c r="AC1171" s="144"/>
      <c r="AD1171" s="144"/>
      <c r="AE1171" s="144"/>
    </row>
    <row r="1172" spans="1:31">
      <c r="F1172" s="67"/>
      <c r="G1172" s="67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2"/>
      <c r="Y1172" s="139"/>
      <c r="Z1172" s="139"/>
      <c r="AA1172" s="139"/>
      <c r="AB1172" s="144"/>
      <c r="AC1172" s="144"/>
      <c r="AD1172" s="144"/>
      <c r="AE1172" s="144"/>
    </row>
    <row r="1173" spans="1:31">
      <c r="F1173" s="67"/>
      <c r="G1173" s="67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F1174" s="67"/>
      <c r="G1174" s="67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14" t="s">
        <v>20</v>
      </c>
      <c r="D5" s="314"/>
      <c r="E5" s="315"/>
      <c r="F5" s="13" t="s">
        <v>46</v>
      </c>
      <c r="G5" s="13" t="s">
        <v>47</v>
      </c>
      <c r="H5" s="13" t="s">
        <v>48</v>
      </c>
      <c r="J5" s="41" t="s">
        <v>92</v>
      </c>
      <c r="K5" s="340" t="s">
        <v>93</v>
      </c>
      <c r="L5" s="340"/>
      <c r="M5" s="340"/>
      <c r="N5" s="340"/>
      <c r="O5" s="340"/>
    </row>
    <row r="6" spans="1:15">
      <c r="A6" s="341" t="s">
        <v>50</v>
      </c>
      <c r="B6" s="342"/>
      <c r="C6" s="331">
        <f ca="1">SUM(F6:H6)</f>
        <v>86672148.311444104</v>
      </c>
      <c r="D6" s="332"/>
      <c r="E6" s="333"/>
      <c r="F6" s="331">
        <f ca="1">OFFSET('Historical NAV'!E1, COUNT('Historical NAV'!A:A),,,)</f>
        <v>71204832.621444106</v>
      </c>
      <c r="G6" s="331">
        <v>15365477.27</v>
      </c>
      <c r="H6" s="331">
        <v>101838.42</v>
      </c>
      <c r="K6" s="340"/>
      <c r="L6" s="340"/>
      <c r="M6" s="340"/>
      <c r="N6" s="340"/>
      <c r="O6" s="340"/>
    </row>
    <row r="7" spans="1:15">
      <c r="A7" s="341"/>
      <c r="B7" s="342"/>
      <c r="C7" s="331"/>
      <c r="D7" s="332"/>
      <c r="E7" s="333"/>
      <c r="F7" s="331"/>
      <c r="G7" s="331"/>
      <c r="H7" s="331"/>
    </row>
    <row r="8" spans="1:15">
      <c r="A8" s="337" t="s">
        <v>52</v>
      </c>
      <c r="B8" s="318"/>
      <c r="C8" s="334">
        <f ca="1">SUM(F8:H8)</f>
        <v>1</v>
      </c>
      <c r="D8" s="335"/>
      <c r="E8" s="336"/>
      <c r="F8" s="334">
        <f ca="1">F6/$C$6</f>
        <v>0.82154226021466104</v>
      </c>
      <c r="G8" s="334">
        <f ca="1">G6/$C$6</f>
        <v>0.17728275541049623</v>
      </c>
      <c r="H8" s="334">
        <f ca="1">H6/$C$6</f>
        <v>1.1749843748427469E-3</v>
      </c>
    </row>
    <row r="9" spans="1:15">
      <c r="A9" s="337"/>
      <c r="B9" s="318"/>
      <c r="C9" s="334"/>
      <c r="D9" s="335"/>
      <c r="E9" s="336"/>
      <c r="F9" s="334"/>
      <c r="G9" s="334"/>
      <c r="H9" s="334"/>
    </row>
    <row r="10" spans="1:15">
      <c r="A10" s="320" t="s">
        <v>53</v>
      </c>
      <c r="B10" s="321"/>
      <c r="C10" s="343" t="e">
        <f ca="1">SUM(F10:H10)</f>
        <v>#REF!</v>
      </c>
      <c r="D10" s="344"/>
      <c r="E10" s="345"/>
      <c r="F10" s="343">
        <f ca="1">OFFSET('Historical NAV'!B1, COUNT('Historical NAV'!A:A),,,)</f>
        <v>63255466.560107999</v>
      </c>
      <c r="G10" s="343" t="e">
        <f>G6+G12</f>
        <v>#REF!</v>
      </c>
      <c r="H10" s="343" t="e">
        <f>H6+H12</f>
        <v>#REF!</v>
      </c>
    </row>
    <row r="11" spans="1:15">
      <c r="A11" s="320"/>
      <c r="B11" s="321"/>
      <c r="C11" s="343"/>
      <c r="D11" s="344"/>
      <c r="E11" s="345"/>
      <c r="F11" s="343"/>
      <c r="G11" s="343"/>
      <c r="H11" s="343"/>
    </row>
    <row r="12" spans="1:15">
      <c r="A12" s="337" t="s">
        <v>54</v>
      </c>
      <c r="B12" s="318"/>
      <c r="C12" s="319" t="e">
        <f ca="1">SUM(F12:H12)</f>
        <v>#REF!</v>
      </c>
      <c r="D12" s="338"/>
      <c r="E12" s="339"/>
      <c r="F12" s="319">
        <f ca="1">OFFSET('Historical NAV'!J1, COUNT('Historical NAV'!A:A),,,)</f>
        <v>1050633.9386638999</v>
      </c>
      <c r="G12" s="346" t="e">
        <f>G14*G6</f>
        <v>#REF!</v>
      </c>
      <c r="H12" s="319" t="e">
        <f>H14*H6</f>
        <v>#REF!</v>
      </c>
    </row>
    <row r="13" spans="1:15">
      <c r="A13" s="337"/>
      <c r="B13" s="318"/>
      <c r="C13" s="319"/>
      <c r="D13" s="338"/>
      <c r="E13" s="339"/>
      <c r="F13" s="319"/>
      <c r="G13" s="346"/>
      <c r="H13" s="319"/>
    </row>
    <row r="14" spans="1:15">
      <c r="A14" s="320" t="s">
        <v>94</v>
      </c>
      <c r="B14" s="321"/>
      <c r="C14" s="328" t="e">
        <f ca="1">C12/C6</f>
        <v>#REF!</v>
      </c>
      <c r="D14" s="329"/>
      <c r="E14" s="330"/>
      <c r="F14" s="324">
        <f ca="1">OFFSET('Historical NAV'!K1, COUNT('Historical NAV'!A:A),,,)</f>
        <v>1.6889908619442388E-2</v>
      </c>
      <c r="G14" s="39" t="e">
        <f>IB_html!#REF!</f>
        <v>#REF!</v>
      </c>
      <c r="H14" s="14" t="e">
        <f>IB_html!#REF!</f>
        <v>#REF!</v>
      </c>
    </row>
    <row r="15" spans="1:15">
      <c r="A15" s="320"/>
      <c r="B15" s="321"/>
      <c r="C15" s="328"/>
      <c r="D15" s="329"/>
      <c r="E15" s="330"/>
      <c r="F15" s="324"/>
      <c r="G15" s="15" t="e">
        <f>IB_html!#REF!</f>
        <v>#REF!</v>
      </c>
      <c r="H15" s="15" t="e">
        <f>IB_html!#REF!</f>
        <v>#REF!</v>
      </c>
    </row>
    <row r="16" spans="1:15">
      <c r="A16" s="318" t="s">
        <v>95</v>
      </c>
      <c r="B16" s="318"/>
      <c r="C16" s="16"/>
      <c r="D16" s="16"/>
      <c r="E16" s="17"/>
      <c r="F16" s="319">
        <f ca="1">OFFSET('Historical NAV'!F1, COUNT('Historical NAV'!A:A),,,)</f>
        <v>1050633.9386638999</v>
      </c>
      <c r="G16" s="319"/>
      <c r="H16" s="319"/>
      <c r="N16" s="8"/>
    </row>
    <row r="17" spans="1:11">
      <c r="A17" s="318"/>
      <c r="B17" s="318"/>
      <c r="C17" s="16"/>
      <c r="D17" s="16"/>
      <c r="E17" s="17"/>
      <c r="F17" s="319"/>
      <c r="G17" s="319"/>
      <c r="H17" s="319"/>
    </row>
    <row r="18" spans="1:11">
      <c r="A18" s="320" t="s">
        <v>57</v>
      </c>
      <c r="B18" s="321"/>
      <c r="C18" s="18"/>
      <c r="D18" s="18"/>
      <c r="E18" s="19"/>
      <c r="F18" s="324">
        <f ca="1">OFFSET('Historical NAV'!G1, COUNT('Historical NAV'!A:A),,,)</f>
        <v>1.6889908619442388E-2</v>
      </c>
      <c r="G18" s="326"/>
      <c r="H18" s="326"/>
    </row>
    <row r="19" spans="1:11">
      <c r="A19" s="322"/>
      <c r="B19" s="323"/>
      <c r="C19" s="20"/>
      <c r="D19" s="20"/>
      <c r="E19" s="21"/>
      <c r="F19" s="325"/>
      <c r="G19" s="327"/>
      <c r="H19" s="327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14" t="s">
        <v>59</v>
      </c>
      <c r="B21" s="315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16" t="s">
        <v>57</v>
      </c>
      <c r="B22" s="317"/>
      <c r="C22" s="25">
        <f>_xll.BDP(C27,$A27)/100</f>
        <v>-2.2238729999999999E-3</v>
      </c>
      <c r="D22" s="25">
        <f>_xll.BDP(D27,$A27)/100</f>
        <v>-1.5535360000000001E-3</v>
      </c>
      <c r="E22" s="26">
        <f>_xll.BDP(E27,$A27)/100</f>
        <v>-3.5715780000000002E-3</v>
      </c>
      <c r="F22" s="27">
        <f>_xll.BDP(F27,$A27)/100</f>
        <v>-3.5099999999999997E-3</v>
      </c>
      <c r="G22" s="27">
        <f>_xll.BDP(G27,$A27)/100</f>
        <v>-1.6243900000000001E-3</v>
      </c>
      <c r="H22" s="25">
        <f>_xll.BDP(H27,$A27)/100</f>
        <v>-2.6966744062745822E-3</v>
      </c>
    </row>
    <row r="23" spans="1:11">
      <c r="A23" s="312" t="s">
        <v>66</v>
      </c>
      <c r="B23" s="313"/>
      <c r="C23" s="28">
        <f>_xll.BDP(C27,$A28)/100</f>
        <v>-2.2238869999999999E-3</v>
      </c>
      <c r="D23" s="28">
        <f>_xll.BDP(D27,$A28)/100</f>
        <v>-1.5535360000000001E-3</v>
      </c>
      <c r="E23" s="29">
        <f>_xll.BDP(E27,$A28)/100</f>
        <v>-3.5715599999999997E-3</v>
      </c>
      <c r="F23" s="30">
        <f>_xll.BDP(F27,$A28)/100</f>
        <v>-5.6910000000000007E-3</v>
      </c>
      <c r="G23" s="30">
        <f>_xll.BDP(G27,$A28)/100</f>
        <v>6.9227720000000006E-3</v>
      </c>
      <c r="H23" s="28">
        <f>_xll.BDP(H27,$A28)/100</f>
        <v>5.6412289030022857E-3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  <mergeCell ref="C6:E7"/>
    <mergeCell ref="F6:F7"/>
    <mergeCell ref="G6:G7"/>
    <mergeCell ref="G8:G9"/>
    <mergeCell ref="C8:E9"/>
    <mergeCell ref="F8:F9"/>
    <mergeCell ref="G18:G19"/>
    <mergeCell ref="H18:H19"/>
    <mergeCell ref="A14:B15"/>
    <mergeCell ref="C14:E15"/>
    <mergeCell ref="F14:F15"/>
    <mergeCell ref="G16:G17"/>
    <mergeCell ref="H16:H17"/>
    <mergeCell ref="A23:B23"/>
    <mergeCell ref="A21:B21"/>
    <mergeCell ref="A22:B22"/>
    <mergeCell ref="A16:B17"/>
    <mergeCell ref="F16:F17"/>
    <mergeCell ref="A18:B19"/>
    <mergeCell ref="F18:F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2025-01-06T01:53:03Z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