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3827AEC3-D226-40A0-9885-CCE09A976BC8}" xr6:coauthVersionLast="47" xr6:coauthVersionMax="47" xr10:uidLastSave="{00000000-0000-0000-0000-000000000000}"/>
  <bookViews>
    <workbookView xWindow="-120" yWindow="-120" windowWidth="29040" windowHeight="15720" tabRatio="719" activeTab="2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6" l="1" a="1"/>
  <c r="G6" i="16"/>
  <c r="G8" i="16" a="1"/>
  <c r="G8" i="16"/>
  <c r="G9" i="16" a="1"/>
  <c r="G9" i="16"/>
  <c r="G7" i="16" a="1"/>
  <c r="G7" i="16"/>
  <c r="G10" i="16" a="1"/>
  <c r="G10" i="16"/>
  <c r="D6" i="16" a="1"/>
  <c r="D6" i="16"/>
  <c r="D9" i="16" a="1"/>
  <c r="D9" i="16"/>
  <c r="D10" i="16" a="1"/>
  <c r="D10" i="16"/>
  <c r="D8" i="16" a="1"/>
  <c r="D8" i="16"/>
  <c r="D7" i="16" a="1"/>
  <c r="D7" i="16"/>
  <c r="H9" i="16" a="1"/>
  <c r="H9" i="16"/>
  <c r="H7" i="16" a="1"/>
  <c r="H7" i="16"/>
  <c r="H6" i="16" a="1"/>
  <c r="H6" i="16"/>
  <c r="H8" i="16" a="1"/>
  <c r="H8" i="16"/>
  <c r="H10" i="16" a="1"/>
  <c r="H10" i="16"/>
  <c r="E8" i="16" a="1"/>
  <c r="E8" i="16"/>
  <c r="E9" i="16" a="1"/>
  <c r="E9" i="16"/>
  <c r="E6" i="16" a="1"/>
  <c r="E6" i="16"/>
  <c r="E10" i="16" a="1"/>
  <c r="E10" i="16"/>
  <c r="E7" i="16" a="1"/>
  <c r="E7" i="16"/>
  <c r="K6" i="16"/>
  <c r="K9" i="16"/>
  <c r="L9" i="16" a="1"/>
  <c r="L9" i="16"/>
  <c r="K8" i="16"/>
  <c r="K10" i="16"/>
  <c r="L10" i="16" a="1"/>
  <c r="L10" i="16"/>
  <c r="K7" i="16"/>
  <c r="J9" i="16" a="1"/>
  <c r="J9" i="16"/>
  <c r="J6" i="16"/>
  <c r="I6" i="16"/>
  <c r="J10" i="16" a="1"/>
  <c r="J10" i="16"/>
  <c r="I7" i="16" a="1"/>
  <c r="I7" i="16"/>
  <c r="L7" i="16" a="1"/>
  <c r="L7" i="16"/>
  <c r="J8" i="16" a="1"/>
  <c r="J8" i="16"/>
  <c r="L8" i="16" a="1"/>
  <c r="L8" i="16"/>
  <c r="I8" i="16" a="1"/>
  <c r="I8" i="16"/>
  <c r="I9" i="16" a="1"/>
  <c r="I9" i="16"/>
  <c r="J7" i="16" a="1"/>
  <c r="J7" i="16"/>
  <c r="I10" i="16"/>
  <c r="L6" i="16" a="1"/>
  <c r="L6" i="16"/>
  <c r="F6" i="16" a="1"/>
  <c r="F6" i="16"/>
  <c r="F8" i="16" a="1"/>
  <c r="F8" i="16"/>
  <c r="F7" i="16" a="1"/>
  <c r="F7" i="16"/>
  <c r="F9" i="16" a="1"/>
  <c r="F9" i="16"/>
  <c r="F10" i="16" a="1"/>
  <c r="F10" i="16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O9" i="16" l="1"/>
  <c r="U8" i="16" l="1"/>
  <c r="O8" i="16"/>
  <c r="U7" i="16" l="1"/>
  <c r="O7" i="16"/>
  <c r="Q7" i="16" s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F4" i="16"/>
  <c r="D4" i="16"/>
  <c r="T3" i="16"/>
  <c r="T5" i="16" s="1"/>
  <c r="C23" i="4"/>
  <c r="F23" i="4"/>
  <c r="E23" i="4"/>
  <c r="E22" i="4"/>
  <c r="G22" i="4"/>
  <c r="D23" i="4"/>
  <c r="C22" i="4"/>
  <c r="F22" i="4"/>
  <c r="H22" i="4"/>
  <c r="H23" i="4"/>
  <c r="G23" i="4"/>
  <c r="D22" i="4"/>
  <c r="C24" i="4"/>
  <c r="P9" i="16" l="1"/>
  <c r="P8" i="16" s="1"/>
  <c r="Q8" i="16" s="1"/>
  <c r="L5" i="16"/>
  <c r="K5" i="16"/>
  <c r="P10" i="16"/>
  <c r="T8" i="16"/>
  <c r="T7" i="16"/>
  <c r="T6" i="16"/>
  <c r="T9" i="16" s="1"/>
  <c r="O4" i="16"/>
  <c r="P6" i="16" s="1"/>
  <c r="X1172" i="14"/>
  <c r="E1172" i="14"/>
  <c r="D1172" i="14"/>
  <c r="C1172" i="14"/>
  <c r="B1172" i="14"/>
  <c r="A1172" i="14"/>
  <c r="L182" i="13"/>
  <c r="A182" i="13"/>
  <c r="X1174" i="3"/>
  <c r="D1174" i="3"/>
  <c r="U9" i="16" l="1"/>
  <c r="T13" i="16"/>
  <c r="T17" i="16" s="1"/>
  <c r="T18" i="16" s="1"/>
  <c r="O10" i="16"/>
  <c r="Q10" i="16" s="1"/>
  <c r="O6" i="16"/>
  <c r="Q6" i="16" s="1"/>
  <c r="Q4" i="16"/>
  <c r="F1172" i="14"/>
  <c r="X1171" i="14" l="1"/>
  <c r="E1171" i="14"/>
  <c r="D1171" i="14"/>
  <c r="C1171" i="14"/>
  <c r="B1171" i="14"/>
  <c r="A1171" i="14"/>
  <c r="L181" i="13"/>
  <c r="A181" i="13"/>
  <c r="X1173" i="3"/>
  <c r="D1173" i="3"/>
  <c r="F1174" i="3" s="1"/>
  <c r="X1170" i="14"/>
  <c r="E1170" i="14"/>
  <c r="D1170" i="14"/>
  <c r="C1170" i="14"/>
  <c r="B1170" i="14"/>
  <c r="A1170" i="14"/>
  <c r="L180" i="13"/>
  <c r="A180" i="13"/>
  <c r="X1172" i="3"/>
  <c r="D1172" i="3"/>
  <c r="F1173" i="3" s="1"/>
  <c r="G1173" i="3" s="1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G1174" i="3" l="1"/>
  <c r="F1171" i="14"/>
  <c r="H1172" i="14" s="1"/>
  <c r="I1172" i="14" s="1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Y1172" i="14" l="1"/>
  <c r="Z1172" i="14" s="1"/>
  <c r="AA1172" i="14" s="1"/>
  <c r="L1172" i="14"/>
  <c r="Y1174" i="3"/>
  <c r="Z1174" i="3" s="1"/>
  <c r="AA1174" i="3" s="1"/>
  <c r="L1174" i="3"/>
  <c r="L1171" i="14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J1172" i="14" s="1"/>
  <c r="G1169" i="14"/>
  <c r="G1170" i="14" s="1"/>
  <c r="G1171" i="14" s="1"/>
  <c r="G1172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E1174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O1174" i="3" l="1"/>
  <c r="P1174" i="3"/>
  <c r="P1173" i="3"/>
  <c r="O1173" i="3"/>
  <c r="J1172" i="3"/>
  <c r="J1173" i="3" s="1"/>
  <c r="J1174" i="3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H1174" i="3" s="1"/>
  <c r="P1169" i="3"/>
  <c r="O1169" i="3"/>
  <c r="Y1169" i="3"/>
  <c r="Z1169" i="3" s="1"/>
  <c r="AA1169" i="3" s="1"/>
  <c r="K1169" i="3"/>
  <c r="L1169" i="3"/>
  <c r="X1164" i="14"/>
  <c r="E1164" i="14"/>
  <c r="D1164" i="14"/>
  <c r="C1164" i="14"/>
  <c r="B1164" i="14"/>
  <c r="A1164" i="14"/>
  <c r="L174" i="13"/>
  <c r="A174" i="13"/>
  <c r="X1166" i="3"/>
  <c r="D1166" i="3"/>
  <c r="F1167" i="3" s="1"/>
  <c r="N1173" i="3" l="1"/>
  <c r="N1174" i="3"/>
  <c r="W1174" i="3"/>
  <c r="W1169" i="3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I1174" i="3" s="1"/>
  <c r="K1170" i="3"/>
  <c r="K1171" i="3" s="1"/>
  <c r="W1170" i="3"/>
  <c r="N1169" i="3"/>
  <c r="G1167" i="3"/>
  <c r="F1164" i="14"/>
  <c r="H1165" i="14" s="1"/>
  <c r="I1165" i="14" s="1"/>
  <c r="K1172" i="3" l="1"/>
  <c r="K1173" i="3" s="1"/>
  <c r="K1174" i="3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G1145" i="3" s="1"/>
  <c r="X1141" i="14"/>
  <c r="E1141" i="14"/>
  <c r="D1141" i="14"/>
  <c r="C1141" i="14"/>
  <c r="B1141" i="14"/>
  <c r="A1141" i="14"/>
  <c r="L150" i="13"/>
  <c r="A150" i="13"/>
  <c r="X1143" i="3"/>
  <c r="D1143" i="3"/>
  <c r="X1142" i="3"/>
  <c r="D1142" i="3"/>
  <c r="AC1174" i="3" l="1"/>
  <c r="F1144" i="3"/>
  <c r="G1144" i="3" s="1"/>
  <c r="Q1174" i="3"/>
  <c r="R1174" i="3" s="1"/>
  <c r="F1143" i="3"/>
  <c r="G1143" i="3" s="1"/>
  <c r="Q1173" i="3"/>
  <c r="R1173" i="3" s="1"/>
  <c r="AC1173" i="3"/>
  <c r="AC1172" i="3"/>
  <c r="I1154" i="3"/>
  <c r="I1155" i="3" s="1"/>
  <c r="L1152" i="14"/>
  <c r="Y1152" i="14"/>
  <c r="Z1152" i="14" s="1"/>
  <c r="AA1152" i="14" s="1"/>
  <c r="J1147" i="14"/>
  <c r="J1148" i="14" s="1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H1142" i="14" l="1"/>
  <c r="I1142" i="14" s="1"/>
  <c r="Q1172" i="14"/>
  <c r="R1172" i="14" s="1"/>
  <c r="F1140" i="3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L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S1174" i="3" s="1"/>
  <c r="T1174" i="3" s="1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41" i="14" l="1"/>
  <c r="I1141" i="14" s="1"/>
  <c r="AC1172" i="14" s="1"/>
  <c r="Q1171" i="14"/>
  <c r="R1171" i="14" s="1"/>
  <c r="H1140" i="14"/>
  <c r="I1140" i="14" s="1"/>
  <c r="AC1171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L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Y1138" i="14"/>
  <c r="Z1138" i="14" s="1"/>
  <c r="AA1138" i="14" s="1"/>
  <c r="F1109" i="3"/>
  <c r="G1109" i="3" s="1"/>
  <c r="Q1139" i="3"/>
  <c r="R1139" i="3" s="1"/>
  <c r="F1108" i="3"/>
  <c r="G1108" i="3" s="1"/>
  <c r="L1108" i="3" s="1"/>
  <c r="Q1138" i="3"/>
  <c r="R1138" i="3" s="1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Y1086" i="3" s="1"/>
  <c r="Z1086" i="3" s="1"/>
  <c r="AA1086" i="3" s="1"/>
  <c r="Q1116" i="3"/>
  <c r="R1116" i="3" s="1"/>
  <c r="F1085" i="3"/>
  <c r="G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S1172" i="14" s="1"/>
  <c r="T1172" i="14" s="1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L1138" i="14" l="1"/>
  <c r="Y1085" i="3"/>
  <c r="Z1085" i="3" s="1"/>
  <c r="AA1085" i="3" s="1"/>
  <c r="L1084" i="3"/>
  <c r="Y1132" i="3"/>
  <c r="Z1132" i="3" s="1"/>
  <c r="AA1132" i="3" s="1"/>
  <c r="H1080" i="14"/>
  <c r="I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AD1174" i="3" s="1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AD1172" i="14" l="1"/>
  <c r="Y1078" i="14"/>
  <c r="Z1078" i="14" s="1"/>
  <c r="AA1078" i="14" s="1"/>
  <c r="AD1171" i="14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E18" i="16" s="1"/>
  <c r="E4" i="16" s="1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K1162" i="3" l="1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7" i="14" l="1"/>
  <c r="I807" i="14" s="1"/>
  <c r="U1172" i="14"/>
  <c r="V1172" i="14" s="1"/>
  <c r="H806" i="14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U1168" i="14"/>
  <c r="V1168" i="14" s="1"/>
  <c r="H802" i="14"/>
  <c r="I802" i="14" s="1"/>
  <c r="U1167" i="14"/>
  <c r="V1167" i="14" s="1"/>
  <c r="H801" i="14"/>
  <c r="I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L799" i="14" l="1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19" i="14" l="1"/>
  <c r="AA919" i="14" s="1"/>
  <c r="Z918" i="14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K1172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O1172" i="14" l="1"/>
  <c r="P1172" i="14"/>
  <c r="AE1172" i="14"/>
  <c r="P1171" i="14"/>
  <c r="O1171" i="14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M1171" i="14" l="1"/>
  <c r="M1172" i="14"/>
  <c r="N1172" i="14"/>
  <c r="W1172" i="14"/>
  <c r="W1171" i="14"/>
  <c r="N1171" i="14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2" i="14" l="1"/>
  <c r="AB1171" i="14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1" i="3" l="1"/>
  <c r="G811" i="3" s="1"/>
  <c r="U1174" i="3"/>
  <c r="V1174" i="3" s="1"/>
  <c r="F810" i="3"/>
  <c r="G810" i="3" s="1"/>
  <c r="U1173" i="3"/>
  <c r="V1173" i="3" s="1"/>
  <c r="F809" i="3"/>
  <c r="G809" i="3" s="1"/>
  <c r="U1172" i="3"/>
  <c r="V1172" i="3" s="1"/>
  <c r="F808" i="3"/>
  <c r="G808" i="3" s="1"/>
  <c r="U1171" i="3"/>
  <c r="V1171" i="3" s="1"/>
  <c r="F806" i="3"/>
  <c r="G806" i="3" s="1"/>
  <c r="U1169" i="3"/>
  <c r="V1169" i="3" s="1"/>
  <c r="F807" i="3"/>
  <c r="G807" i="3" s="1"/>
  <c r="U1170" i="3"/>
  <c r="V1170" i="3" s="1"/>
  <c r="F803" i="3"/>
  <c r="G803" i="3" s="1"/>
  <c r="L803" i="3" s="1"/>
  <c r="U1168" i="3"/>
  <c r="V1168" i="3" s="1"/>
  <c r="F802" i="3"/>
  <c r="G802" i="3" s="1"/>
  <c r="L802" i="3" s="1"/>
  <c r="U1167" i="3"/>
  <c r="V1167" i="3" s="1"/>
  <c r="F801" i="3"/>
  <c r="G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797" i="3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802" i="3" l="1"/>
  <c r="Y795" i="3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AE1174" i="3" s="1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2" i="3" l="1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3" i="3" l="1"/>
  <c r="AA923" i="3" s="1"/>
  <c r="AB1174" i="3"/>
  <c r="Z922" i="3"/>
  <c r="AA922" i="3" s="1"/>
  <c r="AB1173" i="3"/>
  <c r="Z921" i="3"/>
  <c r="AA921" i="3" s="1"/>
  <c r="AB1172" i="3"/>
  <c r="Z920" i="3"/>
  <c r="AA920" i="3" s="1"/>
  <c r="AB1171" i="3"/>
  <c r="Z919" i="3"/>
  <c r="AA919" i="3" s="1"/>
  <c r="AB1170" i="3"/>
  <c r="Z918" i="3"/>
  <c r="AA918" i="3" s="1"/>
  <c r="AB1169" i="3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66" i="3" l="1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Z737" i="3" s="1"/>
  <c r="AA737" i="3" s="1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73" i="3" l="1"/>
  <c r="M1174" i="3"/>
  <c r="M1172" i="3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<sst xmlns="http://schemas.openxmlformats.org/spreadsheetml/2006/main" count="1137" uniqueCount="429">
  <si>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</si>
  <si>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</si>
  <si>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</si>
  <si>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</si>
  <si>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</si>
  <si>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</si>
  <si>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</si>
  <si>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</si>
  <si>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</si>
  <si>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</si>
  <si>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</si>
  <si>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</si>
  <si>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</si>
  <si>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</si>
  <si>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</si>
  <si>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</si>
  <si>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</si>
  <si>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</si>
  <si>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</si>
  <si>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</si>
  <si>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</si>
  <si>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</si>
  <si>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</si>
  <si>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</si>
  <si>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</si>
  <si>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</si>
  <si>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</si>
  <si>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</si>
  <si>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</si>
  <si>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</si>
  <si>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</si>
  <si>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</si>
  <si>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</si>
  <si>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</si>
  <si>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</si>
  <si>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</si>
  <si>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</si>
  <si>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</si>
  <si>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</si>
  <si>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</si>
  <si>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</si>
  <si>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</si>
  <si>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</si>
  <si>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</si>
  <si>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</si>
  <si>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</si>
  <si>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</si>
  <si>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</si>
  <si>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</si>
  <si>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</si>
  <si>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</si>
  <si>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</si>
  <si>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</si>
  <si>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</si>
  <si>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</si>
  <si>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</si>
  <si>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</si>
  <si>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</si>
  <si>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</si>
  <si>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</si>
  <si>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</si>
  <si>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</si>
  <si>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</si>
  <si>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</si>
  <si>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</si>
  <si>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</si>
  <si>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</si>
  <si>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</si>
  <si>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</si>
  <si>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</si>
  <si>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</si>
  <si>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</si>
  <si>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</si>
  <si>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</si>
  <si>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</si>
  <si>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</si>
  <si>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</si>
  <si>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</si>
  <si>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</si>
  <si>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</si>
  <si>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</si>
  <si>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</si>
  <si>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</si>
  <si>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</si>
  <si>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</si>
  <si>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</si>
  <si>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</si>
  <si>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</si>
  <si>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</si>
  <si>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</si>
  <si>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</si>
  <si>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</si>
  <si>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</si>
  <si>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</si>
  <si>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</si>
  <si>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</si>
  <si>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</si>
  <si>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</si>
  <si>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</si>
  <si>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</si>
  <si>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</si>
  <si>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</si>
  <si>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</si>
  <si>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</si>
  <si>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</si>
  <si>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</si>
  <si>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</si>
  <si>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</si>
  <si>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</si>
  <si>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</si>
  <si>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</si>
  <si>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</si>
  <si>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</si>
  <si>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</si>
  <si>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</si>
  <si>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</si>
  <si>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</si>
  <si>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</si>
  <si>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</si>
  <si>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</si>
  <si>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</si>
  <si>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</si>
  <si>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</si>
  <si>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</si>
  <si>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</si>
  <si>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</si>
  <si>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</si>
  <si>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</si>
  <si>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</si>
  <si>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</si>
  <si>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</si>
  <si>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</si>
  <si>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</si>
  <si>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</si>
  <si>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</si>
  <si>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</si>
  <si>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</si>
  <si>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</si>
  <si>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</si>
  <si>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</si>
  <si>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</si>
  <si>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</si>
  <si>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</si>
  <si>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</si>
  <si>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</si>
  <si>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</si>
  <si>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</si>
  <si>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</si>
  <si>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</si>
  <si>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</si>
  <si>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</si>
  <si>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</si>
  <si>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</si>
  <si>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</si>
  <si>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</si>
  <si>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</si>
  <si>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</si>
  <si>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</si>
  <si>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</si>
  <si>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</si>
  <si>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</si>
  <si>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</si>
  <si>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</si>
  <si>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</si>
  <si>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</si>
  <si>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</si>
  <si>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</si>
  <si>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</si>
  <si>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</si>
  <si>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</si>
  <si>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</si>
  <si>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</si>
  <si>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</si>
  <si>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</si>
  <si>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</si>
  <si>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</si>
  <si>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</si>
  <si>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</si>
  <si>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</si>
  <si>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</si>
  <si>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</si>
  <si>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</si>
  <si>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</si>
  <si>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</si>
  <si>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</si>
  <si>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</si>
  <si>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</si>
  <si>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</si>
  <si>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</si>
  <si>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</si>
  <si>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</si>
  <si>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</si>
  <si>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</si>
  <si>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</si>
  <si>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</si>
  <si>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</si>
  <si>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</si>
  <si>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</si>
  <si>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</si>
  <si>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</si>
  <si>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</si>
  <si>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</si>
  <si>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</si>
  <si>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</si>
  <si>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</si>
  <si>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</si>
  <si>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</si>
  <si>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</si>
  <si>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</si>
  <si>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</si>
  <si>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</si>
  <si>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</si>
  <si>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</si>
  <si>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</si>
  <si>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</si>
  <si>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</si>
  <si>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</si>
  <si>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</si>
  <si>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</si>
  <si>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</si>
  <si>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</si>
  <si>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</si>
  <si>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</si>
  <si>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</si>
  <si>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</si>
  <si>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</si>
  <si>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</si>
  <si>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</si>
  <si>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</si>
  <si>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</si>
  <si>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</si>
  <si>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</si>
  <si>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</si>
  <si>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</si>
  <si>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</si>
  <si>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</si>
  <si>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</si>
  <si>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</si>
  <si>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</si>
  <si>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</si>
  <si>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</si>
  <si>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</si>
  <si>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</si>
  <si>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</si>
  <si>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</si>
  <si>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</si>
  <si>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</si>
  <si>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</si>
  <si>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</si>
  <si>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</si>
  <si>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</si>
  <si>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</si>
  <si>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</si>
  <si>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</si>
  <si>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</si>
  <si>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</si>
  <si>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</si>
  <si>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</si>
  <si>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</si>
  <si>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</si>
  <si>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</si>
  <si>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</si>
  <si>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</si>
  <si>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</si>
  <si>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</si>
  <si>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</si>
  <si>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</si>
  <si>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</si>
  <si>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</si>
  <si>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</si>
  <si>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</si>
  <si>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</si>
  <si>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</si>
  <si>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</si>
  <si>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</si>
  <si>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</si>
  <si>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</si>
  <si>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</si>
  <si>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</si>
  <si>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</si>
  <si>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</si>
  <si>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</si>
  <si>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</si>
  <si>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</si>
  <si>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</si>
  <si>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</si>
  <si>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</si>
  <si>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</si>
  <si>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</si>
  <si>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</si>
  <si>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</si>
  <si>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</si>
  <si>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</si>
  <si>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</si>
  <si>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</si>
  <si>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</si>
  <si>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</si>
  <si>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</si>
  <si>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</si>
  <si>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</si>
  <si>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</si>
  <si>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</si>
  <si>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</si>
  <si>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</si>
  <si>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</si>
  <si>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</si>
  <si>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</si>
  <si>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</si>
  <si>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</si>
  <si>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</si>
  <si>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</si>
  <si>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</si>
  <si>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</si>
  <si>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</si>
  <si>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</si>
  <si>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</si>
  <si>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</si>
  <si>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</si>
  <si>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</si>
  <si>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</si>
  <si>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</si>
  <si>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</si>
  <si>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</si>
  <si>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</si>
  <si>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</si>
  <si>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</si>
  <si>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</si>
  <si>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</si>
  <si>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</si>
  <si>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</si>
  <si>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</si>
  <si>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</si>
  <si>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</si>
  <si>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</si>
  <si>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</si>
  <si>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</si>
  <si>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</si>
  <si>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</si>
  <si>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</si>
  <si>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</si>
  <si>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</si>
  <si>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</si>
  <si>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</si>
  <si>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</si>
  <si>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</si>
  <si>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</si>
  <si>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</si>
  <si>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</si>
  <si>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</si>
  <si>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</si>
  <si>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</si>
  <si>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</si>
  <si>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</si>
  <si>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</si>
  <si>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</si>
  <si>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</si>
  <si>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</si>
  <si>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</si>
  <si>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</si>
  <si>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</si>
  <si>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</si>
  <si>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</si>
  <si>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</si>
  <si>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</si>
  <si>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</si>
  <si>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</si>
  <si>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</si>
  <si>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</si>
  <si>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</si>
  <si>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</si>
  <si>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</si>
  <si>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</si>
  <si>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</si>
  <si>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</si>
  <si>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</si>
  <si>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</si>
  <si>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</si>
  <si>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</si>
  <si>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</si>
  <si>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</si>
  <si>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</si>
  <si>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</si>
  <si>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</si>
  <si>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</si>
  <si>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</si>
  <si>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NQ 10JAN25 21500 P</t>
  </si>
  <si>
    <t>NVDA 17JAN25 130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</si>
  <si>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</si>
  <si>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</si>
  <si>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</si>
  <si>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</si>
  <si>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</si>
  <si>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</si>
  <si>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</si>
  <si>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</si>
  <si>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</si>
  <si>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</si>
  <si>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</si>
  <si>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</si>
  <si>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</si>
  <si>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</si>
  <si>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</si>
  <si>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</si>
  <si>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</si>
  <si>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10JAN25 242.5 P</t>
  </si>
  <si>
    <t>MSFT 10JAN25 420 P</t>
  </si>
  <si>
    <t>NVDA 10JAN25 150 C</t>
  </si>
  <si>
    <t>NVDA 10JAN25 152.5 C</t>
  </si>
  <si>
    <t>ORCL 10JAN25 162.5 P</t>
  </si>
  <si>
    <t>PANW 10JAN25 180 P</t>
  </si>
  <si>
    <t>SNOW 10JAN25 157.5 P</t>
  </si>
  <si>
    <t>TSM 10JAN25 215 C</t>
  </si>
  <si>
    <t>XLF 10JAN25 48.5 C</t>
  </si>
  <si>
    <t>Transaction Fees</t>
  </si>
  <si>
    <t>BX 10JAN25 175 P</t>
  </si>
  <si>
    <t>NVDA 10JAN25 145 P</t>
  </si>
  <si>
    <t>NVDA 10JAN25 157.5 C</t>
  </si>
  <si>
    <t>PDD 10JAN25 106 C</t>
  </si>
  <si>
    <t>QQQ 10JAN25 535 C</t>
  </si>
  <si>
    <t>TSM 10JAN25 212.5 P</t>
  </si>
  <si>
    <t>TSM 10JAN25 215 P</t>
  </si>
  <si>
    <t>XLF 10JAN25 49 C</t>
  </si>
  <si>
    <t>XLK 10JAN25 242.5 C</t>
  </si>
  <si>
    <t>Interest</t>
  </si>
  <si>
    <t>700 27JAN25 370 P</t>
  </si>
  <si>
    <t>700 27JAN25 380 P</t>
  </si>
  <si>
    <t>SNOW 10JAN25 165 P</t>
  </si>
  <si>
    <t>Dividends</t>
  </si>
  <si>
    <t>Withholding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</si>
</sst>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7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7" xfId="1" applyNumberFormat="1" applyFont="1" applyFill="1" applyBorder="1" applyAlignment="1">
      <alignment horizontal="right" vertical="center"/>
    </xf>
    <xf numFmtId="10" fontId="6" fillId="5" borderId="4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44" fontId="10" fillId="5" borderId="7" xfId="0" applyNumberFormat="1" applyFont="1" applyFill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7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7" fillId="0" borderId="5" xfId="0" applyNumberFormat="1" applyFont="1" applyBorder="1" applyAlignment="1">
      <alignment horizontal="center"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Data...4005382758</v>
        <stp/>
        <stp>BDP|17488990371770934291</stp>
        <tr r="L9" s="16"/>
      </tp>
      <tp t="s">
        <v>#N/A Requesting Data...3161930219</v>
        <stp/>
        <stp>BDP|12334903160624343193</stp>
        <tr r="H7" s="16"/>
      </tp>
      <tp t="s">
        <v>#N/A Requesting Data...2095886837</v>
        <stp/>
        <stp>BDP|11631739781717341169</stp>
        <tr r="D10" s="16"/>
      </tp>
      <tp t="s">
        <v>#N/A Requesting Data...2498151152</v>
        <stp/>
        <stp>BDP|12503804164161346560</stp>
        <tr r="H23" s="4"/>
      </tp>
      <tp t="s">
        <v>#N/A Requesting Data...3484546355</v>
        <stp/>
        <stp>BDP|15038974491608239300</stp>
        <tr r="E8" s="16"/>
      </tp>
      <tp t="s">
        <v>#N/A Requesting Data...3217996732</v>
        <stp/>
        <stp>BDP|18194437827130447215</stp>
        <tr r="K6" s="16"/>
      </tp>
      <tp t="s">
        <v>#N/A Requesting Data...3636833501</v>
        <stp/>
        <stp>BDP|14342216399620183288</stp>
        <tr r="F7" s="16"/>
      </tp>
      <tp t="s">
        <v>#N/A Requesting Data...3443069437</v>
        <stp/>
        <stp>BDP|12868917489186433836</stp>
        <tr r="D22" s="4"/>
      </tp>
      <tp t="s">
        <v>#N/A Requesting Data...4172360118</v>
        <stp/>
        <stp>BDP|17458564132487035495</stp>
        <tr r="G6" s="16"/>
      </tp>
      <tp t="s">
        <v>#N/A Requesting Data...1123918691</v>
        <stp/>
        <stp>BDP|11441239167720550763</stp>
        <tr r="G22" s="4"/>
      </tp>
      <tp t="s">
        <v>#N/A Requesting Data...2157020550</v>
        <stp/>
        <stp>BDP|12134806195186667708</stp>
        <tr r="F9" s="16"/>
      </tp>
      <tp t="s">
        <v>#N/A Requesting Data...1612289891</v>
        <stp/>
        <stp>BDP|15571183826414458091</stp>
        <tr r="F23" s="4"/>
      </tp>
      <tp t="s">
        <v>#N/A Requesting Data...1356028064</v>
        <stp/>
        <stp>BDP|16691583684581330968</stp>
        <tr r="F22" s="4"/>
      </tp>
      <tp t="s">
        <v>#N/A Requesting Data...2874858690</v>
        <stp/>
        <stp>BDP|10851542879122214334</stp>
        <tr r="K7" s="16"/>
      </tp>
      <tp t="s">
        <v>#N/A Requesting Data...3805595819</v>
        <stp/>
        <stp>BDP|13033893993631589338</stp>
        <tr r="C24" s="4"/>
      </tp>
      <tp t="s">
        <v>#N/A Requesting Data...1220121234</v>
        <stp/>
        <stp>BDP|15628696981164784920</stp>
        <tr r="F6" s="16"/>
      </tp>
      <tp t="s">
        <v>#N/A Requesting Data...3268768080</v>
        <stp/>
        <stp>BDP|17421494076265054774</stp>
        <tr r="D6" s="16"/>
      </tp>
      <tp t="s">
        <v>#N/A Requesting Data...3300624729</v>
        <stp/>
        <stp>BDP|11395363488884515847</stp>
        <tr r="E22" s="4"/>
      </tp>
      <tp t="s">
        <v>#N/A Requesting Data...3084424247</v>
        <stp/>
        <stp>BDP|11453968001806112847</stp>
        <tr r="L10" s="16"/>
      </tp>
      <tp t="s">
        <v>#N/A Requesting Data...2133719540</v>
        <stp/>
        <stp>BDP|14662245951000286439</stp>
        <tr r="C22" s="4"/>
      </tp>
      <tp t="s">
        <v>#N/A Requesting Data...2134465247</v>
        <stp/>
        <stp>BDP|16854102045504656375</stp>
        <tr r="K10" s="16"/>
      </tp>
      <tp t="s">
        <v>#N/A Requesting Data...1301977113</v>
        <stp/>
        <stp>BDP|17541570393706762923</stp>
        <tr r="K9" s="16"/>
      </tp>
      <tp t="s">
        <v>#N/A Requesting Data...2800974090</v>
        <stp/>
        <stp>BDP|14370156815235148488</stp>
        <tr r="F8" s="16"/>
      </tp>
      <tp t="s">
        <v>#N/A Requesting Data...4028289557</v>
        <stp/>
        <stp>BDP|16879443774998906816</stp>
        <tr r="K8" s="16"/>
      </tp>
    </main>
    <main first="bofaddin.rtdserver">
      <tp t="s">
        <v>#N/A Requesting Data...3014234563</v>
        <stp/>
        <stp>BDP|1413003601749412533</stp>
        <tr r="L6" s="16"/>
      </tp>
      <tp t="s">
        <v>#N/A Requesting Data...2404392600</v>
        <stp/>
        <stp>BDP|8485886604566386829</stp>
        <tr r="H22" s="4"/>
      </tp>
      <tp t="s">
        <v>#N/A Requesting Data...4157437917</v>
        <stp/>
        <stp>BDP|9958272376154164648</stp>
        <tr r="J9" s="16"/>
      </tp>
      <tp t="s">
        <v>#N/A Requesting Data...1921500358</v>
        <stp/>
        <stp>BDP|4155052320638790009</stp>
        <tr r="L7" s="16"/>
      </tp>
      <tp t="s">
        <v>#N/A Requesting Data...1722028035</v>
        <stp/>
        <stp>BDP|4997210966577515802</stp>
        <tr r="G9" s="16"/>
      </tp>
      <tp t="s">
        <v>#N/A Requesting Data...4258073180</v>
        <stp/>
        <stp>BDP|3599663092060873385</stp>
        <tr r="G23" s="4"/>
      </tp>
      <tp t="s">
        <v>#N/A Requesting Data...2646942439</v>
        <stp/>
        <stp>BDP|2715175043958188031</stp>
        <tr r="C23" s="4"/>
      </tp>
      <tp t="s">
        <v>#N/A Requesting Data...3953707792</v>
        <stp/>
        <stp>BDP|4938759477168674381</stp>
        <tr r="E23" s="4"/>
      </tp>
      <tp t="s">
        <v>#N/A Requesting Data...1792477697</v>
        <stp/>
        <stp>BDP|5516778511589823234</stp>
        <tr r="F10" s="16"/>
      </tp>
      <tp t="s">
        <v>#N/A Requesting Data...2854214359</v>
        <stp/>
        <stp>BDP|4120548091556971632</stp>
        <tr r="J8" s="16"/>
      </tp>
      <tp t="s">
        <v>#N/A Requesting Data...4010359179</v>
        <stp/>
        <stp>BDP|6229753396345444597</stp>
        <tr r="J10" s="16"/>
      </tp>
      <tp t="s">
        <v>#N/A Requesting Data...3420428992</v>
        <stp/>
        <stp>BDP|6992386206898388576</stp>
        <tr r="I6" s="16"/>
      </tp>
      <tp t="s">
        <v>#N/A Requesting Data...3036731686</v>
        <stp/>
        <stp>BDP|4532089580725904075</stp>
        <tr r="H6" s="16"/>
      </tp>
      <tp t="s">
        <v>#N/A Requesting Data...1694860809</v>
        <stp/>
        <stp>BDP|3379476956402510911</stp>
        <tr r="G7" s="16"/>
      </tp>
      <tp t="s">
        <v>#N/A Requesting Data...2319019461</v>
        <stp/>
        <stp>BDP|1440775866201456872</stp>
        <tr r="I10" s="16"/>
      </tp>
      <tp t="s">
        <v>#N/A Requesting Data...1008755585</v>
        <stp/>
        <stp>BDP|2558557980072118785</stp>
        <tr r="I9" s="16"/>
      </tp>
      <tp t="s">
        <v>#N/A Requesting Data...1157226125</v>
        <stp/>
        <stp>BDP|9567764807640019488</stp>
        <tr r="D23" s="4"/>
      </tp>
      <tp t="s">
        <v>#N/A Requesting Data...3333914622</v>
        <stp/>
        <stp>BDP|6919533648008043579</stp>
        <tr r="J6" s="16"/>
      </tp>
      <tp t="s">
        <v>#N/A Requesting Data...3543433766</v>
        <stp/>
        <stp>BDP|9795865377547352559</stp>
        <tr r="H9" s="16"/>
      </tp>
      <tp t="s">
        <v>#N/A Requesting Data...1004942592</v>
        <stp/>
        <stp>BDP|3621777069803976439</stp>
        <tr r="D8" s="16"/>
      </tp>
      <tp t="s">
        <v>#N/A Requesting Data...3768638638</v>
        <stp/>
        <stp>BDP|2634117571192198044</stp>
        <tr r="E10" s="16"/>
      </tp>
      <tp t="s">
        <v>#N/A Requesting Data...3041988777</v>
        <stp/>
        <stp>BDP|4088085636931872034</stp>
        <tr r="H8" s="16"/>
      </tp>
      <tp t="s">
        <v>#N/A Requesting Data...2976048822</v>
        <stp/>
        <stp>BDP|3917812088037969338</stp>
        <tr r="I8" s="16"/>
      </tp>
      <tp t="s">
        <v>#N/A Requesting Data...2049988570</v>
        <stp/>
        <stp>BDP|8329996959595020626</stp>
        <tr r="G8" s="16"/>
      </tp>
      <tp t="s">
        <v>#N/A Requesting Data...3324747042</v>
        <stp/>
        <stp>BDP|9551902812626788049</stp>
        <tr r="E9" s="16"/>
      </tp>
      <tp t="s">
        <v>#N/A Requesting Data...3886496589</v>
        <stp/>
        <stp>BDP|4245519764736732652</stp>
        <tr r="D9" s="16"/>
      </tp>
      <tp t="s">
        <v>#N/A Requesting Data...4123847560</v>
        <stp/>
        <stp>BDP|2172564009019829930</stp>
        <tr r="H10" s="16"/>
      </tp>
      <tp t="s">
        <v>#N/A Requesting Data...1899514501</v>
        <stp/>
        <stp>BDP|1538312403986856411</stp>
        <tr r="G10" s="16"/>
      </tp>
      <tp t="s">
        <v>#N/A Requesting Data...1955381801</v>
        <stp/>
        <stp>BDP|3016032546861645645</stp>
        <tr r="L8" s="16"/>
      </tp>
      <tp t="s">
        <v>#N/A Requesting Data...983828966</v>
        <stp/>
        <stp>BDP|4274184704243147681</stp>
        <tr r="E6" s="16"/>
      </tp>
      <tp t="s">
        <v>#N/A Requesting Data...3771119564</v>
        <stp/>
        <stp>BDP|5342164155427751487</stp>
        <tr r="I7" s="16"/>
      </tp>
      <tp t="s">
        <v>#N/A Requesting Data...2915342898</v>
        <stp/>
        <stp>BDP|2470954931023095833</stp>
        <tr r="J7" s="16"/>
      </tp>
    </main>
    <main first="bofaddin.rtdserver">
      <tp t="s">
        <v>#N/A Requesting Data...2853220364</v>
        <stp/>
        <stp>BDP|808002419262414195</stp>
        <tr r="D7" s="16"/>
      </tp>
      <tp t="s">
        <v>#N/A Requesting Data...3194280295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NAV'!$A$1169:$A$1474</c:f>
              <c:numCache>
                <c:formatCode>[$-409]d\-mmm\-yy;@</c:formatCode>
                <c:ptCount val="306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  <c:pt idx="5">
                  <c:v>45666</c:v>
                </c:pt>
              </c:numCache>
            </c:numRef>
          </c:cat>
          <c:val>
            <c:numRef>
              <c:f>'Historical NAV'!$N$1169:$N$1474</c:f>
              <c:numCache>
                <c:formatCode>0.00%;[Red]\(0.00%\)</c:formatCode>
                <c:ptCount val="306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  <c:pt idx="5">
                  <c:v>3.216395347352563E-2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NAV'!$A$2:$A$1474</c:f>
              <c:numCache>
                <c:formatCode>[$-409]d\-mmm\-yy;@</c:formatCode>
                <c:ptCount val="1473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  <c:pt idx="1172">
                  <c:v>45666</c:v>
                </c:pt>
              </c:numCache>
            </c:numRef>
          </c:cat>
          <c:val>
            <c:numRef>
              <c:f>'Historical NAV'!$M$2:$M$1474</c:f>
              <c:numCache>
                <c:formatCode>0.00%;[Red]\(0.00%\)</c:formatCode>
                <c:ptCount val="1473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  <c:pt idx="1172">
                  <c:v>0.6464430887827568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597762.07999999996</c:v>
                </c:pt>
                <c:pt idx="1">
                  <c:v>1848245.5100000002</c:v>
                </c:pt>
                <c:pt idx="2">
                  <c:v>-677655.9</c:v>
                </c:pt>
                <c:pt idx="3">
                  <c:v>-73333.760000000009</c:v>
                </c:pt>
                <c:pt idx="4">
                  <c:v>370057.70999999996</c:v>
                </c:pt>
                <c:pt idx="5">
                  <c:v>71325</c:v>
                </c:pt>
                <c:pt idx="6">
                  <c:v>128100.14000000001</c:v>
                </c:pt>
                <c:pt idx="7">
                  <c:v>0</c:v>
                </c:pt>
                <c:pt idx="8">
                  <c:v>-498513.4153772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597762.07999999996</c:v>
                </c:pt>
                <c:pt idx="1">
                  <c:v>1848245.5100000002</c:v>
                </c:pt>
                <c:pt idx="2">
                  <c:v>-677655.9</c:v>
                </c:pt>
                <c:pt idx="3">
                  <c:v>-73333.760000000009</c:v>
                </c:pt>
                <c:pt idx="4">
                  <c:v>370057.70999999996</c:v>
                </c:pt>
                <c:pt idx="5">
                  <c:v>71325</c:v>
                </c:pt>
                <c:pt idx="6">
                  <c:v>128100.14000000001</c:v>
                </c:pt>
                <c:pt idx="7">
                  <c:v>0</c:v>
                </c:pt>
                <c:pt idx="8">
                  <c:v>-498513.4153772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zoomScale="85" zoomScaleNormal="85" workbookViewId="0">
      <selection activeCell="B10" sqref="B10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45666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315</v>
      </c>
      <c r="B4" s="8">
        <f ca="1">OFFSET('Historical NAV'!I1,COUNT('Historical NAV'!A:A),,,)</f>
        <v>-2.8731023907942153E-2</v>
      </c>
      <c r="D4" s="91"/>
      <c r="E4" s="92"/>
    </row>
    <row r="5" spans="1:23">
      <c r="A5" t="s">
        <v>66</v>
      </c>
      <c r="B5" s="8">
        <f ca="1">OFFSET('Historical NAV'!K1,COUNT('Historical NAV'!A:A),,,)</f>
        <v>3.216395347352563E-2</v>
      </c>
      <c r="E5" s="146"/>
    </row>
    <row r="6" spans="1:23">
      <c r="A6" t="s">
        <v>297</v>
      </c>
      <c r="B6" s="8">
        <f ca="1">OFFSET('Historical NAV'!N1,COUNT('Historical NAV'!A:A),,,)</f>
        <v>3.216395347352563E-2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-5.8659181055450429E-4</v>
      </c>
      <c r="D9" t="s">
        <v>188</v>
      </c>
      <c r="E9" s="146">
        <f ca="1">OFFSET('Historical NAV'!B1,COUNT('Historical NAV'!A:A),,,)</f>
        <v>64340660.011150397</v>
      </c>
    </row>
    <row r="10" spans="1:23">
      <c r="A10" t="s">
        <v>181</v>
      </c>
      <c r="B10" s="2">
        <f ca="1">E13/E9</f>
        <v>2.7942021178962655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-0.13040197516914634</v>
      </c>
      <c r="D11" t="s">
        <v>160</v>
      </c>
      <c r="E11" s="8">
        <f ca="1">E10/E9</f>
        <v>0.56352640932990827</v>
      </c>
    </row>
    <row r="12" spans="1:23">
      <c r="A12" t="s">
        <v>147</v>
      </c>
      <c r="B12" s="8">
        <f ca="1">OFFSET('Historical NAV'!T1,COUNT('Historical NAV'!A:A),,,)</f>
        <v>0.17785092704923244</v>
      </c>
    </row>
    <row r="13" spans="1:23">
      <c r="A13" t="s">
        <v>148</v>
      </c>
      <c r="B13" s="8">
        <f ca="1">OFFSET('Historical NAV'!V1,COUNT('Historical NAV'!A:A),,,)</f>
        <v>0.7681573227477444</v>
      </c>
      <c r="D13" s="99" t="s">
        <v>180</v>
      </c>
      <c r="E13" s="152">
        <f>K25</f>
        <v>179780808.47</v>
      </c>
    </row>
    <row r="14" spans="1:23">
      <c r="A14" t="s">
        <v>125</v>
      </c>
      <c r="B14" s="51">
        <f ca="1">OFFSET('Historical NAV'!W1,COUNT('Historical NAV'!A:A),,,)</f>
        <v>2.6013455703484141</v>
      </c>
      <c r="D14" s="303">
        <v>5.0000000000000001E-3</v>
      </c>
      <c r="E14" s="123">
        <f>(D14*$E$13)/(1-D14)</f>
        <v>903421.14809045231</v>
      </c>
    </row>
    <row r="15" spans="1:23">
      <c r="A15" t="s">
        <v>144</v>
      </c>
      <c r="B15" s="51">
        <f ca="1">OFFSET('Historical NAV'!AB1,COUNT('Historical NAV'!A:A),,,)</f>
        <v>3.9807376933868746</v>
      </c>
      <c r="D15" s="303">
        <v>0.01</v>
      </c>
      <c r="E15" s="123">
        <f>(D15*$E$13)/(1-D15)</f>
        <v>1815967.7623232324</v>
      </c>
      <c r="F15" s="133"/>
    </row>
    <row r="16" spans="1:23">
      <c r="A16" t="s">
        <v>145</v>
      </c>
      <c r="B16" s="51">
        <f ca="1">OFFSET('Historical NAV'!P1,COUNT('Historical NAV'!A:A),,,)</f>
        <v>0.56373952416782558</v>
      </c>
      <c r="D16" s="303">
        <v>1.4999999999999999E-2</v>
      </c>
      <c r="E16" s="123">
        <f>(D16*$E$13)/(1-D16)</f>
        <v>2737778.8091878169</v>
      </c>
      <c r="F16" s="169"/>
    </row>
    <row r="17" spans="1:23">
      <c r="A17" t="s">
        <v>185</v>
      </c>
      <c r="B17" s="51">
        <f ca="1">OFFSET('Historical NAV'!AC1,COUNT('Historical NAV'!A:A),,,)</f>
        <v>-4.1630720012298304E-2</v>
      </c>
      <c r="D17" s="303">
        <v>0.05</v>
      </c>
      <c r="E17" s="123">
        <f>(D17*$E$13)/(1-D17)</f>
        <v>9462147.8142105266</v>
      </c>
    </row>
    <row r="18" spans="1:23">
      <c r="A18" t="s">
        <v>186</v>
      </c>
      <c r="B18" s="51">
        <f ca="1">OFFSET('Historical NAV'!AD1,COUNT('Historical NAV'!A:A),,,)</f>
        <v>-3.8880118810897604E-2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-4.8214814201420403E-2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299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24</v>
      </c>
      <c r="D24" s="94">
        <f>COUNTIF('Mark to Market'!$B$3:$B$1028,D23)</f>
        <v>31</v>
      </c>
      <c r="E24" s="94">
        <f>COUNTIF('Mark to Market'!$B$3:$B$1028,E23)</f>
        <v>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40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118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76897006.870000005</v>
      </c>
      <c r="C25" s="102">
        <f>SUMIF('Mark to Market'!$B$3:$B$1028,C23,'Mark to Market'!$H$3:$H$1028)</f>
        <v>53056306</v>
      </c>
      <c r="D25" s="102">
        <f>SUMIF('Mark to Market'!$B$3:$B$1028,D23,'Mark to Market'!$H$3:$H$1028)</f>
        <v>23494280.549999997</v>
      </c>
      <c r="E25" s="102">
        <f>SUMIF('Mark to Market'!$B$3:$B$1028,E23,'Mark to Market'!$H$3:$H$1028)</f>
        <v>0</v>
      </c>
      <c r="F25" s="102">
        <f>SUMIF('Mark to Market'!$B$3:$B$1028,F23,'Mark to Market'!$H$3:$H$1028)</f>
        <v>25817784.66</v>
      </c>
      <c r="G25" s="102">
        <f>SUMIF('Mark to Market'!$B$3:$B$1028,G23,'Mark to Market'!$H$3:$H$1028)</f>
        <v>516603.75</v>
      </c>
      <c r="H25" s="102">
        <f>SUMIF('Mark to Market'!$B$3:$B$1028,H23,'Mark to Market'!$H$3:$H$1028)</f>
        <v>-1173.3600000000001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179780808.47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71636928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10196536</v>
      </c>
      <c r="N25" s="35">
        <f>F25-M25</f>
        <v>15621248.66</v>
      </c>
    </row>
    <row r="26" spans="1:23">
      <c r="A26" s="99" t="s">
        <v>197</v>
      </c>
      <c r="B26" s="103">
        <f t="shared" ref="B26:J26" si="0">B25/$K$25</f>
        <v>0.42772644936031534</v>
      </c>
      <c r="C26" s="103">
        <f>C25/$K$25</f>
        <v>0.29511662814028061</v>
      </c>
      <c r="D26" s="103">
        <f>D25/$K$25</f>
        <v>0.13068291743676569</v>
      </c>
      <c r="E26" s="103">
        <f>E25/$K$25</f>
        <v>0</v>
      </c>
      <c r="F26" s="103">
        <f t="shared" si="0"/>
        <v>0.14360701167003714</v>
      </c>
      <c r="G26" s="103">
        <f t="shared" si="0"/>
        <v>2.873520006926688E-3</v>
      </c>
      <c r="H26" s="103">
        <f t="shared" si="0"/>
        <v>-6.5266143254428548E-6</v>
      </c>
      <c r="I26" s="103">
        <f t="shared" si="0"/>
        <v>0</v>
      </c>
      <c r="J26" s="103">
        <f t="shared" si="0"/>
        <v>0</v>
      </c>
      <c r="K26" s="103">
        <f>SUM(B26:J26)</f>
        <v>1.0000000000000002</v>
      </c>
      <c r="L26" s="103">
        <f>L25/$K$25</f>
        <v>0.39846816025390186</v>
      </c>
      <c r="M26" s="103">
        <f>M25/$K$25</f>
        <v>5.6716487631667839E-2</v>
      </c>
      <c r="N26" s="216">
        <f>F26-M26</f>
        <v>8.6890524038369304E-2</v>
      </c>
    </row>
    <row r="27" spans="1:23">
      <c r="A27" s="99" t="s">
        <v>196</v>
      </c>
      <c r="B27" s="165">
        <f ca="1">B25/$E$9</f>
        <v>1.1951541506828429</v>
      </c>
      <c r="C27" s="165">
        <f ca="1">C25/$E$9</f>
        <v>0.82461550737597666</v>
      </c>
      <c r="D27" s="165">
        <f ca="1">D25/$E$9</f>
        <v>0.36515448467467354</v>
      </c>
      <c r="E27" s="165">
        <f t="shared" ref="E27:K27" ca="1" si="1">E25/$E$9</f>
        <v>0</v>
      </c>
      <c r="F27" s="165">
        <f t="shared" ca="1" si="1"/>
        <v>0.40126701615317145</v>
      </c>
      <c r="G27" s="165">
        <f t="shared" ca="1" si="1"/>
        <v>8.029195689171844E-3</v>
      </c>
      <c r="H27" s="165">
        <f t="shared" ca="1" si="1"/>
        <v>-1.8236679570844533E-5</v>
      </c>
      <c r="I27" s="165">
        <f t="shared" ca="1" si="1"/>
        <v>0</v>
      </c>
      <c r="J27" s="165">
        <f t="shared" ca="1" si="1"/>
        <v>0</v>
      </c>
      <c r="K27" s="165">
        <f t="shared" ca="1" si="1"/>
        <v>2.7942021178962655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0</v>
      </c>
      <c r="C29" s="155">
        <f ca="1">OFFSET('Daily P&amp;L breakdown'!D1,COUNT('Daily P&amp;L breakdown'!$A:$A),,,)</f>
        <v>-3207.77</v>
      </c>
      <c r="D29" s="155">
        <f ca="1">OFFSET('Daily P&amp;L breakdown'!C1,COUNT('Daily P&amp;L breakdown'!$A:$A),,,)</f>
        <v>-19800.86</v>
      </c>
      <c r="E29" s="155">
        <f ca="1">OFFSET('Daily P&amp;L breakdown'!E1,COUNT('Daily P&amp;L breakdown'!$A:$A),,,)</f>
        <v>0</v>
      </c>
      <c r="F29" s="155">
        <f ca="1">OFFSET('Daily P&amp;L breakdown'!F1,COUNT('Daily P&amp;L breakdown'!$A:$A),,,)</f>
        <v>0</v>
      </c>
      <c r="G29" s="155">
        <f ca="1">OFFSET('Daily P&amp;L breakdown'!G1,COUNT('Daily P&amp;L breakdown'!$A:$A),,,)</f>
        <v>0</v>
      </c>
      <c r="H29" s="155">
        <f ca="1">OFFSET('Daily P&amp;L breakdown'!H1,COUNT('Daily P&amp;L breakdown'!$A:$A),,,)</f>
        <v>5024.53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-17984.100000000002</v>
      </c>
      <c r="L29" s="213"/>
      <c r="M29" s="214"/>
      <c r="N29" s="214"/>
    </row>
    <row r="31" spans="1:23">
      <c r="A31" s="310" t="s">
        <v>152</v>
      </c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395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597762.07999999996</v>
      </c>
      <c r="C33" s="154">
        <f>SUMIFS('Daily P&amp;L breakdown'!D:D, 'Daily P&amp;L breakdown'!$A:$A, "&gt;=" &amp; EOMONTH($A33, -1) + 1, 'Daily P&amp;L breakdown'!$A:$A, "&lt;=" &amp; EOMONTH($A33, 0))</f>
        <v>1848245.5100000002</v>
      </c>
      <c r="D33" s="154">
        <f>SUMIFS('Daily P&amp;L breakdown'!C:C, 'Daily P&amp;L breakdown'!$A:$A, "&gt;=" &amp; EOMONTH($A33, -1) + 1, 'Daily P&amp;L breakdown'!$A:$A, "&lt;=" &amp; EOMONTH($A33, 0))</f>
        <v>-677655.9</v>
      </c>
      <c r="E33" s="154">
        <f>SUMIFS('Daily P&amp;L breakdown'!E:E, 'Daily P&amp;L breakdown'!$A:$A, "&gt;=" &amp; EOMONTH($A33, -1) + 1, 'Daily P&amp;L breakdown'!$A:$A, "&lt;=" &amp; EOMONTH($A33, 0))</f>
        <v>-73333.760000000009</v>
      </c>
      <c r="F33" s="154">
        <f>SUMIFS('Daily P&amp;L breakdown'!F:F, 'Daily P&amp;L breakdown'!$A:$A, "&gt;=" &amp; EOMONTH($A33, -1) + 1, 'Daily P&amp;L breakdown'!$A:$A, "&lt;=" &amp; EOMONTH($A33, 0))</f>
        <v>370057.70999999996</v>
      </c>
      <c r="G33" s="154">
        <f>SUMIFS('Daily P&amp;L breakdown'!G:G, 'Daily P&amp;L breakdown'!$A:$A, "&gt;=" &amp; EOMONTH($A33, -1) + 1, 'Daily P&amp;L breakdown'!$A:$A, "&lt;=" &amp; EOMONTH($A33, 0))</f>
        <v>71325</v>
      </c>
      <c r="H33" s="154">
        <f>SUMIFS('Daily P&amp;L breakdown'!H:H, 'Daily P&amp;L breakdown'!$A:$A, "&gt;=" &amp; EOMONTH($A33, -1) + 1, 'Daily P&amp;L breakdown'!$A:$A, "&lt;=" &amp; EOMONTH($A33, 0))</f>
        <v>128100.14000000001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-498513.4153772</v>
      </c>
      <c r="K33" s="154">
        <f t="shared" ref="K33:K44" si="2">SUM(B33:J33)</f>
        <v>1765987.3646228006</v>
      </c>
      <c r="L33" s="154">
        <f>SUM(Email!$T$9:$T$11)-K33</f>
        <v>492761.04355869489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397</v>
      </c>
      <c r="B45" s="164">
        <f t="shared" ref="B45:I45" si="3">SUM(B33:B44)</f>
        <v>597762.07999999996</v>
      </c>
      <c r="C45" s="164">
        <f>SUM(C33:C44)</f>
        <v>1848245.5100000002</v>
      </c>
      <c r="D45" s="164">
        <f>SUM(D33:D44)</f>
        <v>-677655.9</v>
      </c>
      <c r="E45" s="164">
        <f t="shared" si="3"/>
        <v>-73333.760000000009</v>
      </c>
      <c r="F45" s="164">
        <f t="shared" si="3"/>
        <v>370057.70999999996</v>
      </c>
      <c r="G45" s="164">
        <f t="shared" si="3"/>
        <v>71325</v>
      </c>
      <c r="H45" s="164">
        <f t="shared" si="3"/>
        <v>128100.14000000001</v>
      </c>
      <c r="I45" s="164">
        <f t="shared" si="3"/>
        <v>0</v>
      </c>
      <c r="J45" s="164">
        <f>SUM(J33:J44)</f>
        <v>-498513.4153772</v>
      </c>
      <c r="K45" s="164">
        <f>SUM(K33:K44)</f>
        <v>1765987.3646228006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10" t="s">
        <v>154</v>
      </c>
      <c r="B48" s="310"/>
      <c r="C48" s="310"/>
      <c r="D48" s="310"/>
      <c r="E48" s="310"/>
      <c r="F48" s="310"/>
      <c r="G48" s="310"/>
      <c r="H48" s="310"/>
      <c r="I48" s="310"/>
      <c r="J48" s="310"/>
      <c r="K48" s="310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9.4499671333857192E-3</v>
      </c>
      <c r="C50" s="299">
        <f>C33/'Historical NAV'!$B$1169</f>
        <v>2.9218747572491932E-2</v>
      </c>
      <c r="D50" s="299">
        <f>D33/'Historical NAV'!$B$1169</f>
        <v>-1.0713001371289594E-2</v>
      </c>
      <c r="E50" s="299">
        <f>E33/'Historical NAV'!$B$1169</f>
        <v>-1.1593268374728561E-3</v>
      </c>
      <c r="F50" s="299">
        <f>F33/'Historical NAV'!$B$1169</f>
        <v>5.8502091617387026E-3</v>
      </c>
      <c r="G50" s="299">
        <f>G33/'Historical NAV'!$B$1169</f>
        <v>1.1275705307180683E-3</v>
      </c>
      <c r="H50" s="299">
        <f>H33/'Historical NAV'!$B$1169</f>
        <v>2.025123629090205E-3</v>
      </c>
      <c r="I50" s="299">
        <f>I33/'Historical NAV'!$B$1169</f>
        <v>0</v>
      </c>
      <c r="J50" s="299">
        <f>J33/'Historical NAV'!$B$1169</f>
        <v>-7.8809538920006483E-3</v>
      </c>
      <c r="K50" s="299">
        <f>K33/'Historical NAV'!$B$1169</f>
        <v>2.7918335926661538E-2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397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20"/>
  <sheetViews>
    <sheetView zoomScale="85" zoomScaleNormal="85" workbookViewId="0">
      <pane xSplit="1" ySplit="1" topLeftCell="B1153" activePane="bottomRight" state="frozen"/>
      <selection pane="topRight" activeCell="B1" sqref="B1"/>
      <selection pane="bottomLeft" activeCell="A2" sqref="A2"/>
      <selection pane="bottomRight" activeCell="J1180" sqref="J1180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314</v>
      </c>
      <c r="I1" s="128" t="s">
        <v>313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 t="shared" ref="X1169:X1174" si="654">4.5%/252</f>
        <v>1.7857142857142857E-4</v>
      </c>
      <c r="Y1169" s="139">
        <f t="shared" ref="Y1169:Y1174" si="655">G1169-X1169</f>
        <v>1.4576521729915824E-2</v>
      </c>
      <c r="Z1169" s="139">
        <f t="shared" ref="Z1169:Z1174" si="656">IF(Y1169&lt;0,Y1169,0)</f>
        <v>0</v>
      </c>
      <c r="AA1169" s="139">
        <f t="shared" ref="AA1169:AA1174" si="657">Z1169^2</f>
        <v>0</v>
      </c>
      <c r="AB1169" s="144">
        <f t="shared" ref="AB1169:AB1174" si="658">AVERAGE(Y918:Y1169)/AVERAGE(AA918:AA1169)</f>
        <v>3.6258925045756674</v>
      </c>
      <c r="AC1169" s="144">
        <f t="shared" ref="AC1169:AC1174" si="659">AVERAGE(G1140:G1169)-_xlfn.NORM.S.INV(0.95)*_xlfn.STDEV.S(G1140:G1169)</f>
        <v>-3.5720995633261907E-2</v>
      </c>
      <c r="AD1169" s="144">
        <f t="shared" ref="AD1169:AD1174" si="660">AVERAGE(G1080:G1169)-_xlfn.NORM.S.INV(0.95)*_xlfn.STDEV.S(G1080:G1169)</f>
        <v>-4.2707219794095565E-2</v>
      </c>
      <c r="AE1169" s="144">
        <f t="shared" ref="AE1169:AE1174" si="661"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62">IF(WEEKNUM(A1170)=WEEKNUM(A1169),H1169+F1170,F1170)</f>
        <v>4143329.8569345027</v>
      </c>
      <c r="I1170" s="70">
        <f t="shared" ref="I1170" si="663">IF(WEEKNUM(A1170)=WEEKNUM(A1169),I1169+G1170,G1170)</f>
        <v>6.3647245670425387E-2</v>
      </c>
      <c r="J1170" s="67">
        <f t="shared" si="634"/>
        <v>4143329.8569345027</v>
      </c>
      <c r="K1170" s="70">
        <f t="shared" ref="K1170" si="664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65">B1170-C1170-D1139</f>
        <v>-7617739.5788531974</v>
      </c>
      <c r="R1170" s="70">
        <f t="shared" si="638"/>
        <v>-0.1029898827294623</v>
      </c>
      <c r="S1170" s="67">
        <f t="shared" ref="S1170" si="666">B1170-C1170-D1081</f>
        <v>4143154.3156563044</v>
      </c>
      <c r="T1170" s="70">
        <f t="shared" ref="T1170" si="667">S1170/B1079</f>
        <v>6.7490684557604708E-2</v>
      </c>
      <c r="U1170" s="67">
        <f t="shared" ref="U1170" si="668">B1170-C1170-D806</f>
        <v>29208381.7683786</v>
      </c>
      <c r="V1170" s="70">
        <f t="shared" ref="V1170" si="669">U1170/B804</f>
        <v>0.76876882840168581</v>
      </c>
      <c r="W1170" s="87">
        <f t="shared" ref="W1170" si="670">O1170/P1170</f>
        <v>20.928532634708816</v>
      </c>
      <c r="X1170" s="142">
        <f t="shared" si="654"/>
        <v>1.7857142857142857E-4</v>
      </c>
      <c r="Y1170" s="139">
        <f t="shared" si="655"/>
        <v>4.8713581083366701E-2</v>
      </c>
      <c r="Z1170" s="139">
        <f t="shared" si="656"/>
        <v>0</v>
      </c>
      <c r="AA1170" s="139">
        <f t="shared" si="657"/>
        <v>0</v>
      </c>
      <c r="AB1170" s="144">
        <f t="shared" si="658"/>
        <v>4.0645772559263671</v>
      </c>
      <c r="AC1170" s="144">
        <f t="shared" si="659"/>
        <v>-3.7339738841182642E-2</v>
      </c>
      <c r="AD1170" s="144">
        <f t="shared" si="660"/>
        <v>-4.2519725913316257E-2</v>
      </c>
      <c r="AE1170" s="144">
        <f t="shared" si="661"/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71">B1171</f>
        <v>68445979.203684106</v>
      </c>
      <c r="E1171" s="67">
        <f t="shared" ref="E1171" si="672">IF(MONTH(A1171)=MONTH(A1170),E1170,D1170)</f>
        <v>71204832.621444106</v>
      </c>
      <c r="F1171" s="67">
        <f t="shared" ref="F1171" si="673">B1171-C1171-D1170</f>
        <v>2097816.7253055051</v>
      </c>
      <c r="G1171" s="70">
        <f t="shared" ref="G1171" si="674">F1171/B1170</f>
        <v>3.1618309338847739E-2</v>
      </c>
      <c r="H1171" s="67">
        <f t="shared" ref="H1171" si="675">IF(WEEKNUM(A1171)=WEEKNUM(A1170),H1170+F1171,F1171)</f>
        <v>2097816.7253055051</v>
      </c>
      <c r="I1171" s="70">
        <f t="shared" ref="I1171" si="676">IF(WEEKNUM(A1171)=WEEKNUM(A1170),I1170+G1171,G1171)</f>
        <v>3.1618309338847739E-2</v>
      </c>
      <c r="J1171" s="67">
        <f t="shared" ref="J1171" si="677">IF(MONTH(A1171)=MONTH(A1170),J1170+F1171,F1171)</f>
        <v>6241146.5822400078</v>
      </c>
      <c r="K1171" s="70">
        <f t="shared" ref="K1171" si="678">(1+K1170)*(1+G1171)-1</f>
        <v>9.8022191286162297E-2</v>
      </c>
      <c r="L1171" s="70">
        <f t="shared" ref="L1171" si="679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80">B1171-C1171-D1140</f>
        <v>-6910836.8264842927</v>
      </c>
      <c r="R1171" s="70">
        <f t="shared" ref="R1171" si="681">Q1171/B1140</f>
        <v>-9.170818501298679E-2</v>
      </c>
      <c r="S1171" s="67">
        <f t="shared" ref="S1171" si="682">B1171-C1171-D1082</f>
        <v>6484589.5090664029</v>
      </c>
      <c r="T1171" s="70">
        <f t="shared" ref="T1171" si="683">S1171/B1080</f>
        <v>0.10760327750293322</v>
      </c>
      <c r="U1171" s="67">
        <f t="shared" ref="U1171" si="684">B1171-C1171-D807</f>
        <v>31386107.883684106</v>
      </c>
      <c r="V1171" s="70">
        <f t="shared" ref="V1171" si="685">U1171/B805</f>
        <v>0.83096640923227583</v>
      </c>
      <c r="W1171" s="87">
        <f t="shared" ref="W1171" si="686">O1171/P1171</f>
        <v>29.53305221224656</v>
      </c>
      <c r="X1171" s="142">
        <f t="shared" si="654"/>
        <v>1.7857142857142857E-4</v>
      </c>
      <c r="Y1171" s="139">
        <f t="shared" si="655"/>
        <v>3.1439737910276308E-2</v>
      </c>
      <c r="Z1171" s="139">
        <f t="shared" si="656"/>
        <v>0</v>
      </c>
      <c r="AA1171" s="139">
        <f t="shared" si="657"/>
        <v>0</v>
      </c>
      <c r="AB1171" s="144">
        <f t="shared" si="658"/>
        <v>4.3254567103167609</v>
      </c>
      <c r="AC1171" s="144">
        <f t="shared" si="659"/>
        <v>-3.7314732757482927E-2</v>
      </c>
      <c r="AD1171" s="144">
        <f t="shared" si="660"/>
        <v>-4.2515005310440189E-2</v>
      </c>
      <c r="AE1171" s="144">
        <f t="shared" si="661"/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87">B1172</f>
        <v>64784770.194913499</v>
      </c>
      <c r="E1172" s="67">
        <f t="shared" ref="E1172" si="688">IF(MONTH(A1172)=MONTH(A1171),E1171,D1171)</f>
        <v>71204832.621444106</v>
      </c>
      <c r="F1172" s="67">
        <f t="shared" ref="F1172" si="689">B1172-C1172-D1171</f>
        <v>-3661209.0087706074</v>
      </c>
      <c r="G1172" s="70">
        <f t="shared" ref="G1172" si="690">F1172/B1171</f>
        <v>-5.3490490622910732E-2</v>
      </c>
      <c r="H1172" s="67">
        <f t="shared" ref="H1172" si="691">IF(WEEKNUM(A1172)=WEEKNUM(A1171),H1171+F1172,F1172)</f>
        <v>-1563392.2834651023</v>
      </c>
      <c r="I1172" s="70">
        <f t="shared" ref="I1172" si="692">IF(WEEKNUM(A1172)=WEEKNUM(A1171),I1171+G1172,G1172)</f>
        <v>-2.1872181284062993E-2</v>
      </c>
      <c r="J1172" s="67">
        <f t="shared" ref="J1172" si="693">IF(MONTH(A1172)=MONTH(A1171),J1171+F1172,F1172)</f>
        <v>2579937.5734694004</v>
      </c>
      <c r="K1172" s="70">
        <f t="shared" ref="K1172" si="694">(1+K1171)*(1+G1172)-1</f>
        <v>3.9288445559421792E-2</v>
      </c>
      <c r="L1172" s="70">
        <f t="shared" ref="L1172" si="695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96">B1172-C1172-D1141</f>
        <v>-10346761.451548494</v>
      </c>
      <c r="R1172" s="70">
        <f t="shared" ref="R1172" si="697">Q1172/B1141</f>
        <v>-0.13771530041788696</v>
      </c>
      <c r="S1172" s="67">
        <f t="shared" ref="S1172" si="698">B1172-C1172-D1083</f>
        <v>9086137.0878186002</v>
      </c>
      <c r="T1172" s="70">
        <f t="shared" ref="T1172" si="699">S1172/B1081</f>
        <v>0.1460676134636964</v>
      </c>
      <c r="U1172" s="67">
        <f t="shared" ref="U1172" si="700">B1172-C1172-D808</f>
        <v>28275076.124913499</v>
      </c>
      <c r="V1172" s="70">
        <f t="shared" ref="V1172" si="701">U1172/B806</f>
        <v>0.76131510699255012</v>
      </c>
      <c r="W1172" s="87">
        <f t="shared" ref="W1172" si="702">O1172/P1172</f>
        <v>3.6970726031204766</v>
      </c>
      <c r="X1172" s="142">
        <f t="shared" si="654"/>
        <v>1.7857142857142857E-4</v>
      </c>
      <c r="Y1172" s="139">
        <f t="shared" si="655"/>
        <v>-5.3669062051482162E-2</v>
      </c>
      <c r="Z1172" s="139">
        <f t="shared" si="656"/>
        <v>-5.3669062051482162E-2</v>
      </c>
      <c r="AA1172" s="139">
        <f t="shared" si="657"/>
        <v>2.8803682214858426E-3</v>
      </c>
      <c r="AB1172" s="144">
        <f t="shared" si="658"/>
        <v>3.980021491647856</v>
      </c>
      <c r="AC1172" s="144">
        <f t="shared" si="659"/>
        <v>-4.1509870763346807E-2</v>
      </c>
      <c r="AD1172" s="144">
        <f t="shared" si="660"/>
        <v>-4.4096934747222268E-2</v>
      </c>
      <c r="AE1172" s="144">
        <f t="shared" si="661"/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703">B1173</f>
        <v>64378423.867367402</v>
      </c>
      <c r="E1173" s="67">
        <f t="shared" ref="E1173" si="704">IF(MONTH(A1173)=MONTH(A1172),E1172,D1172)</f>
        <v>71204832.621444106</v>
      </c>
      <c r="F1173" s="67">
        <f t="shared" ref="F1173" si="705">B1173-C1173-D1172</f>
        <v>-406346.32754609734</v>
      </c>
      <c r="G1173" s="70">
        <f t="shared" ref="G1173" si="706">F1173/B1172</f>
        <v>-6.2722508133246594E-3</v>
      </c>
      <c r="H1173" s="67">
        <f t="shared" ref="H1173" si="707">IF(WEEKNUM(A1173)=WEEKNUM(A1172),H1172+F1173,F1173)</f>
        <v>-1969738.6110111997</v>
      </c>
      <c r="I1173" s="70">
        <f t="shared" ref="I1173" si="708">IF(WEEKNUM(A1173)=WEEKNUM(A1172),I1172+G1173,G1173)</f>
        <v>-2.8144432097387651E-2</v>
      </c>
      <c r="J1173" s="67">
        <f t="shared" ref="J1173" si="709">IF(MONTH(A1173)=MONTH(A1172),J1172+F1173,F1173)</f>
        <v>2173591.2459233031</v>
      </c>
      <c r="K1173" s="70">
        <f t="shared" ref="K1173" si="710">(1+K1172)*(1+G1173)-1</f>
        <v>3.2769767761482882E-2</v>
      </c>
      <c r="L1173" s="70">
        <f t="shared" ref="L1173" si="711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12">B1173-C1173-D1142</f>
        <v>-9402758.5361699015</v>
      </c>
      <c r="R1173" s="70">
        <f t="shared" ref="R1173" si="713">Q1173/B1142</f>
        <v>-0.1274411473205003</v>
      </c>
      <c r="S1173" s="67">
        <f t="shared" ref="S1173" si="714">B1173-C1173-D1084</f>
        <v>9996913.5013853982</v>
      </c>
      <c r="T1173" s="70">
        <f t="shared" ref="T1173" si="715">S1173/B1082</f>
        <v>0.16134101495554068</v>
      </c>
      <c r="U1173" s="67">
        <f t="shared" ref="U1173" si="716">B1173-C1173-D809</f>
        <v>27303160.557367399</v>
      </c>
      <c r="V1173" s="70">
        <f t="shared" ref="V1173" si="717">U1173/B807</f>
        <v>0.73673112142277664</v>
      </c>
      <c r="W1173" s="87">
        <f t="shared" ref="W1173" si="718">O1173/P1173</f>
        <v>2.8501143602360983</v>
      </c>
      <c r="X1173" s="142">
        <f t="shared" si="654"/>
        <v>1.7857142857142857E-4</v>
      </c>
      <c r="Y1173" s="139">
        <f t="shared" si="655"/>
        <v>-6.4508222418960884E-3</v>
      </c>
      <c r="Z1173" s="139">
        <f t="shared" si="656"/>
        <v>-6.4508222418960884E-3</v>
      </c>
      <c r="AA1173" s="139">
        <f t="shared" si="657"/>
        <v>4.1613107596541278E-5</v>
      </c>
      <c r="AB1173" s="144">
        <f t="shared" si="658"/>
        <v>4.0325194488371947</v>
      </c>
      <c r="AC1173" s="144">
        <f t="shared" si="659"/>
        <v>-4.1851469353405141E-2</v>
      </c>
      <c r="AD1173" s="144">
        <f t="shared" si="660"/>
        <v>-3.9396627891970681E-2</v>
      </c>
      <c r="AE1173" s="144">
        <f t="shared" si="661"/>
        <v>-4.8183344302418128E-2</v>
      </c>
    </row>
    <row r="1174" spans="1:31">
      <c r="A1174" s="88">
        <v>45666</v>
      </c>
      <c r="B1174" s="78">
        <v>64340660.011150397</v>
      </c>
      <c r="D1174" s="67">
        <f t="shared" ref="D1174" si="719">B1174</f>
        <v>64340660.011150397</v>
      </c>
      <c r="E1174" s="67">
        <f t="shared" ref="E1174" si="720">IF(MONTH(A1174)=MONTH(A1173),E1173,D1173)</f>
        <v>71204832.621444106</v>
      </c>
      <c r="F1174" s="67">
        <f t="shared" ref="F1174" si="721">B1174-C1174-D1173</f>
        <v>-37763.856217004359</v>
      </c>
      <c r="G1174" s="70">
        <f t="shared" ref="G1174" si="722">F1174/B1173</f>
        <v>-5.8659181055450429E-4</v>
      </c>
      <c r="H1174" s="67">
        <f t="shared" ref="H1174" si="723">IF(WEEKNUM(A1174)=WEEKNUM(A1173),H1173+F1174,F1174)</f>
        <v>-2007502.467228204</v>
      </c>
      <c r="I1174" s="70">
        <f t="shared" ref="I1174" si="724">IF(WEEKNUM(A1174)=WEEKNUM(A1173),I1173+G1174,G1174)</f>
        <v>-2.8731023907942153E-2</v>
      </c>
      <c r="J1174" s="67">
        <f t="shared" ref="J1174" si="725">IF(MONTH(A1174)=MONTH(A1173),J1173+F1174,F1174)</f>
        <v>2135827.3897062987</v>
      </c>
      <c r="K1174" s="70">
        <f t="shared" ref="K1174" si="726">(1+K1173)*(1+G1174)-1</f>
        <v>3.216395347352563E-2</v>
      </c>
      <c r="L1174" s="70">
        <f t="shared" ref="L1174" si="727">1+G1174</f>
        <v>0.99941340818944546</v>
      </c>
      <c r="M1174" s="70">
        <f>PRODUCT($L$2:L1174)-1</f>
        <v>0.6464430887827568</v>
      </c>
      <c r="N1174" s="70">
        <f>PRODUCT($L$1169:L1174)-1</f>
        <v>3.216395347352563E-2</v>
      </c>
      <c r="O1174" s="70">
        <f>AVERAGE($G$1169:G1174)*252</f>
        <v>1.4664813140242958</v>
      </c>
      <c r="P1174" s="70">
        <f>STDEV($G$1169:G1174)*252^0.5</f>
        <v>0.56373952416782558</v>
      </c>
      <c r="Q1174" s="67">
        <f t="shared" ref="Q1174" si="728">B1174-C1174-D1143</f>
        <v>-9648307.5048066005</v>
      </c>
      <c r="R1174" s="70">
        <f t="shared" ref="R1174" si="729">Q1174/B1143</f>
        <v>-0.13040197516914634</v>
      </c>
      <c r="S1174" s="67">
        <f t="shared" ref="S1174" si="730">B1174-C1174-D1085</f>
        <v>9906053.5334718972</v>
      </c>
      <c r="T1174" s="70">
        <f t="shared" ref="T1174" si="731">S1174/B1083</f>
        <v>0.17785092704923244</v>
      </c>
      <c r="U1174" s="67">
        <f t="shared" ref="U1174" si="732">B1174-C1174-D810</f>
        <v>28045188.851150401</v>
      </c>
      <c r="V1174" s="70">
        <f t="shared" ref="V1174" si="733">U1174/B808</f>
        <v>0.7681573227477444</v>
      </c>
      <c r="W1174" s="87">
        <f t="shared" ref="W1174" si="734">O1174/P1174</f>
        <v>2.6013455703484141</v>
      </c>
      <c r="X1174" s="142">
        <f t="shared" si="654"/>
        <v>1.7857142857142857E-4</v>
      </c>
      <c r="Y1174" s="139">
        <f t="shared" si="655"/>
        <v>-7.6516323912593283E-4</v>
      </c>
      <c r="Z1174" s="139">
        <f t="shared" si="656"/>
        <v>-7.6516323912593283E-4</v>
      </c>
      <c r="AA1174" s="139">
        <f t="shared" si="657"/>
        <v>5.8547478250968942E-7</v>
      </c>
      <c r="AB1174" s="144">
        <f t="shared" si="658"/>
        <v>3.9807376933868746</v>
      </c>
      <c r="AC1174" s="144">
        <f t="shared" si="659"/>
        <v>-4.1630720012298304E-2</v>
      </c>
      <c r="AD1174" s="144">
        <f t="shared" si="660"/>
        <v>-3.8880118810897604E-2</v>
      </c>
      <c r="AE1174" s="144">
        <f t="shared" si="661"/>
        <v>-4.8214814201420403E-2</v>
      </c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B1196" s="7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A1197" s="88"/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4:31">
      <c r="D1220" s="67"/>
      <c r="E1220" s="67"/>
      <c r="F1220" s="67"/>
      <c r="G1220" s="70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tabSelected="1" zoomScaleNormal="100" workbookViewId="0">
      <pane ySplit="2" topLeftCell="A51" activePane="bottomLeft" state="frozen"/>
      <selection activeCell="B1099" sqref="B1099"/>
      <selection pane="bottomLeft" activeCell="A68" sqref="A68:XFD68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09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06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0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</v>
      </c>
      <c r="F3" s="153">
        <v>4180000</v>
      </c>
      <c r="G3" s="153">
        <v>7.7790742901594712</v>
      </c>
      <c r="H3" s="153">
        <v>537339</v>
      </c>
      <c r="I3" s="218">
        <v>0.27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254.4</v>
      </c>
      <c r="F4" s="153">
        <v>6487200</v>
      </c>
      <c r="G4" s="153">
        <v>7.7790742901594712</v>
      </c>
      <c r="H4" s="153">
        <v>833929.56</v>
      </c>
      <c r="I4" s="218">
        <v>0.42</v>
      </c>
      <c r="J4"/>
      <c r="K4"/>
    </row>
    <row r="5" spans="1:11">
      <c r="A5" s="221">
        <v>1288</v>
      </c>
      <c r="B5" s="153" t="s">
        <v>138</v>
      </c>
      <c r="C5" s="153" t="s">
        <v>33</v>
      </c>
      <c r="D5" s="153">
        <v>2625000</v>
      </c>
      <c r="E5" s="153">
        <v>4.26</v>
      </c>
      <c r="F5" s="153">
        <v>11182500</v>
      </c>
      <c r="G5" s="153">
        <v>7.7790742901594712</v>
      </c>
      <c r="H5" s="153">
        <v>1437510.38</v>
      </c>
      <c r="I5" s="218">
        <v>0.73</v>
      </c>
      <c r="J5"/>
      <c r="K5"/>
    </row>
    <row r="6" spans="1:11">
      <c r="A6" s="221">
        <v>1810</v>
      </c>
      <c r="B6" s="153" t="s">
        <v>138</v>
      </c>
      <c r="C6" s="153" t="s">
        <v>33</v>
      </c>
      <c r="D6" s="153">
        <v>150000</v>
      </c>
      <c r="E6" s="153">
        <v>32.799999999999997</v>
      </c>
      <c r="F6" s="153">
        <v>4920000</v>
      </c>
      <c r="G6" s="153">
        <v>7.7790742901594712</v>
      </c>
      <c r="H6" s="153">
        <v>632466</v>
      </c>
      <c r="I6" s="218">
        <v>0.32</v>
      </c>
      <c r="J6"/>
      <c r="K6"/>
    </row>
    <row r="7" spans="1:11">
      <c r="A7" s="221">
        <v>2020</v>
      </c>
      <c r="B7" s="153" t="s">
        <v>138</v>
      </c>
      <c r="C7" s="153" t="s">
        <v>33</v>
      </c>
      <c r="D7" s="153">
        <v>5000</v>
      </c>
      <c r="E7" s="153">
        <v>75.25</v>
      </c>
      <c r="F7" s="153">
        <v>376250</v>
      </c>
      <c r="G7" s="153">
        <v>7.7790742901594712</v>
      </c>
      <c r="H7" s="153">
        <v>48366.94</v>
      </c>
      <c r="I7" s="218">
        <v>0.02</v>
      </c>
      <c r="J7"/>
      <c r="K7"/>
    </row>
    <row r="8" spans="1:11">
      <c r="A8" s="221">
        <v>2318</v>
      </c>
      <c r="B8" s="153" t="s">
        <v>138</v>
      </c>
      <c r="C8" s="153" t="s">
        <v>33</v>
      </c>
      <c r="D8" s="153">
        <v>125000</v>
      </c>
      <c r="E8" s="153">
        <v>43.05</v>
      </c>
      <c r="F8" s="153">
        <v>5381250</v>
      </c>
      <c r="G8" s="153">
        <v>7.7790742901594712</v>
      </c>
      <c r="H8" s="153">
        <v>691759.69</v>
      </c>
      <c r="I8" s="218">
        <v>0.35</v>
      </c>
      <c r="J8"/>
      <c r="K8"/>
    </row>
    <row r="9" spans="1:11">
      <c r="A9" s="221">
        <v>2359</v>
      </c>
      <c r="B9" s="153" t="s">
        <v>138</v>
      </c>
      <c r="C9" s="153" t="s">
        <v>33</v>
      </c>
      <c r="D9" s="153">
        <v>20000</v>
      </c>
      <c r="E9" s="153">
        <v>51.1</v>
      </c>
      <c r="F9" s="153">
        <v>1022000</v>
      </c>
      <c r="G9" s="153">
        <v>7.7790742901594712</v>
      </c>
      <c r="H9" s="153">
        <v>131378.1</v>
      </c>
      <c r="I9" s="218">
        <v>6.9999999999999993E-2</v>
      </c>
      <c r="J9"/>
      <c r="K9"/>
    </row>
    <row r="10" spans="1:1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71.48</v>
      </c>
      <c r="F10" s="153">
        <v>31093800</v>
      </c>
      <c r="G10" s="153">
        <v>7.7790742901594712</v>
      </c>
      <c r="H10" s="153">
        <v>3997107.99</v>
      </c>
      <c r="I10" s="218">
        <v>2.0299999999999998</v>
      </c>
      <c r="J10"/>
      <c r="K10"/>
    </row>
    <row r="11" spans="1:1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9.02</v>
      </c>
      <c r="F11" s="153">
        <v>5412000</v>
      </c>
      <c r="G11" s="153">
        <v>7.7790742901594712</v>
      </c>
      <c r="H11" s="153">
        <v>695712.6</v>
      </c>
      <c r="I11" s="218">
        <v>0.35</v>
      </c>
      <c r="J11"/>
      <c r="K11"/>
    </row>
    <row r="12" spans="1:1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146.69999999999999</v>
      </c>
      <c r="F12" s="153">
        <v>1833750</v>
      </c>
      <c r="G12" s="153">
        <v>7.7790742901594712</v>
      </c>
      <c r="H12" s="153">
        <v>235728.56</v>
      </c>
      <c r="I12" s="218">
        <v>0.12</v>
      </c>
      <c r="J12"/>
      <c r="K12"/>
    </row>
    <row r="13" spans="1:11">
      <c r="A13" s="221" t="s">
        <v>291</v>
      </c>
      <c r="B13" s="153" t="s">
        <v>138</v>
      </c>
      <c r="C13" s="153" t="s">
        <v>34</v>
      </c>
      <c r="D13" s="153">
        <v>10000</v>
      </c>
      <c r="E13" s="153">
        <v>1554</v>
      </c>
      <c r="F13" s="153">
        <v>15540000</v>
      </c>
      <c r="G13" s="153">
        <v>158.35312747426761</v>
      </c>
      <c r="H13" s="153">
        <v>98135.1</v>
      </c>
      <c r="I13" s="218">
        <v>0.05</v>
      </c>
      <c r="J13"/>
      <c r="K13"/>
    </row>
    <row r="14" spans="1:11">
      <c r="A14" s="221" t="s">
        <v>288</v>
      </c>
      <c r="B14" s="153" t="s">
        <v>138</v>
      </c>
      <c r="C14" s="153" t="s">
        <v>34</v>
      </c>
      <c r="D14" s="153">
        <v>15000</v>
      </c>
      <c r="E14" s="153">
        <v>3965</v>
      </c>
      <c r="F14" s="153">
        <v>59475000</v>
      </c>
      <c r="G14" s="153">
        <v>158.35312747426761</v>
      </c>
      <c r="H14" s="153">
        <v>375584.62</v>
      </c>
      <c r="I14" s="218">
        <v>0.19</v>
      </c>
      <c r="J14"/>
      <c r="K14"/>
    </row>
    <row r="15" spans="1:11">
      <c r="A15" s="221">
        <v>688</v>
      </c>
      <c r="B15" s="153" t="s">
        <v>138</v>
      </c>
      <c r="C15" s="153" t="s">
        <v>33</v>
      </c>
      <c r="D15" s="153">
        <v>240000</v>
      </c>
      <c r="E15" s="153">
        <v>12.12</v>
      </c>
      <c r="F15" s="153">
        <v>2908800</v>
      </c>
      <c r="G15" s="153">
        <v>7.7790742901594712</v>
      </c>
      <c r="H15" s="153">
        <v>373926.24</v>
      </c>
      <c r="I15" s="218">
        <v>0.19</v>
      </c>
      <c r="J15"/>
      <c r="K15"/>
    </row>
    <row r="16" spans="1:11">
      <c r="A16" s="221">
        <v>700</v>
      </c>
      <c r="B16" s="153" t="s">
        <v>138</v>
      </c>
      <c r="C16" s="153" t="s">
        <v>33</v>
      </c>
      <c r="D16" s="153">
        <v>41500</v>
      </c>
      <c r="E16" s="153">
        <v>369.2</v>
      </c>
      <c r="F16" s="153">
        <v>15321800</v>
      </c>
      <c r="G16" s="153">
        <v>7.7790742901594712</v>
      </c>
      <c r="H16" s="153">
        <v>1969617.39</v>
      </c>
      <c r="I16" s="218">
        <v>1</v>
      </c>
      <c r="J16"/>
      <c r="K16"/>
    </row>
    <row r="17" spans="1:11">
      <c r="A17" s="221" t="s">
        <v>424</v>
      </c>
      <c r="B17" s="153" t="s">
        <v>140</v>
      </c>
      <c r="C17" s="153" t="s">
        <v>33</v>
      </c>
      <c r="D17" s="153">
        <v>-15</v>
      </c>
      <c r="E17" s="153">
        <v>10.89</v>
      </c>
      <c r="F17" s="153">
        <v>-163.35</v>
      </c>
      <c r="G17" s="153">
        <v>7.7790742901594712</v>
      </c>
      <c r="H17" s="153">
        <v>-21</v>
      </c>
      <c r="I17" s="218">
        <v>0</v>
      </c>
      <c r="J17"/>
      <c r="K17"/>
    </row>
    <row r="18" spans="1:11">
      <c r="A18" s="221" t="s">
        <v>425</v>
      </c>
      <c r="B18" s="153" t="s">
        <v>140</v>
      </c>
      <c r="C18" s="153" t="s">
        <v>38</v>
      </c>
      <c r="D18" s="153">
        <v>-15</v>
      </c>
      <c r="E18" s="153">
        <v>17.3</v>
      </c>
      <c r="F18" s="153">
        <v>-259.5</v>
      </c>
      <c r="G18" s="153">
        <v>1</v>
      </c>
      <c r="H18" s="153">
        <v>-259.5</v>
      </c>
      <c r="I18" s="218">
        <v>0</v>
      </c>
      <c r="J18"/>
      <c r="K18"/>
    </row>
    <row r="19" spans="1:11">
      <c r="A19" s="221">
        <v>883</v>
      </c>
      <c r="B19" s="153" t="s">
        <v>138</v>
      </c>
      <c r="C19" s="153" t="s">
        <v>33</v>
      </c>
      <c r="D19" s="153">
        <v>500000</v>
      </c>
      <c r="E19" s="153">
        <v>19.02</v>
      </c>
      <c r="F19" s="153">
        <v>9510000</v>
      </c>
      <c r="G19" s="153">
        <v>7.7790742901594712</v>
      </c>
      <c r="H19" s="153">
        <v>1222510.5</v>
      </c>
      <c r="I19" s="218">
        <v>0.62</v>
      </c>
      <c r="J19"/>
      <c r="K19"/>
    </row>
    <row r="20" spans="1:11">
      <c r="A20" s="221">
        <v>941</v>
      </c>
      <c r="B20" s="153" t="s">
        <v>138</v>
      </c>
      <c r="C20" s="153" t="s">
        <v>33</v>
      </c>
      <c r="D20" s="153">
        <v>125000</v>
      </c>
      <c r="E20" s="153">
        <v>75.3</v>
      </c>
      <c r="F20" s="153">
        <v>9412500</v>
      </c>
      <c r="G20" s="153">
        <v>7.7790742901594712</v>
      </c>
      <c r="H20" s="153">
        <v>1209976.8799999999</v>
      </c>
      <c r="I20" s="218">
        <v>0.61</v>
      </c>
      <c r="J20"/>
      <c r="K20"/>
    </row>
    <row r="21" spans="1:11">
      <c r="A21" s="221">
        <v>9618</v>
      </c>
      <c r="B21" s="153" t="s">
        <v>138</v>
      </c>
      <c r="C21" s="153" t="s">
        <v>33</v>
      </c>
      <c r="D21" s="153">
        <v>12500</v>
      </c>
      <c r="E21" s="153">
        <v>135.30000000000001</v>
      </c>
      <c r="F21" s="153">
        <v>1691250</v>
      </c>
      <c r="G21" s="153">
        <v>7.7790742901594712</v>
      </c>
      <c r="H21" s="153">
        <v>217410.19</v>
      </c>
      <c r="I21" s="218">
        <v>0.11</v>
      </c>
      <c r="J21"/>
      <c r="K21"/>
    </row>
    <row r="22" spans="1:11">
      <c r="A22" s="221">
        <v>992</v>
      </c>
      <c r="B22" s="153" t="s">
        <v>138</v>
      </c>
      <c r="C22" s="153" t="s">
        <v>33</v>
      </c>
      <c r="D22" s="153">
        <v>50000</v>
      </c>
      <c r="E22" s="153">
        <v>9.5299999999999994</v>
      </c>
      <c r="F22" s="153">
        <v>476499.99999999988</v>
      </c>
      <c r="G22" s="153">
        <v>7.7790742901594712</v>
      </c>
      <c r="H22" s="153">
        <v>61254.07</v>
      </c>
      <c r="I22" s="218">
        <v>0.03</v>
      </c>
      <c r="J22"/>
      <c r="K22"/>
    </row>
    <row r="23" spans="1:11">
      <c r="A23" s="221">
        <v>9961</v>
      </c>
      <c r="B23" s="153" t="s">
        <v>138</v>
      </c>
      <c r="C23" s="153" t="s">
        <v>33</v>
      </c>
      <c r="D23" s="153">
        <v>9500</v>
      </c>
      <c r="E23" s="153">
        <v>510.5</v>
      </c>
      <c r="F23" s="153">
        <v>4849750</v>
      </c>
      <c r="G23" s="153">
        <v>7.7790742901594712</v>
      </c>
      <c r="H23" s="153">
        <v>623435.36</v>
      </c>
      <c r="I23" s="218">
        <v>0.32</v>
      </c>
      <c r="J23"/>
      <c r="K23"/>
    </row>
    <row r="24" spans="1:11">
      <c r="A24" s="221">
        <v>9988</v>
      </c>
      <c r="B24" s="153" t="s">
        <v>138</v>
      </c>
      <c r="C24" s="153" t="s">
        <v>33</v>
      </c>
      <c r="D24" s="153">
        <v>30000</v>
      </c>
      <c r="E24" s="153">
        <v>80.900000000000006</v>
      </c>
      <c r="F24" s="153">
        <v>2427000</v>
      </c>
      <c r="G24" s="153">
        <v>7.7790742901594712</v>
      </c>
      <c r="H24" s="153">
        <v>311990.84999999998</v>
      </c>
      <c r="I24" s="218">
        <v>0.16</v>
      </c>
      <c r="J24"/>
      <c r="K24"/>
    </row>
    <row r="25" spans="1:11">
      <c r="A25" s="221" t="s">
        <v>293</v>
      </c>
      <c r="B25" s="153" t="s">
        <v>138</v>
      </c>
      <c r="C25" s="153" t="s">
        <v>37</v>
      </c>
      <c r="D25" s="153">
        <v>500000</v>
      </c>
      <c r="E25" s="153">
        <v>2.5099999999999998</v>
      </c>
      <c r="F25" s="153">
        <v>1255000</v>
      </c>
      <c r="G25" s="153">
        <v>1.367858071046548</v>
      </c>
      <c r="H25" s="153">
        <v>917492.85</v>
      </c>
      <c r="I25" s="218">
        <v>0.47</v>
      </c>
      <c r="J25"/>
      <c r="K25"/>
    </row>
    <row r="26" spans="1:11">
      <c r="A26" s="221" t="s">
        <v>82</v>
      </c>
      <c r="B26" s="153" t="s">
        <v>23</v>
      </c>
      <c r="C26" s="153" t="s">
        <v>38</v>
      </c>
      <c r="D26" s="153">
        <v>2000</v>
      </c>
      <c r="E26" s="153">
        <v>242.7</v>
      </c>
      <c r="F26" s="153">
        <v>485400</v>
      </c>
      <c r="G26" s="153">
        <v>1</v>
      </c>
      <c r="H26" s="153">
        <v>485400</v>
      </c>
      <c r="I26" s="218">
        <v>0.25</v>
      </c>
      <c r="J26"/>
      <c r="K26" s="153"/>
    </row>
    <row r="27" spans="1:11">
      <c r="A27" s="221" t="s">
        <v>367</v>
      </c>
      <c r="B27" s="153" t="s">
        <v>23</v>
      </c>
      <c r="C27" s="153" t="s">
        <v>38</v>
      </c>
      <c r="D27" s="153">
        <v>2000</v>
      </c>
      <c r="E27" s="153">
        <v>222.13</v>
      </c>
      <c r="F27" s="153">
        <v>444260</v>
      </c>
      <c r="G27" s="153">
        <v>1</v>
      </c>
      <c r="H27" s="153">
        <v>444260</v>
      </c>
      <c r="I27" s="218">
        <v>0.23</v>
      </c>
      <c r="J27"/>
      <c r="K27"/>
    </row>
    <row r="28" spans="1:11">
      <c r="A28" s="221" t="s">
        <v>302</v>
      </c>
      <c r="B28" s="153" t="s">
        <v>23</v>
      </c>
      <c r="C28" s="153" t="s">
        <v>38</v>
      </c>
      <c r="D28" s="153">
        <v>1000</v>
      </c>
      <c r="E28" s="153">
        <v>151.62</v>
      </c>
      <c r="F28" s="153">
        <v>151620</v>
      </c>
      <c r="G28" s="153">
        <v>1</v>
      </c>
      <c r="H28" s="153">
        <v>151620</v>
      </c>
      <c r="I28" s="218">
        <v>0.08</v>
      </c>
      <c r="J28"/>
      <c r="K28"/>
    </row>
    <row r="29" spans="1:11">
      <c r="A29" s="221" t="s">
        <v>398</v>
      </c>
      <c r="B29" s="153" t="s">
        <v>140</v>
      </c>
      <c r="C29" s="153" t="s">
        <v>38</v>
      </c>
      <c r="D29" s="153">
        <v>-5</v>
      </c>
      <c r="E29" s="153">
        <v>4</v>
      </c>
      <c r="F29" s="153">
        <v>-20</v>
      </c>
      <c r="G29" s="153">
        <v>1</v>
      </c>
      <c r="H29" s="153">
        <v>-20</v>
      </c>
      <c r="I29" s="218">
        <v>0</v>
      </c>
      <c r="J29"/>
      <c r="K29"/>
    </row>
    <row r="30" spans="1:11">
      <c r="A30" s="221" t="s">
        <v>399</v>
      </c>
      <c r="B30" s="153" t="s">
        <v>140</v>
      </c>
      <c r="C30" s="153" t="s">
        <v>38</v>
      </c>
      <c r="D30" s="153">
        <v>-5</v>
      </c>
      <c r="E30" s="153">
        <v>0.43</v>
      </c>
      <c r="F30" s="153">
        <v>-2.15</v>
      </c>
      <c r="G30" s="153">
        <v>1</v>
      </c>
      <c r="H30" s="153">
        <v>-2.15</v>
      </c>
      <c r="I30" s="218">
        <v>0</v>
      </c>
      <c r="J30"/>
      <c r="K30"/>
    </row>
    <row r="31" spans="1:11">
      <c r="A31" s="221" t="s">
        <v>384</v>
      </c>
      <c r="B31" s="153" t="s">
        <v>23</v>
      </c>
      <c r="C31" s="153" t="s">
        <v>38</v>
      </c>
      <c r="D31" s="153">
        <v>500</v>
      </c>
      <c r="E31" s="153">
        <v>743.98</v>
      </c>
      <c r="F31" s="153">
        <v>371990</v>
      </c>
      <c r="G31" s="153">
        <v>1</v>
      </c>
      <c r="H31" s="153">
        <v>371990</v>
      </c>
      <c r="I31" s="218">
        <v>0.19</v>
      </c>
      <c r="J31"/>
      <c r="K31"/>
    </row>
    <row r="32" spans="1:11">
      <c r="A32" s="221" t="s">
        <v>308</v>
      </c>
      <c r="B32" s="153" t="s">
        <v>138</v>
      </c>
      <c r="C32" s="153" t="s">
        <v>38</v>
      </c>
      <c r="D32" s="153">
        <v>2500</v>
      </c>
      <c r="E32" s="153">
        <v>16.78</v>
      </c>
      <c r="F32" s="153">
        <v>41950</v>
      </c>
      <c r="G32" s="153">
        <v>1</v>
      </c>
      <c r="H32" s="153">
        <v>41950</v>
      </c>
      <c r="I32" s="218">
        <v>0.02</v>
      </c>
      <c r="J32"/>
      <c r="K32"/>
    </row>
    <row r="33" spans="1:11">
      <c r="A33" s="221" t="s">
        <v>296</v>
      </c>
      <c r="B33" s="153" t="s">
        <v>23</v>
      </c>
      <c r="C33" s="153" t="s">
        <v>38</v>
      </c>
      <c r="D33" s="153">
        <v>2000</v>
      </c>
      <c r="E33" s="153">
        <v>451.84</v>
      </c>
      <c r="F33" s="153">
        <v>903680</v>
      </c>
      <c r="G33" s="153">
        <v>1</v>
      </c>
      <c r="H33" s="153">
        <v>903680</v>
      </c>
      <c r="I33" s="218">
        <v>0.46</v>
      </c>
      <c r="J33"/>
      <c r="K33"/>
    </row>
    <row r="34" spans="1:11">
      <c r="A34" s="221" t="s">
        <v>300</v>
      </c>
      <c r="B34" s="153" t="s">
        <v>23</v>
      </c>
      <c r="C34" s="153" t="s">
        <v>38</v>
      </c>
      <c r="D34" s="153">
        <v>1500</v>
      </c>
      <c r="E34" s="153">
        <v>173.97</v>
      </c>
      <c r="F34" s="153">
        <v>260955</v>
      </c>
      <c r="G34" s="153">
        <v>1</v>
      </c>
      <c r="H34" s="153">
        <v>260955</v>
      </c>
      <c r="I34" s="218">
        <v>0.13</v>
      </c>
      <c r="J34"/>
      <c r="K34"/>
    </row>
    <row r="35" spans="1:11">
      <c r="A35" s="221" t="s">
        <v>414</v>
      </c>
      <c r="B35" s="153" t="s">
        <v>140</v>
      </c>
      <c r="C35" s="153" t="s">
        <v>38</v>
      </c>
      <c r="D35" s="153">
        <v>-5</v>
      </c>
      <c r="E35" s="153">
        <v>2.04</v>
      </c>
      <c r="F35" s="153">
        <v>-10.199999999999999</v>
      </c>
      <c r="G35" s="153">
        <v>1</v>
      </c>
      <c r="H35" s="153">
        <v>-10.199999999999999</v>
      </c>
      <c r="I35" s="218">
        <v>0</v>
      </c>
      <c r="J35"/>
      <c r="K35"/>
    </row>
    <row r="36" spans="1:11">
      <c r="A36" s="221" t="s">
        <v>400</v>
      </c>
      <c r="B36" s="153" t="s">
        <v>23</v>
      </c>
      <c r="C36" s="153" t="s">
        <v>38</v>
      </c>
      <c r="D36" s="153">
        <v>800</v>
      </c>
      <c r="E36" s="153">
        <v>361.07</v>
      </c>
      <c r="F36" s="153">
        <v>288856</v>
      </c>
      <c r="G36" s="153">
        <v>1</v>
      </c>
      <c r="H36" s="153">
        <v>288856</v>
      </c>
      <c r="I36" s="218">
        <v>0.15</v>
      </c>
      <c r="J36"/>
      <c r="K36"/>
    </row>
    <row r="37" spans="1:11">
      <c r="A37" s="221" t="s">
        <v>401</v>
      </c>
      <c r="B37" s="153" t="s">
        <v>140</v>
      </c>
      <c r="C37" s="153" t="s">
        <v>38</v>
      </c>
      <c r="D37" s="153">
        <v>-10</v>
      </c>
      <c r="E37" s="153">
        <v>0.31</v>
      </c>
      <c r="F37" s="153">
        <v>-3.1</v>
      </c>
      <c r="G37" s="153">
        <v>1</v>
      </c>
      <c r="H37" s="153">
        <v>-3.1</v>
      </c>
      <c r="I37" s="218">
        <v>0</v>
      </c>
      <c r="J37"/>
      <c r="K37"/>
    </row>
    <row r="38" spans="1:11">
      <c r="A38" s="221" t="s">
        <v>402</v>
      </c>
      <c r="B38" s="153" t="s">
        <v>140</v>
      </c>
      <c r="C38" s="153" t="s">
        <v>38</v>
      </c>
      <c r="D38" s="153">
        <v>-4</v>
      </c>
      <c r="E38" s="153">
        <v>1.95</v>
      </c>
      <c r="F38" s="153">
        <v>-7.8</v>
      </c>
      <c r="G38" s="153">
        <v>1</v>
      </c>
      <c r="H38" s="153">
        <v>-7.8</v>
      </c>
      <c r="I38" s="218">
        <v>0</v>
      </c>
      <c r="J38"/>
      <c r="K38"/>
    </row>
    <row r="39" spans="1:11">
      <c r="A39" s="221" t="s">
        <v>307</v>
      </c>
      <c r="B39" s="153" t="s">
        <v>44</v>
      </c>
      <c r="C39" s="153" t="s">
        <v>38</v>
      </c>
      <c r="D39" s="153">
        <v>2000</v>
      </c>
      <c r="E39" s="153">
        <v>51.38</v>
      </c>
      <c r="F39" s="153">
        <v>102760</v>
      </c>
      <c r="G39" s="153">
        <v>1</v>
      </c>
      <c r="H39" s="308">
        <v>102760</v>
      </c>
      <c r="I39" s="218">
        <v>0.05</v>
      </c>
      <c r="J39"/>
      <c r="K39"/>
    </row>
    <row r="40" spans="1:11">
      <c r="A40" s="221" t="s">
        <v>373</v>
      </c>
      <c r="B40" s="153" t="s">
        <v>23</v>
      </c>
      <c r="C40" s="153" t="s">
        <v>38</v>
      </c>
      <c r="D40" s="153">
        <v>1000</v>
      </c>
      <c r="E40" s="153">
        <v>326.89999999999998</v>
      </c>
      <c r="F40" s="153">
        <v>326900</v>
      </c>
      <c r="G40" s="153">
        <v>1</v>
      </c>
      <c r="H40" s="153">
        <v>326900</v>
      </c>
      <c r="I40" s="218">
        <v>0.17</v>
      </c>
      <c r="J40"/>
      <c r="K40"/>
    </row>
    <row r="41" spans="1:11">
      <c r="A41" s="221" t="s">
        <v>285</v>
      </c>
      <c r="B41" s="153" t="s">
        <v>23</v>
      </c>
      <c r="C41" s="153" t="s">
        <v>38</v>
      </c>
      <c r="D41" s="153">
        <v>10000</v>
      </c>
      <c r="E41" s="153">
        <v>192.65</v>
      </c>
      <c r="F41" s="153">
        <v>1926500</v>
      </c>
      <c r="G41" s="153">
        <v>1</v>
      </c>
      <c r="H41" s="153">
        <v>1926500</v>
      </c>
      <c r="I41" s="218">
        <v>0.98</v>
      </c>
      <c r="J41"/>
      <c r="K41"/>
    </row>
    <row r="42" spans="1:11">
      <c r="A42" s="221">
        <v>1109</v>
      </c>
      <c r="B42" s="153" t="s">
        <v>138</v>
      </c>
      <c r="C42" s="153" t="s">
        <v>33</v>
      </c>
      <c r="D42" s="153">
        <v>190000</v>
      </c>
      <c r="E42" s="153">
        <v>21.85</v>
      </c>
      <c r="F42" s="153">
        <v>4151500</v>
      </c>
      <c r="G42" s="153">
        <v>7.7827068254338867</v>
      </c>
      <c r="H42" s="308">
        <v>533426.24</v>
      </c>
      <c r="I42" s="218">
        <v>0.27</v>
      </c>
      <c r="J42"/>
      <c r="K42"/>
    </row>
    <row r="43" spans="1:11">
      <c r="A43" s="221" t="s">
        <v>294</v>
      </c>
      <c r="B43" s="153" t="s">
        <v>138</v>
      </c>
      <c r="C43" s="153" t="s">
        <v>37</v>
      </c>
      <c r="D43" s="153">
        <v>50000</v>
      </c>
      <c r="E43" s="153">
        <v>45.44</v>
      </c>
      <c r="F43" s="153">
        <v>2272000</v>
      </c>
      <c r="G43" s="153">
        <v>1.367858071046548</v>
      </c>
      <c r="H43" s="153">
        <v>1660991.04</v>
      </c>
      <c r="I43" s="218">
        <v>0.84</v>
      </c>
      <c r="J43" s="153"/>
      <c r="K43"/>
    </row>
    <row r="44" spans="1:11">
      <c r="A44" s="221" t="s">
        <v>49</v>
      </c>
      <c r="B44" s="153" t="s">
        <v>44</v>
      </c>
      <c r="C44" s="153" t="s">
        <v>38</v>
      </c>
      <c r="D44" s="153">
        <v>6000</v>
      </c>
      <c r="E44" s="153">
        <v>76.010000000000005</v>
      </c>
      <c r="F44" s="153">
        <v>456060.00000000012</v>
      </c>
      <c r="G44" s="153">
        <v>1</v>
      </c>
      <c r="H44" s="308">
        <v>456060</v>
      </c>
      <c r="I44" s="218">
        <v>0.23</v>
      </c>
      <c r="J44"/>
      <c r="K44"/>
    </row>
    <row r="45" spans="1:11">
      <c r="A45" s="221" t="s">
        <v>374</v>
      </c>
      <c r="B45" s="153" t="s">
        <v>139</v>
      </c>
      <c r="C45" s="153" t="s">
        <v>38</v>
      </c>
      <c r="D45" s="153">
        <v>2000</v>
      </c>
      <c r="E45" s="153">
        <v>426.13</v>
      </c>
      <c r="F45" s="153">
        <v>852260</v>
      </c>
      <c r="G45" s="153">
        <v>1</v>
      </c>
      <c r="H45" s="153">
        <v>852260</v>
      </c>
      <c r="I45" s="218">
        <v>0.43</v>
      </c>
      <c r="J45"/>
      <c r="K45"/>
    </row>
    <row r="46" spans="1:11">
      <c r="A46" s="221" t="s">
        <v>114</v>
      </c>
      <c r="B46" s="153" t="s">
        <v>139</v>
      </c>
      <c r="C46" s="153" t="s">
        <v>38</v>
      </c>
      <c r="D46" s="153">
        <v>50000</v>
      </c>
      <c r="E46" s="153">
        <v>45.01</v>
      </c>
      <c r="F46" s="153">
        <v>2250500</v>
      </c>
      <c r="G46" s="153">
        <v>1</v>
      </c>
      <c r="H46" s="153">
        <v>2250500</v>
      </c>
      <c r="I46" s="218">
        <v>1.1399999999999999</v>
      </c>
      <c r="J46"/>
      <c r="K46"/>
    </row>
    <row r="47" spans="1:11">
      <c r="A47" s="221" t="s">
        <v>377</v>
      </c>
      <c r="B47" s="153" t="s">
        <v>140</v>
      </c>
      <c r="C47" s="153" t="s">
        <v>38</v>
      </c>
      <c r="D47" s="153">
        <v>25</v>
      </c>
      <c r="E47" s="153">
        <v>30.75</v>
      </c>
      <c r="F47" s="153">
        <v>768.75</v>
      </c>
      <c r="G47" s="153">
        <v>1</v>
      </c>
      <c r="H47" s="153">
        <v>768.75</v>
      </c>
      <c r="I47" s="218">
        <v>0</v>
      </c>
      <c r="J47"/>
      <c r="K47"/>
    </row>
    <row r="48" spans="1:11">
      <c r="A48" s="221" t="s">
        <v>378</v>
      </c>
      <c r="B48" s="153" t="s">
        <v>155</v>
      </c>
      <c r="C48" s="153" t="s">
        <v>38</v>
      </c>
      <c r="D48" s="153">
        <v>15</v>
      </c>
      <c r="E48" s="153">
        <v>5959.25</v>
      </c>
      <c r="F48" s="153">
        <v>89388.75</v>
      </c>
      <c r="G48" s="153">
        <v>1</v>
      </c>
      <c r="H48" s="153">
        <v>89388.75</v>
      </c>
      <c r="I48" s="218">
        <v>0.05</v>
      </c>
      <c r="J48"/>
      <c r="K48"/>
    </row>
    <row r="49" spans="1:11">
      <c r="A49" s="221">
        <v>1109</v>
      </c>
      <c r="B49" s="153">
        <v>3690</v>
      </c>
      <c r="C49" s="153">
        <v>9618</v>
      </c>
      <c r="D49" s="153" t="s">
        <v>399</v>
      </c>
      <c r="E49" s="153" t="s">
        <v>307</v>
      </c>
      <c r="F49" s="153" t="s">
        <v>378</v>
      </c>
      <c r="G49" s="153" t="s">
        <v>312</v>
      </c>
      <c r="H49" s="308" t="s">
        <v>375</v>
      </c>
      <c r="I49" s="218" t="s">
        <v>381</v>
      </c>
      <c r="J49"/>
      <c r="K49"/>
    </row>
    <row r="50" spans="1:11">
      <c r="A50" s="221" t="s">
        <v>131</v>
      </c>
      <c r="B50" s="153" t="s">
        <v>44</v>
      </c>
      <c r="C50" s="153" t="s">
        <v>38</v>
      </c>
      <c r="D50" s="153">
        <v>13500</v>
      </c>
      <c r="E50" s="153">
        <v>57.75</v>
      </c>
      <c r="F50" s="153">
        <v>779625</v>
      </c>
      <c r="G50" s="153">
        <v>1</v>
      </c>
      <c r="H50" s="308">
        <v>779625</v>
      </c>
      <c r="I50" s="218">
        <v>0.4</v>
      </c>
      <c r="J50"/>
      <c r="K50"/>
    </row>
    <row r="51" spans="1:11">
      <c r="A51" s="221" t="s">
        <v>309</v>
      </c>
      <c r="B51" s="153" t="s">
        <v>23</v>
      </c>
      <c r="C51" s="153" t="s">
        <v>38</v>
      </c>
      <c r="D51" s="153">
        <v>3000</v>
      </c>
      <c r="E51" s="153">
        <v>195.39</v>
      </c>
      <c r="F51" s="153">
        <v>586170</v>
      </c>
      <c r="G51" s="153">
        <v>1</v>
      </c>
      <c r="H51" s="153">
        <v>586170</v>
      </c>
      <c r="I51" s="218">
        <v>0.3</v>
      </c>
      <c r="J51"/>
      <c r="K51"/>
    </row>
    <row r="52" spans="1:11">
      <c r="A52" s="221" t="s">
        <v>403</v>
      </c>
      <c r="B52" s="153" t="s">
        <v>140</v>
      </c>
      <c r="C52" s="153" t="s">
        <v>38</v>
      </c>
      <c r="D52" s="153">
        <v>-10</v>
      </c>
      <c r="E52" s="153">
        <v>1.67</v>
      </c>
      <c r="F52" s="153">
        <v>-16.7</v>
      </c>
      <c r="G52" s="153">
        <v>1</v>
      </c>
      <c r="H52" s="153">
        <v>-16.7</v>
      </c>
      <c r="I52" s="218">
        <v>0</v>
      </c>
      <c r="J52"/>
      <c r="K52"/>
    </row>
    <row r="53" spans="1:11">
      <c r="A53" s="221" t="s">
        <v>305</v>
      </c>
      <c r="B53" s="153" t="s">
        <v>23</v>
      </c>
      <c r="C53" s="153" t="s">
        <v>38</v>
      </c>
      <c r="D53" s="153">
        <v>2000</v>
      </c>
      <c r="E53" s="153">
        <v>580.02</v>
      </c>
      <c r="F53" s="153">
        <v>1160040</v>
      </c>
      <c r="G53" s="153">
        <v>1</v>
      </c>
      <c r="H53" s="153">
        <v>1160040</v>
      </c>
      <c r="I53" s="218">
        <v>0.59</v>
      </c>
      <c r="J53"/>
      <c r="K53"/>
    </row>
    <row r="54" spans="1:11">
      <c r="A54" s="221" t="s">
        <v>110</v>
      </c>
      <c r="B54" s="153" t="s">
        <v>44</v>
      </c>
      <c r="C54" s="153" t="s">
        <v>38</v>
      </c>
      <c r="D54" s="153">
        <v>55000</v>
      </c>
      <c r="E54" s="153">
        <v>26.36</v>
      </c>
      <c r="F54" s="153">
        <v>1449800</v>
      </c>
      <c r="G54" s="153">
        <v>1</v>
      </c>
      <c r="H54" s="308">
        <v>1449800</v>
      </c>
      <c r="I54" s="218">
        <v>0.74</v>
      </c>
      <c r="J54"/>
      <c r="K54"/>
    </row>
    <row r="55" spans="1:11">
      <c r="A55" s="221" t="s">
        <v>120</v>
      </c>
      <c r="B55" s="153" t="s">
        <v>44</v>
      </c>
      <c r="C55" s="153" t="s">
        <v>38</v>
      </c>
      <c r="D55" s="153">
        <v>55000</v>
      </c>
      <c r="E55" s="153">
        <v>26.57</v>
      </c>
      <c r="F55" s="153">
        <v>1461350</v>
      </c>
      <c r="G55" s="153">
        <v>1</v>
      </c>
      <c r="H55" s="308">
        <v>1461350</v>
      </c>
      <c r="I55" s="218">
        <v>0.74</v>
      </c>
      <c r="J55"/>
      <c r="K55"/>
    </row>
    <row r="56" spans="1:11">
      <c r="A56" s="221" t="s">
        <v>199</v>
      </c>
      <c r="B56" s="153" t="s">
        <v>44</v>
      </c>
      <c r="C56" s="153" t="s">
        <v>38</v>
      </c>
      <c r="D56" s="153">
        <v>11100</v>
      </c>
      <c r="E56" s="153">
        <v>139.81</v>
      </c>
      <c r="F56" s="153">
        <v>1551891</v>
      </c>
      <c r="G56" s="153">
        <v>1</v>
      </c>
      <c r="H56" s="308">
        <v>1551891</v>
      </c>
      <c r="I56" s="218">
        <v>0.79</v>
      </c>
      <c r="J56"/>
      <c r="K56"/>
    </row>
    <row r="57" spans="1:11">
      <c r="A57" s="221" t="s">
        <v>312</v>
      </c>
      <c r="B57" s="153" t="s">
        <v>23</v>
      </c>
      <c r="C57" s="153" t="s">
        <v>38</v>
      </c>
      <c r="D57" s="153">
        <v>1000</v>
      </c>
      <c r="E57" s="153">
        <v>146.57</v>
      </c>
      <c r="F57" s="153">
        <v>146570</v>
      </c>
      <c r="G57" s="153">
        <v>1</v>
      </c>
      <c r="H57" s="153">
        <v>146570</v>
      </c>
      <c r="I57" s="218">
        <v>6.9999999999999993E-2</v>
      </c>
      <c r="J57"/>
      <c r="K57"/>
    </row>
    <row r="58" spans="1:11">
      <c r="A58" s="221" t="s">
        <v>310</v>
      </c>
      <c r="B58" s="153" t="s">
        <v>139</v>
      </c>
      <c r="C58" s="153" t="s">
        <v>38</v>
      </c>
      <c r="D58" s="153">
        <v>11000</v>
      </c>
      <c r="E58" s="153">
        <v>99.2</v>
      </c>
      <c r="F58" s="153">
        <v>1091200</v>
      </c>
      <c r="G58" s="153">
        <v>1</v>
      </c>
      <c r="H58" s="153">
        <v>1091200</v>
      </c>
      <c r="I58" s="218">
        <v>0.54999999999999993</v>
      </c>
      <c r="J58"/>
      <c r="K58"/>
    </row>
    <row r="59" spans="1:11">
      <c r="A59" s="221" t="s">
        <v>298</v>
      </c>
      <c r="B59" s="153" t="s">
        <v>139</v>
      </c>
      <c r="C59" s="153" t="s">
        <v>38</v>
      </c>
      <c r="D59" s="153">
        <v>63000</v>
      </c>
      <c r="E59" s="153">
        <v>62.78</v>
      </c>
      <c r="F59" s="153">
        <v>3955140</v>
      </c>
      <c r="G59" s="153">
        <v>1</v>
      </c>
      <c r="H59" s="153">
        <v>3955140</v>
      </c>
      <c r="I59" s="218">
        <v>2.0099999999999998</v>
      </c>
      <c r="J59"/>
      <c r="K59"/>
    </row>
    <row r="60" spans="1:11">
      <c r="A60" s="221" t="s">
        <v>380</v>
      </c>
      <c r="B60" s="153" t="s">
        <v>140</v>
      </c>
      <c r="C60" s="153" t="s">
        <v>38</v>
      </c>
      <c r="D60" s="153">
        <v>-15</v>
      </c>
      <c r="E60" s="153">
        <v>0.68</v>
      </c>
      <c r="F60" s="153">
        <v>-10.199999999999999</v>
      </c>
      <c r="G60" s="153">
        <v>1</v>
      </c>
      <c r="H60" s="153">
        <v>-10.199999999999999</v>
      </c>
      <c r="I60" s="218">
        <v>0</v>
      </c>
      <c r="J60"/>
      <c r="K60"/>
    </row>
    <row r="61" spans="1:11">
      <c r="A61" s="221">
        <v>1109</v>
      </c>
      <c r="B61" s="153" t="s">
        <v>138</v>
      </c>
      <c r="C61" s="153" t="s">
        <v>33</v>
      </c>
      <c r="D61" s="153">
        <v>190000</v>
      </c>
      <c r="E61" s="153">
        <v>21.85</v>
      </c>
      <c r="F61" s="153">
        <v>4151500</v>
      </c>
      <c r="G61" s="153">
        <v>7.7827068254338867</v>
      </c>
      <c r="H61" s="308">
        <v>533426.24</v>
      </c>
      <c r="I61" s="218">
        <v>0.27</v>
      </c>
      <c r="J61"/>
      <c r="K61"/>
    </row>
    <row r="62" spans="1:11">
      <c r="A62" s="221" t="s">
        <v>106</v>
      </c>
      <c r="B62" s="153" t="s">
        <v>139</v>
      </c>
      <c r="C62" s="153" t="s">
        <v>38</v>
      </c>
      <c r="D62" s="153">
        <v>36000</v>
      </c>
      <c r="E62" s="153">
        <v>221.71</v>
      </c>
      <c r="F62" s="153">
        <v>7981560</v>
      </c>
      <c r="G62" s="153">
        <v>1</v>
      </c>
      <c r="H62" s="153">
        <v>7981560</v>
      </c>
      <c r="I62" s="218">
        <v>4.05</v>
      </c>
      <c r="J62"/>
      <c r="K62"/>
    </row>
    <row r="63" spans="1:11">
      <c r="A63" s="221" t="s">
        <v>304</v>
      </c>
      <c r="B63" s="153" t="s">
        <v>23</v>
      </c>
      <c r="C63" s="153" t="s">
        <v>38</v>
      </c>
      <c r="D63" s="153">
        <v>3000</v>
      </c>
      <c r="E63" s="153">
        <v>243.13</v>
      </c>
      <c r="F63" s="153">
        <v>729390</v>
      </c>
      <c r="G63" s="153">
        <v>1</v>
      </c>
      <c r="H63" s="153">
        <v>729390</v>
      </c>
      <c r="I63" s="218">
        <v>0.37</v>
      </c>
      <c r="J63"/>
      <c r="K63"/>
    </row>
    <row r="64" spans="1:11">
      <c r="A64" s="221" t="s">
        <v>404</v>
      </c>
      <c r="B64" s="153" t="s">
        <v>140</v>
      </c>
      <c r="C64" s="153" t="s">
        <v>38</v>
      </c>
      <c r="D64" s="153">
        <v>-10</v>
      </c>
      <c r="E64" s="153">
        <v>1.24</v>
      </c>
      <c r="F64" s="153">
        <v>-12.4</v>
      </c>
      <c r="G64" s="153">
        <v>1</v>
      </c>
      <c r="H64" s="153">
        <v>-12.4</v>
      </c>
      <c r="I64" s="218">
        <v>0</v>
      </c>
      <c r="J64"/>
      <c r="K64"/>
    </row>
    <row r="65" spans="1:11">
      <c r="A65" s="221" t="s">
        <v>388</v>
      </c>
      <c r="B65" s="153" t="s">
        <v>140</v>
      </c>
      <c r="C65" s="153" t="s">
        <v>38</v>
      </c>
      <c r="D65" s="153">
        <v>-10</v>
      </c>
      <c r="E65" s="153">
        <v>0.67</v>
      </c>
      <c r="F65" s="153">
        <v>-6.7</v>
      </c>
      <c r="G65" s="153">
        <v>1</v>
      </c>
      <c r="H65" s="153">
        <v>-6.7</v>
      </c>
      <c r="I65" s="218">
        <v>0</v>
      </c>
      <c r="J65"/>
      <c r="K65"/>
    </row>
    <row r="66" spans="1:11">
      <c r="A66" s="221" t="s">
        <v>375</v>
      </c>
      <c r="B66" s="153" t="s">
        <v>23</v>
      </c>
      <c r="C66" s="153" t="s">
        <v>38</v>
      </c>
      <c r="D66" s="153">
        <v>5000</v>
      </c>
      <c r="E66" s="153">
        <v>61.71</v>
      </c>
      <c r="F66" s="153">
        <v>308550</v>
      </c>
      <c r="G66" s="153">
        <v>1</v>
      </c>
      <c r="H66" s="153">
        <v>308550</v>
      </c>
      <c r="I66" s="218">
        <v>0.16</v>
      </c>
      <c r="J66"/>
      <c r="K66"/>
    </row>
    <row r="67" spans="1:11">
      <c r="A67" s="221" t="s">
        <v>289</v>
      </c>
      <c r="B67" s="153" t="s">
        <v>23</v>
      </c>
      <c r="C67" s="153" t="s">
        <v>38</v>
      </c>
      <c r="D67" s="153">
        <v>400</v>
      </c>
      <c r="E67" s="153">
        <v>787.22</v>
      </c>
      <c r="F67" s="153">
        <v>314888</v>
      </c>
      <c r="G67" s="153">
        <v>1</v>
      </c>
      <c r="H67" s="153">
        <v>314888</v>
      </c>
      <c r="I67" s="218">
        <v>0.16</v>
      </c>
      <c r="J67"/>
      <c r="K67"/>
    </row>
    <row r="68" spans="1:11">
      <c r="A68" s="221">
        <v>1109</v>
      </c>
      <c r="B68" s="153">
        <v>3690</v>
      </c>
      <c r="C68" s="153">
        <v>9618</v>
      </c>
      <c r="D68" s="153" t="s">
        <v>399</v>
      </c>
      <c r="E68" s="153" t="s">
        <v>307</v>
      </c>
      <c r="F68" s="153" t="s">
        <v>378</v>
      </c>
      <c r="G68" s="153" t="s">
        <v>312</v>
      </c>
      <c r="H68" s="308" t="s">
        <v>375</v>
      </c>
      <c r="I68" s="218" t="s">
        <v>381</v>
      </c>
      <c r="J68"/>
      <c r="K68"/>
    </row>
    <row r="69" spans="1:11">
      <c r="A69" s="221">
        <v>1211</v>
      </c>
      <c r="B69" s="153" t="s">
        <v>291</v>
      </c>
      <c r="C69" s="153">
        <v>992</v>
      </c>
      <c r="D69" s="153" t="s">
        <v>384</v>
      </c>
      <c r="E69" s="153" t="s">
        <v>373</v>
      </c>
      <c r="F69" s="153" t="s">
        <v>76</v>
      </c>
      <c r="G69" s="153" t="s">
        <v>310</v>
      </c>
      <c r="H69" s="308" t="s">
        <v>289</v>
      </c>
      <c r="I69" s="218" t="s">
        <v>379</v>
      </c>
      <c r="J69"/>
      <c r="K69"/>
    </row>
    <row r="70" spans="1:11">
      <c r="A70" s="221" t="s">
        <v>96</v>
      </c>
      <c r="B70" s="153" t="s">
        <v>23</v>
      </c>
      <c r="C70" s="153" t="s">
        <v>38</v>
      </c>
      <c r="D70" s="153">
        <v>10500</v>
      </c>
      <c r="E70" s="153">
        <v>286.89999999999998</v>
      </c>
      <c r="F70" s="153">
        <v>3012450</v>
      </c>
      <c r="G70" s="153">
        <v>1</v>
      </c>
      <c r="H70" s="153">
        <v>3012450</v>
      </c>
      <c r="I70" s="218">
        <v>1.53</v>
      </c>
      <c r="J70"/>
      <c r="K70"/>
    </row>
    <row r="71" spans="1:11">
      <c r="A71" s="221" t="s">
        <v>301</v>
      </c>
      <c r="B71" s="153" t="s">
        <v>140</v>
      </c>
      <c r="C71" s="153" t="s">
        <v>38</v>
      </c>
      <c r="D71" s="153">
        <v>10</v>
      </c>
      <c r="E71" s="153">
        <v>0.01</v>
      </c>
      <c r="F71" s="153">
        <v>0.1</v>
      </c>
      <c r="G71" s="153">
        <v>1</v>
      </c>
      <c r="H71" s="153">
        <v>0.1</v>
      </c>
      <c r="I71" s="218">
        <v>0</v>
      </c>
      <c r="J71"/>
      <c r="K71"/>
    </row>
    <row r="72" spans="1:11">
      <c r="A72" s="221" t="s">
        <v>290</v>
      </c>
      <c r="B72" s="153" t="s">
        <v>23</v>
      </c>
      <c r="C72" s="153" t="s">
        <v>38</v>
      </c>
      <c r="D72" s="153">
        <v>1400</v>
      </c>
      <c r="E72" s="153">
        <v>424.56</v>
      </c>
      <c r="F72" s="153">
        <v>594384</v>
      </c>
      <c r="G72" s="153">
        <v>1</v>
      </c>
      <c r="H72" s="153">
        <v>594384</v>
      </c>
      <c r="I72" s="218">
        <v>0.3</v>
      </c>
      <c r="J72"/>
      <c r="K72"/>
    </row>
    <row r="73" spans="1:11">
      <c r="A73" s="221" t="s">
        <v>405</v>
      </c>
      <c r="B73" s="153" t="s">
        <v>140</v>
      </c>
      <c r="C73" s="153" t="s">
        <v>38</v>
      </c>
      <c r="D73" s="153">
        <v>-3</v>
      </c>
      <c r="E73" s="153">
        <v>0.87</v>
      </c>
      <c r="F73" s="153">
        <v>-2.61</v>
      </c>
      <c r="G73" s="153">
        <v>1</v>
      </c>
      <c r="H73" s="153">
        <v>-2.61</v>
      </c>
      <c r="I73" s="218">
        <v>0</v>
      </c>
      <c r="J73"/>
      <c r="K73"/>
    </row>
    <row r="74" spans="1:11">
      <c r="A74" s="221" t="s">
        <v>385</v>
      </c>
      <c r="B74" s="153" t="s">
        <v>140</v>
      </c>
      <c r="C74" s="153" t="s">
        <v>38</v>
      </c>
      <c r="D74" s="153">
        <v>-10</v>
      </c>
      <c r="E74" s="153">
        <v>203.5</v>
      </c>
      <c r="F74" s="153">
        <v>-2035</v>
      </c>
      <c r="G74" s="153">
        <v>1</v>
      </c>
      <c r="H74" s="153">
        <v>-2035</v>
      </c>
      <c r="I74" s="218">
        <v>0</v>
      </c>
      <c r="J74"/>
      <c r="K74"/>
    </row>
    <row r="75" spans="1:11">
      <c r="A75" s="221" t="s">
        <v>381</v>
      </c>
      <c r="B75" s="153" t="s">
        <v>140</v>
      </c>
      <c r="C75" s="153" t="s">
        <v>38</v>
      </c>
      <c r="D75" s="153">
        <v>30</v>
      </c>
      <c r="E75" s="153">
        <v>86.5</v>
      </c>
      <c r="F75" s="153">
        <v>2595</v>
      </c>
      <c r="G75" s="153">
        <v>1</v>
      </c>
      <c r="H75" s="153">
        <v>2595</v>
      </c>
      <c r="I75" s="218">
        <v>0</v>
      </c>
      <c r="J75"/>
      <c r="K75"/>
    </row>
    <row r="76" spans="1:11">
      <c r="A76" s="221" t="s">
        <v>379</v>
      </c>
      <c r="B76" s="153" t="s">
        <v>155</v>
      </c>
      <c r="C76" s="153" t="s">
        <v>38</v>
      </c>
      <c r="D76" s="153">
        <v>20</v>
      </c>
      <c r="E76" s="153">
        <v>21360.75</v>
      </c>
      <c r="F76" s="153">
        <v>427215</v>
      </c>
      <c r="G76" s="153">
        <v>1</v>
      </c>
      <c r="H76" s="153">
        <v>427215</v>
      </c>
      <c r="I76" s="218">
        <v>0.22</v>
      </c>
      <c r="J76"/>
      <c r="K76"/>
    </row>
    <row r="77" spans="1:11">
      <c r="A77" s="221" t="s">
        <v>88</v>
      </c>
      <c r="B77" s="153" t="s">
        <v>23</v>
      </c>
      <c r="C77" s="153" t="s">
        <v>38</v>
      </c>
      <c r="D77" s="153">
        <v>162800</v>
      </c>
      <c r="E77" s="153">
        <v>140.11000000000001</v>
      </c>
      <c r="F77" s="153">
        <v>22809908</v>
      </c>
      <c r="G77" s="153">
        <v>1</v>
      </c>
      <c r="H77" s="153">
        <v>22809908</v>
      </c>
      <c r="I77" s="218">
        <v>11.58</v>
      </c>
      <c r="J77"/>
      <c r="K77"/>
    </row>
    <row r="78" spans="1:11">
      <c r="A78" s="221" t="s">
        <v>392</v>
      </c>
      <c r="B78" s="153" t="s">
        <v>140</v>
      </c>
      <c r="C78" s="153" t="s">
        <v>38</v>
      </c>
      <c r="D78" s="153">
        <v>-100</v>
      </c>
      <c r="E78" s="153">
        <v>0.23</v>
      </c>
      <c r="F78" s="153">
        <v>-23</v>
      </c>
      <c r="G78" s="153">
        <v>1</v>
      </c>
      <c r="H78" s="153">
        <v>-23</v>
      </c>
      <c r="I78" s="218">
        <v>0</v>
      </c>
      <c r="J78"/>
      <c r="K78"/>
    </row>
    <row r="79" spans="1:11">
      <c r="A79" s="221" t="s">
        <v>415</v>
      </c>
      <c r="B79" s="153" t="s">
        <v>140</v>
      </c>
      <c r="C79" s="153" t="s">
        <v>38</v>
      </c>
      <c r="D79" s="153">
        <v>-100</v>
      </c>
      <c r="E79" s="153">
        <v>5.09</v>
      </c>
      <c r="F79" s="153">
        <v>-509</v>
      </c>
      <c r="G79" s="153">
        <v>1</v>
      </c>
      <c r="H79" s="153">
        <v>-509</v>
      </c>
      <c r="I79" s="218">
        <v>0</v>
      </c>
      <c r="J79"/>
      <c r="K79"/>
    </row>
    <row r="80" spans="1:11">
      <c r="A80" s="221" t="s">
        <v>406</v>
      </c>
      <c r="B80" s="153" t="s">
        <v>140</v>
      </c>
      <c r="C80" s="153" t="s">
        <v>38</v>
      </c>
      <c r="D80" s="153">
        <v>-200</v>
      </c>
      <c r="E80" s="153">
        <v>0.04</v>
      </c>
      <c r="F80" s="153">
        <v>-8</v>
      </c>
      <c r="G80" s="153">
        <v>1</v>
      </c>
      <c r="H80" s="153">
        <v>-8</v>
      </c>
      <c r="I80" s="218">
        <v>0</v>
      </c>
      <c r="J80"/>
      <c r="K80"/>
    </row>
    <row r="81" spans="1:11">
      <c r="A81" s="221" t="s">
        <v>407</v>
      </c>
      <c r="B81" s="153" t="s">
        <v>140</v>
      </c>
      <c r="C81" s="153" t="s">
        <v>38</v>
      </c>
      <c r="D81" s="153">
        <v>-100</v>
      </c>
      <c r="E81" s="153">
        <v>0.02</v>
      </c>
      <c r="F81" s="153">
        <v>-2</v>
      </c>
      <c r="G81" s="153">
        <v>1</v>
      </c>
      <c r="H81" s="153">
        <v>-2</v>
      </c>
      <c r="I81" s="218">
        <v>0</v>
      </c>
      <c r="J81"/>
      <c r="K81"/>
    </row>
    <row r="82" spans="1:11">
      <c r="A82" s="221" t="s">
        <v>416</v>
      </c>
      <c r="B82" s="153" t="s">
        <v>140</v>
      </c>
      <c r="C82" s="153" t="s">
        <v>38</v>
      </c>
      <c r="D82" s="153">
        <v>-100</v>
      </c>
      <c r="E82" s="153">
        <v>0.01</v>
      </c>
      <c r="F82" s="153">
        <v>-1</v>
      </c>
      <c r="G82" s="153">
        <v>1</v>
      </c>
      <c r="H82" s="153">
        <v>-1</v>
      </c>
      <c r="I82" s="218">
        <v>0</v>
      </c>
      <c r="J82"/>
      <c r="K82"/>
    </row>
    <row r="83" spans="1:11">
      <c r="A83" s="221" t="s">
        <v>386</v>
      </c>
      <c r="B83" s="153" t="s">
        <v>140</v>
      </c>
      <c r="C83" s="153" t="s">
        <v>38</v>
      </c>
      <c r="D83" s="153">
        <v>-100</v>
      </c>
      <c r="E83" s="153">
        <v>0.73</v>
      </c>
      <c r="F83" s="153">
        <v>-73</v>
      </c>
      <c r="G83" s="153">
        <v>1</v>
      </c>
      <c r="H83" s="153">
        <v>-73</v>
      </c>
      <c r="I83" s="218">
        <v>0</v>
      </c>
      <c r="J83"/>
      <c r="K83"/>
    </row>
    <row r="84" spans="1:11">
      <c r="A84" s="221" t="s">
        <v>376</v>
      </c>
      <c r="B84" s="153" t="s">
        <v>23</v>
      </c>
      <c r="C84" s="153" t="s">
        <v>38</v>
      </c>
      <c r="D84" s="153">
        <v>1500</v>
      </c>
      <c r="E84" s="153">
        <v>163.13999999999999</v>
      </c>
      <c r="F84" s="153">
        <v>244710</v>
      </c>
      <c r="G84" s="153">
        <v>1</v>
      </c>
      <c r="H84" s="153">
        <v>244710</v>
      </c>
      <c r="I84" s="218">
        <v>0.12</v>
      </c>
      <c r="J84"/>
      <c r="K84"/>
    </row>
    <row r="85" spans="1:11">
      <c r="A85" s="221" t="s">
        <v>408</v>
      </c>
      <c r="B85" s="153" t="s">
        <v>140</v>
      </c>
      <c r="C85" s="153" t="s">
        <v>38</v>
      </c>
      <c r="D85" s="153">
        <v>-5</v>
      </c>
      <c r="E85" s="153">
        <v>1.05</v>
      </c>
      <c r="F85" s="153">
        <v>-5.25</v>
      </c>
      <c r="G85" s="153">
        <v>1</v>
      </c>
      <c r="H85" s="153">
        <v>-5.25</v>
      </c>
      <c r="I85" s="218">
        <v>0</v>
      </c>
      <c r="J85"/>
      <c r="K85"/>
    </row>
    <row r="86" spans="1:11">
      <c r="A86" s="221" t="s">
        <v>311</v>
      </c>
      <c r="B86" s="153" t="s">
        <v>23</v>
      </c>
      <c r="C86" s="153" t="s">
        <v>38</v>
      </c>
      <c r="D86" s="153">
        <v>2000</v>
      </c>
      <c r="E86" s="153">
        <v>172.83</v>
      </c>
      <c r="F86" s="153">
        <v>345660</v>
      </c>
      <c r="G86" s="153">
        <v>1</v>
      </c>
      <c r="H86" s="153">
        <v>345660</v>
      </c>
      <c r="I86" s="218">
        <v>0.18</v>
      </c>
      <c r="J86"/>
      <c r="K86"/>
    </row>
    <row r="87" spans="1:11">
      <c r="A87" s="221" t="s">
        <v>409</v>
      </c>
      <c r="B87" s="153" t="s">
        <v>140</v>
      </c>
      <c r="C87" s="153" t="s">
        <v>38</v>
      </c>
      <c r="D87" s="153">
        <v>-5</v>
      </c>
      <c r="E87" s="153">
        <v>7.22</v>
      </c>
      <c r="F87" s="153">
        <v>-36.1</v>
      </c>
      <c r="G87" s="153">
        <v>1</v>
      </c>
      <c r="H87" s="153">
        <v>-36.1</v>
      </c>
      <c r="I87" s="218">
        <v>0</v>
      </c>
      <c r="J87"/>
      <c r="K87"/>
    </row>
    <row r="88" spans="1:11">
      <c r="A88" s="221" t="s">
        <v>292</v>
      </c>
      <c r="B88" s="153" t="s">
        <v>138</v>
      </c>
      <c r="C88" s="153" t="s">
        <v>38</v>
      </c>
      <c r="D88" s="153">
        <v>11400</v>
      </c>
      <c r="E88" s="153">
        <v>100.32</v>
      </c>
      <c r="F88" s="153">
        <v>1143648</v>
      </c>
      <c r="G88" s="153">
        <v>1</v>
      </c>
      <c r="H88" s="153">
        <v>1143648</v>
      </c>
      <c r="I88" s="218">
        <v>0.57999999999999996</v>
      </c>
      <c r="J88"/>
      <c r="K88"/>
    </row>
    <row r="89" spans="1:11">
      <c r="A89" s="221" t="s">
        <v>417</v>
      </c>
      <c r="B89" s="153" t="s">
        <v>140</v>
      </c>
      <c r="C89" s="153" t="s">
        <v>38</v>
      </c>
      <c r="D89" s="153">
        <v>-10</v>
      </c>
      <c r="E89" s="153">
        <v>0.09</v>
      </c>
      <c r="F89" s="153">
        <v>-0.89999999999999991</v>
      </c>
      <c r="G89" s="153">
        <v>1</v>
      </c>
      <c r="H89" s="153">
        <v>-0.9</v>
      </c>
      <c r="I89" s="218">
        <v>0</v>
      </c>
      <c r="J89"/>
      <c r="K89"/>
    </row>
    <row r="90" spans="1:11">
      <c r="A90" s="221" t="s">
        <v>389</v>
      </c>
      <c r="B90" s="153" t="s">
        <v>23</v>
      </c>
      <c r="C90" s="153" t="s">
        <v>38</v>
      </c>
      <c r="D90" s="153">
        <v>1500</v>
      </c>
      <c r="E90" s="153">
        <v>68.23</v>
      </c>
      <c r="F90" s="153">
        <v>102345</v>
      </c>
      <c r="G90" s="153">
        <v>1</v>
      </c>
      <c r="H90" s="153">
        <v>102345</v>
      </c>
      <c r="I90" s="218">
        <v>0.05</v>
      </c>
      <c r="J90"/>
      <c r="K90"/>
    </row>
    <row r="91" spans="1:11">
      <c r="A91" s="221" t="s">
        <v>390</v>
      </c>
      <c r="B91" s="153" t="s">
        <v>140</v>
      </c>
      <c r="C91" s="153" t="s">
        <v>38</v>
      </c>
      <c r="D91" s="153">
        <v>-10</v>
      </c>
      <c r="E91" s="153">
        <v>6.8</v>
      </c>
      <c r="F91" s="153">
        <v>-68</v>
      </c>
      <c r="G91" s="153">
        <v>1</v>
      </c>
      <c r="H91" s="153">
        <v>-68</v>
      </c>
      <c r="I91" s="218">
        <v>0</v>
      </c>
      <c r="J91"/>
      <c r="K91"/>
    </row>
    <row r="92" spans="1:11">
      <c r="A92" s="221" t="s">
        <v>391</v>
      </c>
      <c r="B92" s="153" t="s">
        <v>140</v>
      </c>
      <c r="C92" s="153" t="s">
        <v>38</v>
      </c>
      <c r="D92" s="153">
        <v>-5</v>
      </c>
      <c r="E92" s="153">
        <v>0.02</v>
      </c>
      <c r="F92" s="153">
        <v>-0.1</v>
      </c>
      <c r="G92" s="153">
        <v>1</v>
      </c>
      <c r="H92" s="153">
        <v>-0.1</v>
      </c>
      <c r="I92" s="218">
        <v>0</v>
      </c>
      <c r="J92"/>
      <c r="K92"/>
    </row>
    <row r="93" spans="1:11">
      <c r="A93" s="221" t="s">
        <v>25</v>
      </c>
      <c r="B93" s="153" t="s">
        <v>139</v>
      </c>
      <c r="C93" s="153" t="s">
        <v>38</v>
      </c>
      <c r="D93" s="153">
        <v>62000</v>
      </c>
      <c r="E93" s="153">
        <v>515.27</v>
      </c>
      <c r="F93" s="153">
        <v>31946740</v>
      </c>
      <c r="G93" s="153">
        <v>1</v>
      </c>
      <c r="H93" s="153">
        <v>31946740</v>
      </c>
      <c r="I93" s="218">
        <v>16.22</v>
      </c>
      <c r="J93"/>
      <c r="K93"/>
    </row>
    <row r="94" spans="1:11">
      <c r="A94" s="221" t="s">
        <v>418</v>
      </c>
      <c r="B94" s="153" t="s">
        <v>140</v>
      </c>
      <c r="C94" s="153" t="s">
        <v>38</v>
      </c>
      <c r="D94" s="153">
        <v>-50</v>
      </c>
      <c r="E94" s="153">
        <v>0.02</v>
      </c>
      <c r="F94" s="153">
        <v>-1</v>
      </c>
      <c r="G94" s="153">
        <v>1</v>
      </c>
      <c r="H94" s="153">
        <v>-1</v>
      </c>
      <c r="I94" s="218">
        <v>0</v>
      </c>
      <c r="J94"/>
      <c r="K94"/>
    </row>
    <row r="95" spans="1:11">
      <c r="A95" s="221" t="s">
        <v>286</v>
      </c>
      <c r="B95" s="153" t="s">
        <v>139</v>
      </c>
      <c r="C95" s="153" t="s">
        <v>38</v>
      </c>
      <c r="D95" s="153">
        <v>10000</v>
      </c>
      <c r="E95" s="153">
        <v>175.82</v>
      </c>
      <c r="F95" s="153">
        <v>1758200</v>
      </c>
      <c r="G95" s="153">
        <v>1</v>
      </c>
      <c r="H95" s="153">
        <v>1758200</v>
      </c>
      <c r="I95" s="218">
        <v>0.89</v>
      </c>
      <c r="J95"/>
      <c r="K95"/>
    </row>
    <row r="96" spans="1:11">
      <c r="A96" s="221" t="s">
        <v>306</v>
      </c>
      <c r="B96" s="153" t="s">
        <v>23</v>
      </c>
      <c r="C96" s="153" t="s">
        <v>38</v>
      </c>
      <c r="D96" s="153">
        <v>5000</v>
      </c>
      <c r="E96" s="153">
        <v>115.92</v>
      </c>
      <c r="F96" s="153">
        <v>579600</v>
      </c>
      <c r="G96" s="153">
        <v>1</v>
      </c>
      <c r="H96" s="153">
        <v>579600</v>
      </c>
      <c r="I96" s="218">
        <v>0.28999999999999998</v>
      </c>
      <c r="J96"/>
      <c r="K96"/>
    </row>
    <row r="97" spans="1:11">
      <c r="A97" s="221" t="s">
        <v>295</v>
      </c>
      <c r="B97" s="153" t="s">
        <v>138</v>
      </c>
      <c r="C97" s="153" t="s">
        <v>38</v>
      </c>
      <c r="D97" s="153">
        <v>5500</v>
      </c>
      <c r="E97" s="153">
        <v>109.35</v>
      </c>
      <c r="F97" s="153">
        <v>601425</v>
      </c>
      <c r="G97" s="153">
        <v>1</v>
      </c>
      <c r="H97" s="153">
        <v>601425</v>
      </c>
      <c r="I97" s="218">
        <v>0.31</v>
      </c>
      <c r="J97"/>
      <c r="K97"/>
    </row>
    <row r="98" spans="1:11">
      <c r="A98" s="221">
        <v>1109</v>
      </c>
      <c r="B98" s="153" t="s">
        <v>138</v>
      </c>
      <c r="C98" s="153" t="s">
        <v>33</v>
      </c>
      <c r="D98" s="153">
        <v>190000</v>
      </c>
      <c r="E98" s="153">
        <v>21.85</v>
      </c>
      <c r="F98" s="153">
        <v>4151500</v>
      </c>
      <c r="G98" s="153">
        <v>7.7827068254338867</v>
      </c>
      <c r="H98" s="308">
        <v>533426.24</v>
      </c>
      <c r="I98" s="218">
        <v>0.27</v>
      </c>
      <c r="J98"/>
      <c r="K98"/>
    </row>
    <row r="99" spans="1:11">
      <c r="A99" s="221" t="s">
        <v>410</v>
      </c>
      <c r="B99" s="153" t="s">
        <v>140</v>
      </c>
      <c r="C99" s="153" t="s">
        <v>38</v>
      </c>
      <c r="D99" s="153">
        <v>-5</v>
      </c>
      <c r="E99" s="153">
        <v>0.51</v>
      </c>
      <c r="F99" s="153">
        <v>-2.5499999999999998</v>
      </c>
      <c r="G99" s="153">
        <v>1</v>
      </c>
      <c r="H99" s="153">
        <v>-2.5499999999999998</v>
      </c>
      <c r="I99" s="218">
        <v>0</v>
      </c>
      <c r="J99"/>
      <c r="K99"/>
    </row>
    <row r="100" spans="1:11">
      <c r="A100" s="221" t="s">
        <v>426</v>
      </c>
      <c r="B100" s="153" t="s">
        <v>140</v>
      </c>
      <c r="C100" s="153" t="s">
        <v>38</v>
      </c>
      <c r="D100" s="153">
        <v>-5</v>
      </c>
      <c r="E100" s="153">
        <v>4.41</v>
      </c>
      <c r="F100" s="153">
        <v>-22.05</v>
      </c>
      <c r="G100" s="153">
        <v>1</v>
      </c>
      <c r="H100" s="153">
        <v>-22.05</v>
      </c>
      <c r="I100" s="218">
        <v>0</v>
      </c>
      <c r="J100"/>
      <c r="K100"/>
    </row>
    <row r="101" spans="1:11">
      <c r="A101" s="221">
        <v>1109</v>
      </c>
      <c r="B101" s="153">
        <v>3690</v>
      </c>
      <c r="C101" s="153">
        <v>9618</v>
      </c>
      <c r="D101" s="153" t="s">
        <v>399</v>
      </c>
      <c r="E101" s="153" t="s">
        <v>307</v>
      </c>
      <c r="F101" s="153" t="s">
        <v>378</v>
      </c>
      <c r="G101" s="153" t="s">
        <v>312</v>
      </c>
      <c r="H101" s="308" t="s">
        <v>375</v>
      </c>
      <c r="I101" s="218" t="s">
        <v>381</v>
      </c>
      <c r="J101"/>
      <c r="K101"/>
    </row>
    <row r="102" spans="1:11">
      <c r="A102" s="221">
        <v>1211</v>
      </c>
      <c r="B102" s="153" t="s">
        <v>291</v>
      </c>
      <c r="C102" s="153">
        <v>992</v>
      </c>
      <c r="D102" s="153" t="s">
        <v>384</v>
      </c>
      <c r="E102" s="153" t="s">
        <v>373</v>
      </c>
      <c r="F102" s="153" t="s">
        <v>76</v>
      </c>
      <c r="G102" s="153" t="s">
        <v>310</v>
      </c>
      <c r="H102" s="308" t="s">
        <v>289</v>
      </c>
      <c r="I102" s="218" t="s">
        <v>379</v>
      </c>
      <c r="J102"/>
      <c r="K102"/>
    </row>
    <row r="103" spans="1:11">
      <c r="A103" s="221" t="s">
        <v>200</v>
      </c>
      <c r="B103" s="153" t="s">
        <v>23</v>
      </c>
      <c r="C103" s="153" t="s">
        <v>38</v>
      </c>
      <c r="D103" s="153">
        <v>81500</v>
      </c>
      <c r="E103" s="153">
        <v>207.12</v>
      </c>
      <c r="F103" s="153">
        <v>16880280</v>
      </c>
      <c r="G103" s="153">
        <v>1</v>
      </c>
      <c r="H103" s="153">
        <v>16880280</v>
      </c>
      <c r="I103" s="218">
        <v>8.57</v>
      </c>
      <c r="J103"/>
      <c r="K103"/>
    </row>
    <row r="104" spans="1:11">
      <c r="A104" s="221" t="s">
        <v>393</v>
      </c>
      <c r="B104" s="153" t="s">
        <v>140</v>
      </c>
      <c r="C104" s="153" t="s">
        <v>38</v>
      </c>
      <c r="D104" s="153">
        <v>-100</v>
      </c>
      <c r="E104" s="153">
        <v>1.39</v>
      </c>
      <c r="F104" s="153">
        <v>-139</v>
      </c>
      <c r="G104" s="153">
        <v>1</v>
      </c>
      <c r="H104" s="153">
        <v>-139</v>
      </c>
      <c r="I104" s="218">
        <v>0</v>
      </c>
      <c r="J104"/>
      <c r="K104"/>
    </row>
    <row r="105" spans="1:11">
      <c r="A105" s="221" t="s">
        <v>419</v>
      </c>
      <c r="B105" s="153" t="s">
        <v>140</v>
      </c>
      <c r="C105" s="153" t="s">
        <v>38</v>
      </c>
      <c r="D105" s="153">
        <v>-100</v>
      </c>
      <c r="E105" s="153">
        <v>6.05</v>
      </c>
      <c r="F105" s="153">
        <v>-605</v>
      </c>
      <c r="G105" s="153">
        <v>1</v>
      </c>
      <c r="H105" s="153">
        <v>-605</v>
      </c>
      <c r="I105" s="218">
        <v>0</v>
      </c>
      <c r="J105"/>
      <c r="K105"/>
    </row>
    <row r="106" spans="1:11">
      <c r="A106" s="221" t="s">
        <v>411</v>
      </c>
      <c r="B106" s="153" t="s">
        <v>140</v>
      </c>
      <c r="C106" s="153" t="s">
        <v>38</v>
      </c>
      <c r="D106" s="153">
        <v>-100</v>
      </c>
      <c r="E106" s="153">
        <v>0.38</v>
      </c>
      <c r="F106" s="153">
        <v>-38</v>
      </c>
      <c r="G106" s="153">
        <v>1</v>
      </c>
      <c r="H106" s="153">
        <v>-38</v>
      </c>
      <c r="I106" s="218">
        <v>0</v>
      </c>
      <c r="J106"/>
      <c r="K106"/>
    </row>
    <row r="107" spans="1:11">
      <c r="A107" s="221" t="s">
        <v>420</v>
      </c>
      <c r="B107" s="153" t="s">
        <v>140</v>
      </c>
      <c r="C107" s="153" t="s">
        <v>38</v>
      </c>
      <c r="D107" s="153">
        <v>-50</v>
      </c>
      <c r="E107" s="153">
        <v>8.2100000000000009</v>
      </c>
      <c r="F107" s="153">
        <v>-410.50000000000011</v>
      </c>
      <c r="G107" s="153">
        <v>1</v>
      </c>
      <c r="H107" s="153">
        <v>-410.5</v>
      </c>
      <c r="I107" s="218">
        <v>0</v>
      </c>
      <c r="J107"/>
      <c r="K107"/>
    </row>
    <row r="108" spans="1:11">
      <c r="A108" s="221" t="s">
        <v>387</v>
      </c>
      <c r="B108" s="153" t="s">
        <v>140</v>
      </c>
      <c r="C108" s="153" t="s">
        <v>38</v>
      </c>
      <c r="D108" s="153">
        <v>-100</v>
      </c>
      <c r="E108" s="153">
        <v>1.2</v>
      </c>
      <c r="F108" s="153">
        <v>-120</v>
      </c>
      <c r="G108" s="153">
        <v>1</v>
      </c>
      <c r="H108" s="153">
        <v>-120</v>
      </c>
      <c r="I108" s="218">
        <v>0</v>
      </c>
      <c r="J108"/>
      <c r="K108"/>
    </row>
    <row r="109" spans="1:11">
      <c r="A109" s="221">
        <v>1109</v>
      </c>
      <c r="B109" s="153" t="s">
        <v>138</v>
      </c>
      <c r="C109" s="153" t="s">
        <v>33</v>
      </c>
      <c r="D109" s="153">
        <v>190000</v>
      </c>
      <c r="E109" s="153">
        <v>21.85</v>
      </c>
      <c r="F109" s="153">
        <v>4151500</v>
      </c>
      <c r="G109" s="153">
        <v>7.7827068254338867</v>
      </c>
      <c r="H109" s="308">
        <v>533426.24</v>
      </c>
      <c r="I109" s="218">
        <v>0.27</v>
      </c>
      <c r="J109"/>
      <c r="K109"/>
    </row>
    <row r="110" spans="1:11">
      <c r="A110" s="221">
        <v>1211</v>
      </c>
      <c r="B110" s="153" t="s">
        <v>138</v>
      </c>
      <c r="C110" s="153" t="s">
        <v>33</v>
      </c>
      <c r="D110" s="153">
        <v>25500</v>
      </c>
      <c r="E110" s="153">
        <v>255.8</v>
      </c>
      <c r="F110" s="153">
        <v>6522900</v>
      </c>
      <c r="G110" s="153">
        <v>7.7827068254338867</v>
      </c>
      <c r="H110" s="308">
        <v>838127.42</v>
      </c>
      <c r="I110" s="218">
        <v>0.43</v>
      </c>
      <c r="J110"/>
      <c r="K110"/>
    </row>
    <row r="111" spans="1:11">
      <c r="A111" s="221" t="s">
        <v>303</v>
      </c>
      <c r="B111" s="153" t="s">
        <v>23</v>
      </c>
      <c r="C111" s="153" t="s">
        <v>38</v>
      </c>
      <c r="D111" s="153">
        <v>2000</v>
      </c>
      <c r="E111" s="153">
        <v>40.6</v>
      </c>
      <c r="F111" s="153">
        <v>81200</v>
      </c>
      <c r="G111" s="153">
        <v>1</v>
      </c>
      <c r="H111" s="153">
        <v>81200</v>
      </c>
      <c r="I111" s="218">
        <v>0.04</v>
      </c>
      <c r="J111"/>
      <c r="K111"/>
    </row>
    <row r="112" spans="1:11">
      <c r="A112" s="221" t="s">
        <v>287</v>
      </c>
      <c r="B112" s="153" t="s">
        <v>139</v>
      </c>
      <c r="C112" s="153" t="s">
        <v>38</v>
      </c>
      <c r="D112" s="153">
        <v>5500</v>
      </c>
      <c r="E112" s="153">
        <v>104.44</v>
      </c>
      <c r="F112" s="153">
        <v>574420</v>
      </c>
      <c r="G112" s="153">
        <v>1</v>
      </c>
      <c r="H112" s="153">
        <v>574420</v>
      </c>
      <c r="I112" s="218">
        <v>0.28999999999999998</v>
      </c>
      <c r="J112"/>
      <c r="K112"/>
    </row>
    <row r="113" spans="1:11">
      <c r="A113" s="221" t="s">
        <v>26</v>
      </c>
      <c r="B113" s="153" t="s">
        <v>139</v>
      </c>
      <c r="C113" s="153" t="s">
        <v>38</v>
      </c>
      <c r="D113" s="153">
        <v>67500</v>
      </c>
      <c r="E113" s="153">
        <v>88.03</v>
      </c>
      <c r="F113" s="153">
        <v>5942025</v>
      </c>
      <c r="G113" s="153">
        <v>1</v>
      </c>
      <c r="H113" s="153">
        <v>5942025</v>
      </c>
      <c r="I113" s="218">
        <v>3.02</v>
      </c>
      <c r="J113"/>
      <c r="K113"/>
    </row>
    <row r="114" spans="1:11">
      <c r="A114" s="221" t="s">
        <v>117</v>
      </c>
      <c r="B114" s="153" t="s">
        <v>139</v>
      </c>
      <c r="C114" s="153" t="s">
        <v>38</v>
      </c>
      <c r="D114" s="153">
        <v>199563</v>
      </c>
      <c r="E114" s="153">
        <v>48.49</v>
      </c>
      <c r="F114" s="153">
        <v>9676809.870000001</v>
      </c>
      <c r="G114" s="153">
        <v>1</v>
      </c>
      <c r="H114" s="153">
        <v>9676809.8699999992</v>
      </c>
      <c r="I114" s="218">
        <v>4.91</v>
      </c>
      <c r="J114"/>
      <c r="K114"/>
    </row>
    <row r="115" spans="1:11">
      <c r="A115" s="221" t="s">
        <v>412</v>
      </c>
      <c r="B115" s="153" t="s">
        <v>140</v>
      </c>
      <c r="C115" s="153" t="s">
        <v>38</v>
      </c>
      <c r="D115" s="153">
        <v>-200</v>
      </c>
      <c r="E115" s="153">
        <v>0.23</v>
      </c>
      <c r="F115" s="153">
        <v>-46</v>
      </c>
      <c r="G115" s="153">
        <v>1</v>
      </c>
      <c r="H115" s="153">
        <v>-46</v>
      </c>
      <c r="I115" s="218">
        <v>0</v>
      </c>
      <c r="J115"/>
      <c r="K115"/>
    </row>
    <row r="116" spans="1:11">
      <c r="A116" s="221" t="s">
        <v>421</v>
      </c>
      <c r="B116" s="153" t="s">
        <v>140</v>
      </c>
      <c r="C116" s="153" t="s">
        <v>38</v>
      </c>
      <c r="D116" s="153">
        <v>-100</v>
      </c>
      <c r="E116" s="153">
        <v>0.06</v>
      </c>
      <c r="F116" s="153">
        <v>-6</v>
      </c>
      <c r="G116" s="153">
        <v>1</v>
      </c>
      <c r="H116" s="153">
        <v>-6</v>
      </c>
      <c r="I116" s="218">
        <v>0</v>
      </c>
      <c r="J116"/>
      <c r="K116"/>
    </row>
    <row r="117" spans="1:11">
      <c r="A117" s="221" t="s">
        <v>118</v>
      </c>
      <c r="B117" s="153" t="s">
        <v>139</v>
      </c>
      <c r="C117" s="153" t="s">
        <v>38</v>
      </c>
      <c r="D117" s="153">
        <v>24100</v>
      </c>
      <c r="E117" s="153">
        <v>233.88</v>
      </c>
      <c r="F117" s="153">
        <v>5636508</v>
      </c>
      <c r="G117" s="153">
        <v>1</v>
      </c>
      <c r="H117" s="153">
        <v>5636508</v>
      </c>
      <c r="I117" s="218">
        <v>2.86</v>
      </c>
      <c r="J117"/>
      <c r="K117"/>
    </row>
    <row r="118" spans="1:11">
      <c r="A118" s="221" t="s">
        <v>394</v>
      </c>
      <c r="B118" s="153" t="s">
        <v>140</v>
      </c>
      <c r="C118" s="153" t="s">
        <v>38</v>
      </c>
      <c r="D118" s="153">
        <v>-100</v>
      </c>
      <c r="E118" s="153">
        <v>0.08</v>
      </c>
      <c r="F118" s="153">
        <v>-8</v>
      </c>
      <c r="G118" s="153">
        <v>1</v>
      </c>
      <c r="H118" s="153">
        <v>-8</v>
      </c>
      <c r="I118" s="218">
        <v>0</v>
      </c>
      <c r="J118"/>
      <c r="K118"/>
    </row>
    <row r="119" spans="1:11">
      <c r="A119" s="221" t="s">
        <v>422</v>
      </c>
      <c r="B119" s="153" t="s">
        <v>140</v>
      </c>
      <c r="C119" s="153" t="s">
        <v>38</v>
      </c>
      <c r="D119" s="153">
        <v>-100</v>
      </c>
      <c r="E119" s="153">
        <v>0.04</v>
      </c>
      <c r="F119" s="153">
        <v>-4</v>
      </c>
      <c r="G119" s="153">
        <v>1</v>
      </c>
      <c r="H119" s="153">
        <v>-4</v>
      </c>
      <c r="I119" s="218">
        <v>0</v>
      </c>
      <c r="J119"/>
      <c r="K119"/>
    </row>
    <row r="120" spans="1:11">
      <c r="A120" s="221" t="s">
        <v>282</v>
      </c>
      <c r="B120" s="153" t="s">
        <v>44</v>
      </c>
      <c r="C120" s="153" t="s">
        <v>38</v>
      </c>
      <c r="D120" s="153">
        <v>55000</v>
      </c>
      <c r="E120" s="153">
        <v>53.34</v>
      </c>
      <c r="F120" s="153">
        <v>2933700</v>
      </c>
      <c r="G120" s="153">
        <v>1</v>
      </c>
      <c r="H120" s="308">
        <v>2933700</v>
      </c>
      <c r="I120" s="218">
        <v>1.49</v>
      </c>
      <c r="J120"/>
      <c r="K120"/>
    </row>
    <row r="121" spans="1:11">
      <c r="A121" s="221" t="s">
        <v>115</v>
      </c>
      <c r="B121" s="153" t="s">
        <v>139</v>
      </c>
      <c r="C121" s="153" t="s">
        <v>38</v>
      </c>
      <c r="D121" s="153">
        <v>31500</v>
      </c>
      <c r="E121" s="153">
        <v>140.43</v>
      </c>
      <c r="F121" s="153">
        <v>4423545</v>
      </c>
      <c r="G121" s="153">
        <v>1</v>
      </c>
      <c r="H121" s="153">
        <v>4423545</v>
      </c>
      <c r="I121" s="218">
        <v>2.25</v>
      </c>
      <c r="J121"/>
      <c r="K121"/>
    </row>
    <row r="122" spans="1:11">
      <c r="A122" s="221" t="s">
        <v>108</v>
      </c>
      <c r="B122" s="153" t="s">
        <v>44</v>
      </c>
      <c r="C122" s="153" t="s">
        <v>38</v>
      </c>
      <c r="D122" s="153">
        <v>69481</v>
      </c>
      <c r="E122" s="153">
        <v>245.86</v>
      </c>
      <c r="F122" s="153">
        <v>17082598.66</v>
      </c>
      <c r="G122" s="153">
        <v>1</v>
      </c>
      <c r="H122" s="308">
        <v>17082598.66</v>
      </c>
      <c r="I122" s="218">
        <v>8.67</v>
      </c>
      <c r="J122"/>
      <c r="K122"/>
    </row>
    <row r="123" spans="1:11">
      <c r="A123" s="221" t="s">
        <v>368</v>
      </c>
      <c r="B123" s="153" t="s">
        <v>139</v>
      </c>
      <c r="C123" s="153" t="s">
        <v>38</v>
      </c>
      <c r="D123" s="153">
        <v>4300</v>
      </c>
      <c r="E123" s="153">
        <v>187.93</v>
      </c>
      <c r="F123" s="153">
        <v>808099</v>
      </c>
      <c r="G123" s="153">
        <v>1</v>
      </c>
      <c r="H123" s="153">
        <v>808099</v>
      </c>
      <c r="I123" s="218">
        <v>0.41</v>
      </c>
      <c r="J123"/>
      <c r="K123"/>
    </row>
    <row r="124" spans="1:11">
      <c r="A124" s="221" t="s">
        <v>369</v>
      </c>
      <c r="B124" s="153" t="s">
        <v>140</v>
      </c>
      <c r="C124" s="153" t="s">
        <v>38</v>
      </c>
      <c r="D124" s="153">
        <v>-5</v>
      </c>
      <c r="E124" s="153">
        <v>0.28000000000000003</v>
      </c>
      <c r="F124" s="153">
        <v>-1.4</v>
      </c>
      <c r="G124" s="153">
        <v>1</v>
      </c>
      <c r="H124" s="153">
        <v>-1.4</v>
      </c>
      <c r="I124" s="218">
        <v>0</v>
      </c>
      <c r="J124"/>
      <c r="K124"/>
    </row>
    <row r="125" spans="1:11">
      <c r="A125" s="221" t="s">
        <v>284</v>
      </c>
      <c r="B125" s="153" t="s">
        <v>138</v>
      </c>
      <c r="C125" s="153" t="s">
        <v>37</v>
      </c>
      <c r="D125" s="153">
        <v>200000</v>
      </c>
      <c r="E125" s="153">
        <v>3.09</v>
      </c>
      <c r="F125" s="153">
        <v>618000</v>
      </c>
      <c r="G125" s="153">
        <v>1.367858071046548</v>
      </c>
      <c r="H125" s="153">
        <v>451801.26</v>
      </c>
      <c r="I125" s="218">
        <v>0.23</v>
      </c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308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308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308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308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308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308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308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08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08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08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08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08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08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08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08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08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08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08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08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08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08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08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08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08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08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08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08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08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08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08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08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08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08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08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08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08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08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08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08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08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08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08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08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08"/>
      <c r="I169" s="218"/>
    </row>
  </sheetData>
  <autoFilter ref="A2:I125" xr:uid="{F6DF4B25-B6CC-4ACC-B571-02DA8228728D}"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  <row r="182" spans="1:12">
      <c r="A182" s="170">
        <f>'Historical NAV'!A1174</f>
        <v>45666</v>
      </c>
      <c r="B182" s="159">
        <v>0</v>
      </c>
      <c r="C182" s="159">
        <v>-19800.86</v>
      </c>
      <c r="D182" s="159">
        <v>-3207.77</v>
      </c>
      <c r="E182" s="159">
        <v>0</v>
      </c>
      <c r="F182" s="159">
        <v>0</v>
      </c>
      <c r="G182" s="159">
        <v>0</v>
      </c>
      <c r="H182" s="159">
        <v>5024.53</v>
      </c>
      <c r="I182" s="159"/>
      <c r="J182" s="159"/>
      <c r="K182" s="159"/>
      <c r="L182" s="159">
        <f t="shared" ref="L182" si="27">SUM(B182:K182)</f>
        <v>-17984.100000000002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zoomScale="85" zoomScaleNormal="85" workbookViewId="0">
      <selection activeCell="N28" sqref="N28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365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326</v>
      </c>
      <c r="O2" s="273"/>
      <c r="P2" s="273"/>
      <c r="Q2" s="273"/>
      <c r="S2" s="273" t="s">
        <v>317</v>
      </c>
      <c r="T2" s="279"/>
      <c r="U2" s="273"/>
    </row>
    <row r="3" spans="2:21">
      <c r="B3" s="109" t="s">
        <v>363</v>
      </c>
      <c r="C3" s="109" t="s">
        <v>364</v>
      </c>
      <c r="D3" s="109" t="s">
        <v>331</v>
      </c>
      <c r="E3" s="109" t="s">
        <v>332</v>
      </c>
      <c r="F3" s="109" t="s">
        <v>333</v>
      </c>
      <c r="G3" s="109" t="s">
        <v>334</v>
      </c>
      <c r="H3" s="109" t="s">
        <v>335</v>
      </c>
      <c r="I3" s="109" t="s">
        <v>336</v>
      </c>
      <c r="J3" s="109" t="s">
        <v>66</v>
      </c>
      <c r="K3" s="109" t="s">
        <v>66</v>
      </c>
      <c r="L3" s="109" t="s">
        <v>297</v>
      </c>
      <c r="M3" s="292"/>
      <c r="N3" s="109"/>
      <c r="O3" s="109" t="s">
        <v>383</v>
      </c>
      <c r="P3" s="109" t="s">
        <v>327</v>
      </c>
      <c r="Q3" s="109" t="s">
        <v>20</v>
      </c>
      <c r="S3" t="s">
        <v>318</v>
      </c>
      <c r="T3" s="280">
        <f>ROUND(VLOOKUP("Starting Value", 'Email input'!C:D, 2, FALSE),2)</f>
        <v>71204832.620000005</v>
      </c>
    </row>
    <row r="4" spans="2:21">
      <c r="B4" t="s">
        <v>383</v>
      </c>
      <c r="C4" t="s">
        <v>382</v>
      </c>
      <c r="D4" s="8">
        <f>IF(D18=0, "", D18)</f>
        <v>6.3647245670425387E-2</v>
      </c>
      <c r="E4" s="8">
        <f t="shared" ref="E4:L5" ca="1" si="0">IF(E18=0, "", E18)</f>
        <v>-2.8731023907942153E-2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-5.8659181055450429E-4</v>
      </c>
      <c r="J4" s="8">
        <f t="shared" ca="1" si="0"/>
        <v>3.216395347352563E-2</v>
      </c>
      <c r="K4" s="8">
        <f ca="1">J4</f>
        <v>3.216395347352563E-2</v>
      </c>
      <c r="L4" s="8">
        <f t="shared" ca="1" si="0"/>
        <v>3.216395347352563E-2</v>
      </c>
      <c r="N4" t="s">
        <v>318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316</v>
      </c>
      <c r="T4" s="286">
        <f>ROUND(VLOOKUP("Deposits &amp; Withdrawals", 'Email input'!C:D, 2, FALSE),2)</f>
        <v>-9000000</v>
      </c>
    </row>
    <row r="5" spans="2:21">
      <c r="B5" t="s">
        <v>327</v>
      </c>
      <c r="C5" t="s">
        <v>362</v>
      </c>
      <c r="D5" s="8">
        <f>D19</f>
        <v>0</v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0</v>
      </c>
      <c r="K5" s="8">
        <f>J5</f>
        <v>0</v>
      </c>
      <c r="L5" s="8">
        <f>L19+J5</f>
        <v>0</v>
      </c>
      <c r="N5" t="s">
        <v>316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296519.58610380633</v>
      </c>
      <c r="U5" s="8">
        <f>VLOOKUP("Commodities", 'Email input'!F:G, 2, FALSE)/100</f>
        <v>4.1643182799999999E-3</v>
      </c>
    </row>
    <row r="6" spans="2:21">
      <c r="B6" t="s">
        <v>337</v>
      </c>
      <c r="C6" t="s">
        <v>361</v>
      </c>
      <c r="D6" s="8">
        <f t="array" ref="D6">IFERROR(_xll.BDP($B6,"INTERVAL_PERCENT_CHANGE", "END_DATE_OVERRIDE="&amp;TEXT(D$17,"yyyymmdd"), "START_DATE_OVERRIDE="&amp;TEXT(D$16,"yyyymmdd"))/100, "")</f>
        <v>1.0344071286361119E-2</v>
      </c>
      <c r="E6" s="8">
        <f t="array" ref="E6">IFERROR(_xll.BDP($B6,"INTERVAL_PERCENT_CHANGE", "END_DATE_OVERRIDE="&amp;TEXT(E$17,"yyyymmdd"), "START_DATE_OVERRIDE="&amp;TEXT(E$16,"yyyymmdd"))/100, "")</f>
        <v>-4.0757462805870717E-3</v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1.5603239999999999E-3</v>
      </c>
      <c r="J6" s="8">
        <f>_xll.BDP($B6,"CURRENT_TRR_MTD")/100</f>
        <v>6.6474189999999999E-3</v>
      </c>
      <c r="K6" s="8">
        <f>_xll.BDP(B6,"CHG_PCT_1M")/100</f>
        <v>-1.933089E-2</v>
      </c>
      <c r="L6" s="8">
        <f t="array" ref="L6">_xll.BDP($B6,"CHG_PCT_YTD")/100</f>
        <v>6.2261849999999995E-3</v>
      </c>
      <c r="N6" t="s">
        <v>328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319</v>
      </c>
      <c r="T6" s="286">
        <f>($T$3-T$4)*U6</f>
        <v>2658178.7750504394</v>
      </c>
      <c r="U6" s="8">
        <f>VLOOKUP("new_equity", 'Email input'!F:G, 2, FALSE)/100</f>
        <v>3.3142376689999996E-2</v>
      </c>
    </row>
    <row r="7" spans="2:21">
      <c r="B7" t="s">
        <v>338</v>
      </c>
      <c r="C7" t="s">
        <v>360</v>
      </c>
      <c r="D7" s="8">
        <f t="array" ref="D7">IFERROR(_xll.BDP($B7,"INTERVAL_PERCENT_CHANGE", "END_DATE_OVERRIDE="&amp;TEXT(D$17,"yyyymmdd"), "START_DATE_OVERRIDE="&amp;TEXT(D$16,"yyyymmdd"))/100, "")</f>
        <v>1.4943244795754157E-2</v>
      </c>
      <c r="E7" s="8">
        <f t="array" ref="E7">IFERROR(_xll.BDP($B7,"INTERVAL_PERCENT_CHANGE", "END_DATE_OVERRIDE="&amp;TEXT(E$17,"yyyymmdd"), "START_DATE_OVERRIDE="&amp;TEXT(E$16,"yyyymmdd"))/100, "")</f>
        <v>-6.808539371363654E-3</v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3.7406059999999999E-4</v>
      </c>
      <c r="J7" s="8">
        <f t="array" ref="J7">_xll.BDP($B7,"CURRENT_TRR_MTD")/100</f>
        <v>8.2757099999999986E-3</v>
      </c>
      <c r="K7" s="8">
        <f>_xll.BDP(B7,"CHG_PCT_1M")/100</f>
        <v>-8.7615679999999991E-3</v>
      </c>
      <c r="L7" s="8">
        <f t="array" ref="L7">_xll.BDP($B7,"CHG_PCT_YTD")/100</f>
        <v>8.0330120000000008E-3</v>
      </c>
      <c r="N7" s="47" t="s">
        <v>95</v>
      </c>
      <c r="O7" s="295">
        <f ca="1">OFFSET('Historical NAV'!F1,COUNT('Historical NAV'!A:A),,,)</f>
        <v>-37763.856217004359</v>
      </c>
      <c r="P7" s="296" t="s">
        <v>58</v>
      </c>
      <c r="Q7" s="297">
        <f ca="1">SUM(O7:P7)</f>
        <v>-37763.856217004359</v>
      </c>
      <c r="S7" t="s">
        <v>320</v>
      </c>
      <c r="T7" s="286">
        <f>($T$3-T$4)*U7</f>
        <v>-79759.152010193837</v>
      </c>
      <c r="U7" s="8">
        <f>VLOOKUP("Fixed Income", 'Email input'!F:G, 2, FALSE)/100</f>
        <v>-9.9444322000000001E-4</v>
      </c>
    </row>
    <row r="8" spans="2:21">
      <c r="B8" t="s">
        <v>339</v>
      </c>
      <c r="C8" s="8" t="s">
        <v>340</v>
      </c>
      <c r="D8" s="8">
        <f t="array" ref="D8">IFERROR(_xll.BDP($B8,"INTERVAL_PERCENT_CHANGE", "END_DATE_OVERRIDE="&amp;TEXT(D$17,"yyyymmdd"), "START_DATE_OVERRIDE="&amp;TEXT(D$16,"yyyymmdd"))/100, "")</f>
        <v>7.9883922888550566E-3</v>
      </c>
      <c r="E8" s="8">
        <f t="array" ref="E8">IFERROR(_xll.BDP($B8,"INTERVAL_PERCENT_CHANGE", "END_DATE_OVERRIDE="&amp;TEXT(E$17,"yyyymmdd"), "START_DATE_OVERRIDE="&amp;TEXT(E$16,"yyyymmdd"))/100, "")</f>
        <v>-1.4341137123746158E-3</v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-1.6076310000000001E-5</v>
      </c>
      <c r="J8" s="8">
        <f t="array" ref="J8">_xll.BDP($B8,"CURRENT_TRR_MTD")/100</f>
        <v>6.9672630000000004E-3</v>
      </c>
      <c r="K8" s="8">
        <f>_xll.BDP(B8,"CHG_PCT_1M")/100</f>
        <v>-2.217067E-2</v>
      </c>
      <c r="L8" s="8">
        <f t="array" ref="L8">_xll.BDP($B8,"CHG_PCT_YTD")/100</f>
        <v>6.5536280000000006E-3</v>
      </c>
      <c r="N8" t="s">
        <v>329</v>
      </c>
      <c r="O8" s="69">
        <f ca="1">OFFSET('Historical NAV'!J1,COUNT('Historical NAV'!A:A),,,)</f>
        <v>2135827.3897062987</v>
      </c>
      <c r="P8" s="280">
        <f>SUM(P4:P5)*P9</f>
        <v>0</v>
      </c>
      <c r="Q8" s="280">
        <f ca="1">SUM(O8:P8)</f>
        <v>2135827.3897062987</v>
      </c>
      <c r="S8" s="47" t="s">
        <v>321</v>
      </c>
      <c r="T8" s="287">
        <f>($T$3-T$4)*U8</f>
        <v>-162495.33175865863</v>
      </c>
      <c r="U8" s="207">
        <f>VLOOKUP("Cash", 'Email input'!F:G, 2, FALSE)/100</f>
        <v>-2.02600425E-3</v>
      </c>
    </row>
    <row r="9" spans="2:21">
      <c r="B9" t="s">
        <v>341</v>
      </c>
      <c r="C9" s="8" t="s">
        <v>342</v>
      </c>
      <c r="D9" s="8">
        <f t="array" ref="D9">IFERROR(_xll.BDP($B9,"INTERVAL_PERCENT_CHANGE", "END_DATE_OVERRIDE="&amp;TEXT(D$17,"yyyymmdd"), "START_DATE_OVERRIDE="&amp;TEXT(D$16,"yyyymmdd"))/100, "")</f>
        <v>-4.3127155859802721E-3</v>
      </c>
      <c r="E9" s="8">
        <f t="array" ref="E9">IFERROR(_xll.BDP($B9,"INTERVAL_PERCENT_CHANGE", "END_DATE_OVERRIDE="&amp;TEXT(E$17,"yyyymmdd"), "START_DATE_OVERRIDE="&amp;TEXT(E$16,"yyyymmdd"))/100, "")</f>
        <v>-5.6368396698696374E-3</v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-9.3231100000000001E-4</v>
      </c>
      <c r="J9" s="8">
        <f t="array" ref="J9">_xll.BDP($B9,"CURRENT_TRR_MTD")/100</f>
        <v>-9.925268000000001E-3</v>
      </c>
      <c r="K9" s="8">
        <f>_xll.BDP(B9,"CHG_PCT_1M")/100</f>
        <v>-3.0587529999999998E-2</v>
      </c>
      <c r="L9" s="8">
        <f t="array" ref="L9">_xll.BDP($B9,"CHG_PCT_YTD")/100</f>
        <v>-9.9252690000000005E-3</v>
      </c>
      <c r="N9" t="s">
        <v>330</v>
      </c>
      <c r="O9" s="8">
        <f ca="1">OFFSET('Historical NAV'!K1,COUNT('Historical NAV'!A:A),,,)</f>
        <v>3.216395347352563E-2</v>
      </c>
      <c r="P9" s="285">
        <f>J5</f>
        <v>0</v>
      </c>
      <c r="S9" t="s">
        <v>322</v>
      </c>
      <c r="T9" s="288">
        <f>SUM(T5:T8)</f>
        <v>2712443.8773853928</v>
      </c>
      <c r="U9" s="8">
        <f>T9/(T3+T4)</f>
        <v>4.3605034579150881E-2</v>
      </c>
    </row>
    <row r="10" spans="2:21" ht="15.75" thickBot="1">
      <c r="B10" t="s">
        <v>358</v>
      </c>
      <c r="C10" s="8" t="s">
        <v>359</v>
      </c>
      <c r="D10" s="8">
        <f t="array" ref="D10">IFERROR(_xll.BDP($B10,"INTERVAL_PERCENT_CHANGE", "END_DATE_OVERRIDE="&amp;TEXT(D$17,"yyyymmdd"), "START_DATE_OVERRIDE="&amp;TEXT(D$16,"yyyymmdd"))/100, "")</f>
        <v>-2.7298197367181709E-3</v>
      </c>
      <c r="E10" s="8">
        <f t="array" ref="E10">IFERROR(_xll.BDP($B10,"INTERVAL_PERCENT_CHANGE", "END_DATE_OVERRIDE="&amp;TEXT(E$17,"yyyymmdd"), "START_DATE_OVERRIDE="&amp;TEXT(E$16,"yyyymmdd"))/100, "")</f>
        <v>2.4240670514714499E-2</v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4.2587839999999998E-3</v>
      </c>
      <c r="J10" s="8">
        <f t="array" ref="J10">_xll.BDP($B10,"CURRENT_TRR_MTD")/100</f>
        <v>2.1444649999999999E-2</v>
      </c>
      <c r="K10" s="8">
        <f>_xll.BDP(B10,"CHG_PCT_1M")/100</f>
        <v>2.068714E-2</v>
      </c>
      <c r="L10" s="8">
        <f t="array" ref="L10">_xll.BDP($B10,"CHG_PCT_YTD")/100</f>
        <v>2.1444649999999999E-2</v>
      </c>
      <c r="N10" s="275" t="s">
        <v>325</v>
      </c>
      <c r="O10" s="281">
        <f ca="1">O4+O5+O8</f>
        <v>64340660.009706303</v>
      </c>
      <c r="P10" s="276">
        <f>P4+P5+P8</f>
        <v>1932595.1</v>
      </c>
      <c r="Q10" s="281">
        <f ca="1">SUM(O10:P10)</f>
        <v>66273255.109706305</v>
      </c>
      <c r="S10" t="s">
        <v>323</v>
      </c>
      <c r="T10" s="286">
        <f>SUM('Email input'!D5:D8)</f>
        <v>-498513.4153772</v>
      </c>
      <c r="U10" s="8"/>
    </row>
    <row r="11" spans="2:21" ht="15.75" hidden="1" outlineLevel="1" thickTop="1">
      <c r="O11" s="283"/>
      <c r="P11" s="283"/>
      <c r="Q11" s="283"/>
      <c r="S11" t="s">
        <v>366</v>
      </c>
      <c r="T11" s="294">
        <v>44817.946173302829</v>
      </c>
      <c r="U11" s="8"/>
    </row>
    <row r="12" spans="2:21" ht="15.75" collapsed="1" thickTop="1">
      <c r="S12" t="s">
        <v>324</v>
      </c>
      <c r="T12" s="280">
        <f>SUM('Email input'!D7:D9)</f>
        <v>-122921.0170311</v>
      </c>
      <c r="U12" s="8"/>
    </row>
    <row r="13" spans="2:21" ht="15.75" thickBot="1">
      <c r="S13" s="275" t="s">
        <v>325</v>
      </c>
      <c r="T13" s="281">
        <f>T3+T4+T9+T10+T12+T11</f>
        <v>64340660.011150397</v>
      </c>
      <c r="U13" s="277"/>
    </row>
    <row r="14" spans="2:21" ht="15.75" thickTop="1"/>
    <row r="15" spans="2:21" s="289" customFormat="1">
      <c r="T15" s="290"/>
    </row>
    <row r="16" spans="2:21">
      <c r="B16" t="s">
        <v>354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353</v>
      </c>
      <c r="P16" s="41">
        <v>1932595.1</v>
      </c>
      <c r="S16" t="s">
        <v>352</v>
      </c>
      <c r="T16" s="282">
        <f ca="1">OFFSET('Historical NAV'!B1,COUNT('Historical NAV'!A:A),,,)</f>
        <v>64340660.011150397</v>
      </c>
    </row>
    <row r="17" spans="2:21">
      <c r="B17" t="s">
        <v>355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396</v>
      </c>
      <c r="T17" s="69">
        <f>T13</f>
        <v>64340660.011150397</v>
      </c>
    </row>
    <row r="18" spans="2:21">
      <c r="B18" t="s">
        <v>356</v>
      </c>
      <c r="D18" s="298">
        <v>6.3647245670425387E-2</v>
      </c>
      <c r="E18" s="298">
        <f ca="1">Dashboard!$B$4</f>
        <v>-2.8731023907942153E-2</v>
      </c>
      <c r="F18" s="298"/>
      <c r="G18" s="298"/>
      <c r="H18" s="298"/>
      <c r="I18" s="8">
        <f ca="1">Dashboard!B9</f>
        <v>-5.8659181055450429E-4</v>
      </c>
      <c r="J18" s="8">
        <f ca="1">Dashboard!B5</f>
        <v>3.216395347352563E-2</v>
      </c>
      <c r="K18" s="8"/>
      <c r="L18" s="69">
        <f ca="1">Dashboard!B6</f>
        <v>3.216395347352563E-2</v>
      </c>
      <c r="O18" s="69"/>
      <c r="T18" s="284">
        <f ca="1">T16-T17</f>
        <v>0</v>
      </c>
    </row>
    <row r="19" spans="2:21">
      <c r="B19" t="s">
        <v>357</v>
      </c>
      <c r="D19" s="298">
        <v>0</v>
      </c>
      <c r="E19" s="298"/>
      <c r="F19" s="298"/>
      <c r="G19" s="298"/>
      <c r="H19" s="298"/>
      <c r="J19">
        <f>SUM(D19:H19)</f>
        <v>0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4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370</v>
      </c>
      <c r="B1" s="282" t="s">
        <v>349</v>
      </c>
      <c r="C1" t="s">
        <v>371</v>
      </c>
      <c r="D1" s="282" t="s">
        <v>372</v>
      </c>
      <c r="F1" t="s">
        <v>150</v>
      </c>
      <c r="G1" t="s">
        <v>150</v>
      </c>
    </row>
    <row r="2" spans="1:7">
      <c r="A2" t="s">
        <v>370</v>
      </c>
      <c r="B2" s="282" t="s">
        <v>350</v>
      </c>
      <c r="C2" t="s">
        <v>343</v>
      </c>
      <c r="D2" s="282">
        <v>71204832.621444106</v>
      </c>
      <c r="F2" t="s">
        <v>349</v>
      </c>
      <c r="G2" t="s">
        <v>350</v>
      </c>
    </row>
    <row r="3" spans="1:7">
      <c r="A3" t="s">
        <v>370</v>
      </c>
      <c r="B3" s="282" t="s">
        <v>350</v>
      </c>
      <c r="C3" t="s">
        <v>344</v>
      </c>
      <c r="D3" s="282">
        <v>2260146.2690320802</v>
      </c>
      <c r="F3" t="s">
        <v>165</v>
      </c>
      <c r="G3" t="s">
        <v>20</v>
      </c>
    </row>
    <row r="4" spans="1:7">
      <c r="A4" t="s">
        <v>370</v>
      </c>
      <c r="B4" s="282" t="s">
        <v>350</v>
      </c>
      <c r="C4" t="s">
        <v>345</v>
      </c>
      <c r="D4" s="282">
        <v>-9000000</v>
      </c>
      <c r="F4" t="s">
        <v>44</v>
      </c>
      <c r="G4">
        <v>0.416431828</v>
      </c>
    </row>
    <row r="5" spans="1:7">
      <c r="A5" t="s">
        <v>370</v>
      </c>
      <c r="B5" s="282" t="s">
        <v>350</v>
      </c>
      <c r="C5" t="s">
        <v>427</v>
      </c>
      <c r="D5" s="282">
        <v>400</v>
      </c>
      <c r="F5" t="s">
        <v>320</v>
      </c>
      <c r="G5">
        <v>-9.9444322000000002E-2</v>
      </c>
    </row>
    <row r="6" spans="1:7">
      <c r="A6" t="s">
        <v>370</v>
      </c>
      <c r="B6" s="282" t="s">
        <v>350</v>
      </c>
      <c r="C6" t="s">
        <v>428</v>
      </c>
      <c r="D6" s="282">
        <v>-22.77</v>
      </c>
      <c r="F6" t="s">
        <v>321</v>
      </c>
      <c r="G6">
        <v>-0.202600425</v>
      </c>
    </row>
    <row r="7" spans="1:7">
      <c r="A7" t="s">
        <v>370</v>
      </c>
      <c r="B7" s="282" t="s">
        <v>350</v>
      </c>
      <c r="C7" t="s">
        <v>346</v>
      </c>
      <c r="D7" s="282">
        <v>42099.847313500002</v>
      </c>
    </row>
    <row r="8" spans="1:7">
      <c r="A8" t="s">
        <v>370</v>
      </c>
      <c r="B8" s="282" t="s">
        <v>350</v>
      </c>
      <c r="C8" t="s">
        <v>423</v>
      </c>
      <c r="D8" s="282">
        <v>-540990.49269069999</v>
      </c>
      <c r="F8" t="s">
        <v>351</v>
      </c>
      <c r="G8">
        <v>3.3142376689999997</v>
      </c>
    </row>
    <row r="9" spans="1:7">
      <c r="A9" t="s">
        <v>370</v>
      </c>
      <c r="B9" s="282" t="s">
        <v>350</v>
      </c>
      <c r="C9" t="s">
        <v>347</v>
      </c>
      <c r="D9" s="282">
        <v>375969.62834609998</v>
      </c>
    </row>
    <row r="10" spans="1:7">
      <c r="A10" t="s">
        <v>370</v>
      </c>
      <c r="B10" s="282" t="s">
        <v>350</v>
      </c>
      <c r="C10" t="s">
        <v>43</v>
      </c>
      <c r="D10" s="282">
        <v>-188.39</v>
      </c>
    </row>
    <row r="11" spans="1:7">
      <c r="A11" t="s">
        <v>370</v>
      </c>
      <c r="B11" s="282" t="s">
        <v>350</v>
      </c>
      <c r="C11" t="s">
        <v>18</v>
      </c>
      <c r="D11" s="282">
        <v>-1290.4790512300001</v>
      </c>
    </row>
    <row r="12" spans="1:7">
      <c r="A12" t="s">
        <v>370</v>
      </c>
      <c r="B12" s="282" t="s">
        <v>350</v>
      </c>
      <c r="C12" t="s">
        <v>413</v>
      </c>
      <c r="D12" s="282">
        <v>-322.78833763</v>
      </c>
    </row>
    <row r="13" spans="1:7">
      <c r="A13" t="s">
        <v>370</v>
      </c>
      <c r="B13" s="282" t="s">
        <v>350</v>
      </c>
      <c r="C13" t="s">
        <v>348</v>
      </c>
      <c r="D13" s="282">
        <v>26.565094200000001</v>
      </c>
    </row>
    <row r="14" spans="1:7">
      <c r="A14" t="s">
        <v>370</v>
      </c>
      <c r="B14" s="282" t="s">
        <v>350</v>
      </c>
      <c r="C14" t="s">
        <v>325</v>
      </c>
      <c r="D14" s="282">
        <v>64340660.011150397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64340660.011150397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2135827.3897062987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3.216395347352563E-2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7.993047340599202E-2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-5.8659181055450429E-4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9" t="s">
        <v>10</v>
      </c>
      <c r="D2" s="320"/>
      <c r="E2" s="319" t="s">
        <v>11</v>
      </c>
      <c r="F2" s="320"/>
      <c r="G2" s="319" t="s">
        <v>12</v>
      </c>
      <c r="H2" s="321"/>
      <c r="I2" s="321"/>
      <c r="J2" s="321"/>
      <c r="K2" s="320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5" t="s">
        <v>129</v>
      </c>
      <c r="O3" s="315"/>
      <c r="P3" s="315"/>
      <c r="Q3" s="315"/>
      <c r="R3" s="315"/>
      <c r="S3" s="315"/>
      <c r="T3" s="315"/>
      <c r="U3" s="315"/>
      <c r="V3" s="315"/>
      <c r="W3" s="315"/>
      <c r="X3" s="315"/>
      <c r="Z3" s="2"/>
      <c r="AA3" s="2"/>
    </row>
    <row r="4" spans="1:27" ht="16.5" customHeight="1">
      <c r="B4" s="318" t="s">
        <v>23</v>
      </c>
      <c r="C4" s="318"/>
      <c r="D4" s="318"/>
      <c r="E4" s="318"/>
      <c r="F4" s="318"/>
      <c r="G4" s="318"/>
      <c r="H4" s="318"/>
      <c r="I4" s="318"/>
      <c r="J4" s="318"/>
      <c r="K4" s="318"/>
      <c r="L4" s="318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16" t="s">
        <v>130</v>
      </c>
      <c r="O52" s="316"/>
      <c r="P52" s="316"/>
      <c r="Q52" s="316"/>
      <c r="R52" s="317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5" t="s">
        <v>244</v>
      </c>
      <c r="O53" s="315"/>
      <c r="P53" s="315"/>
      <c r="Q53" s="315"/>
      <c r="R53" s="315"/>
      <c r="S53" s="315"/>
      <c r="T53" s="315"/>
      <c r="U53" s="315"/>
      <c r="V53" s="315"/>
      <c r="W53" s="315"/>
      <c r="X53" s="315"/>
    </row>
    <row r="54" spans="2:24" ht="15" customHeight="1">
      <c r="B54" s="311" t="s">
        <v>27</v>
      </c>
      <c r="C54" s="311"/>
      <c r="D54" s="311"/>
      <c r="E54" s="311"/>
      <c r="F54" s="312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18" t="s">
        <v>129</v>
      </c>
      <c r="C55" s="318"/>
      <c r="D55" s="318"/>
      <c r="E55" s="318"/>
      <c r="F55" s="318"/>
      <c r="G55" s="318"/>
      <c r="H55" s="318"/>
      <c r="I55" s="318"/>
      <c r="J55" s="318"/>
      <c r="K55" s="318"/>
      <c r="L55" s="318"/>
      <c r="N55" s="316" t="s">
        <v>246</v>
      </c>
      <c r="O55" s="316"/>
      <c r="P55" s="316"/>
      <c r="Q55" s="316"/>
      <c r="R55" s="317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5" t="s">
        <v>247</v>
      </c>
      <c r="O56" s="315"/>
      <c r="P56" s="315"/>
      <c r="Q56" s="315"/>
      <c r="R56" s="315"/>
      <c r="S56" s="315"/>
      <c r="T56" s="315"/>
      <c r="U56" s="315"/>
      <c r="V56" s="315"/>
      <c r="W56" s="315"/>
      <c r="X56" s="315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16" t="s">
        <v>266</v>
      </c>
      <c r="O75" s="316"/>
      <c r="P75" s="316"/>
      <c r="Q75" s="316"/>
      <c r="R75" s="317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11" t="s">
        <v>130</v>
      </c>
      <c r="C104" s="311"/>
      <c r="D104" s="311"/>
      <c r="E104" s="311"/>
      <c r="F104" s="312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18" t="s">
        <v>244</v>
      </c>
      <c r="C105" s="318"/>
      <c r="D105" s="318"/>
      <c r="E105" s="318"/>
      <c r="F105" s="318"/>
      <c r="G105" s="318"/>
      <c r="H105" s="318"/>
      <c r="I105" s="318"/>
      <c r="J105" s="318"/>
      <c r="K105" s="318"/>
      <c r="L105" s="318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11" t="s">
        <v>246</v>
      </c>
      <c r="C107" s="311"/>
      <c r="D107" s="311"/>
      <c r="E107" s="311"/>
      <c r="F107" s="312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18" t="s">
        <v>247</v>
      </c>
      <c r="C108" s="318"/>
      <c r="D108" s="318"/>
      <c r="E108" s="318"/>
      <c r="F108" s="318"/>
      <c r="G108" s="318"/>
      <c r="H108" s="318"/>
      <c r="I108" s="318"/>
      <c r="J108" s="318"/>
      <c r="K108" s="318"/>
      <c r="L108" s="318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11" t="s">
        <v>266</v>
      </c>
      <c r="C127" s="311"/>
      <c r="D127" s="311"/>
      <c r="E127" s="311"/>
      <c r="F127" s="312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18" t="s">
        <v>28</v>
      </c>
      <c r="C128" s="318"/>
      <c r="D128" s="318"/>
      <c r="E128" s="318"/>
      <c r="F128" s="318"/>
      <c r="G128" s="318"/>
      <c r="H128" s="318"/>
      <c r="I128" s="318"/>
      <c r="J128" s="318"/>
      <c r="K128" s="318"/>
      <c r="L128" s="318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11" t="s">
        <v>39</v>
      </c>
      <c r="C139" s="311"/>
      <c r="D139" s="311"/>
      <c r="E139" s="311"/>
      <c r="F139" s="312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11" t="s">
        <v>40</v>
      </c>
      <c r="C140" s="311"/>
      <c r="D140" s="311"/>
      <c r="E140" s="311"/>
      <c r="F140" s="312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13" t="s">
        <v>41</v>
      </c>
      <c r="C141" s="313"/>
      <c r="D141" s="313"/>
      <c r="E141" s="313"/>
      <c r="F141" s="313"/>
      <c r="G141" s="313"/>
      <c r="H141" s="313"/>
      <c r="I141" s="313"/>
      <c r="J141" s="314"/>
      <c r="K141" s="191">
        <v>-854078.19</v>
      </c>
      <c r="L141" s="192"/>
      <c r="T141" s="3"/>
    </row>
    <row r="142" spans="2:20">
      <c r="B142" s="313" t="s">
        <v>43</v>
      </c>
      <c r="C142" s="313"/>
      <c r="D142" s="313"/>
      <c r="E142" s="313"/>
      <c r="F142" s="313"/>
      <c r="G142" s="313"/>
      <c r="H142" s="313"/>
      <c r="I142" s="313"/>
      <c r="J142" s="314"/>
      <c r="K142" s="189">
        <v>-167.75</v>
      </c>
      <c r="L142" s="192"/>
    </row>
    <row r="143" spans="2:20">
      <c r="B143" s="311" t="s">
        <v>133</v>
      </c>
      <c r="C143" s="311"/>
      <c r="D143" s="311"/>
      <c r="E143" s="311"/>
      <c r="F143" s="311"/>
      <c r="G143" s="311"/>
      <c r="H143" s="311"/>
      <c r="I143" s="311"/>
      <c r="J143" s="312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04:F104"/>
    <mergeCell ref="B105:L105"/>
    <mergeCell ref="C2:D2"/>
    <mergeCell ref="E2:F2"/>
    <mergeCell ref="G2:K2"/>
    <mergeCell ref="B4:L4"/>
    <mergeCell ref="B54:F54"/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2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2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>
        <f>'Historical NAV'!A1172</f>
        <v>45664</v>
      </c>
      <c r="B1172" s="173">
        <f>'Historical NAV'!B1172</f>
        <v>64784770.194913499</v>
      </c>
      <c r="C1172" s="173">
        <f>'Historical NAV'!C1172</f>
        <v>0</v>
      </c>
      <c r="D1172" s="173" t="e">
        <f>'Historical NAV'!#REF!</f>
        <v>#REF!</v>
      </c>
      <c r="E1172" s="173" t="e">
        <f>'Historical NAV'!#REF!</f>
        <v>#REF!</v>
      </c>
      <c r="F1172" s="67">
        <f t="shared" ref="F1172" si="696">B1172</f>
        <v>64784770.194913499</v>
      </c>
      <c r="G1172" s="67">
        <f t="shared" ref="G1172" si="697">IF(MONTH(A1172)=MONTH(A1171),G1171,F1171)</f>
        <v>71204832.621444106</v>
      </c>
      <c r="H1172" s="176">
        <f>B1172-C1172-F1171-'Daily P&amp;L breakdown'!H180</f>
        <v>-3736400.5787706072</v>
      </c>
      <c r="I1172" s="70">
        <f t="shared" ref="I1172" si="698">H1172/B1171</f>
        <v>-5.4589044122689612E-2</v>
      </c>
      <c r="J1172" s="67">
        <f t="shared" ref="J1172" si="699">IF(MONTH(A1172)=MONTH(A1171),J1171+H1172,H1172)</f>
        <v>2489495.8134694011</v>
      </c>
      <c r="K1172" s="70">
        <f t="shared" ref="K1172" si="700">(1+K1171)*(1+I1172)-1</f>
        <v>0.11913236474364242</v>
      </c>
      <c r="L1172" s="70">
        <f t="shared" ref="L1172" si="701">1+I1172</f>
        <v>0.94541095587731039</v>
      </c>
      <c r="M1172" s="70">
        <f>PRODUCT($L$2:L1172)-1</f>
        <v>0.44505906053663891</v>
      </c>
      <c r="N1172" s="70">
        <f>PRODUCT($L$909:L1172)-1</f>
        <v>0.14190565132214306</v>
      </c>
      <c r="O1172" s="70">
        <f>AVERAGE($I$909:I1172)*252</f>
        <v>0.25180929368461435</v>
      </c>
      <c r="P1172" s="70">
        <f>STDEV($I$909:I1172)*252^0.5</f>
        <v>0.49934361374627606</v>
      </c>
      <c r="Q1172" s="67">
        <f t="shared" ref="Q1172" si="702">B1172-C1172-F1141</f>
        <v>-10346761.451548494</v>
      </c>
      <c r="R1172" s="70">
        <f t="shared" ref="R1172" si="703">Q1172/B1141</f>
        <v>-0.13771530041788696</v>
      </c>
      <c r="S1172" s="67">
        <f t="shared" ref="S1172" si="704">B1172-C1172-F1081</f>
        <v>2579762.032191202</v>
      </c>
      <c r="T1172" s="70">
        <f t="shared" ref="T1172" si="705">S1172/B1081</f>
        <v>4.1471934630131282E-2</v>
      </c>
      <c r="U1172" s="67">
        <f t="shared" ref="U1172" si="706">B1172-C1172-F806</f>
        <v>27644989.484913498</v>
      </c>
      <c r="V1172" s="70">
        <f t="shared" ref="V1172" si="707">U1172/B806</f>
        <v>0.74434983073203764</v>
      </c>
      <c r="W1172" s="87">
        <f t="shared" ref="W1172" si="708">O1172/P1172</f>
        <v>0.50428059306784767</v>
      </c>
      <c r="X1172" s="142">
        <f t="shared" si="192"/>
        <v>1.7857142857142857E-4</v>
      </c>
      <c r="Y1172" s="139">
        <f t="shared" ref="Y1172" si="709">I1172-X1172</f>
        <v>-5.4767615551261042E-2</v>
      </c>
      <c r="Z1172" s="139">
        <f t="shared" ref="Z1172" si="710">IF(Y1172&lt;0,Y1172,0)</f>
        <v>-5.4767615551261042E-2</v>
      </c>
      <c r="AA1172" s="139">
        <f t="shared" ref="AA1172" si="711">Z1172^2</f>
        <v>2.9994917131707303E-3</v>
      </c>
      <c r="AB1172" s="144">
        <f t="shared" ref="AB1172" si="712">AVERAGE(Y919:Y1172)/AVERAGE(AA919:AA1172)</f>
        <v>2.6792493827861774</v>
      </c>
      <c r="AC1172" s="144">
        <f t="shared" ref="AC1172" si="713">AVERAGE(I1141:I1172)-_xlfn.NORM.S.INV(0.95)*_xlfn.STDEV.S(I1141:I1172)</f>
        <v>-4.2017401515694407E-2</v>
      </c>
      <c r="AD1172" s="144">
        <f t="shared" ref="AD1172" si="714">AVERAGE(I1081:I1172)-_xlfn.NORM.S.INV(0.95)*_xlfn.STDEV.S(I1081:I1172)</f>
        <v>-4.3756650009922543E-2</v>
      </c>
      <c r="AE1172" s="144">
        <f t="shared" ref="AE1172" si="715">AVERAGE(I806:I1172)-_xlfn.NORM.S.INV(0.95)*_xlfn.STDEV.S(I806:I1172)</f>
        <v>-4.8275884064888239E-2</v>
      </c>
    </row>
    <row r="1173" spans="1:31">
      <c r="A1173" s="172"/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A1174" s="172"/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  <row r="1222" spans="6:31">
      <c r="F1222" s="67"/>
      <c r="G1222" s="67"/>
      <c r="H1222" s="67"/>
      <c r="I1222" s="70"/>
      <c r="J1222" s="67"/>
      <c r="K1222" s="70"/>
      <c r="L1222" s="70"/>
      <c r="M1222" s="70"/>
      <c r="N1222" s="70"/>
      <c r="O1222" s="70"/>
      <c r="P1222" s="70"/>
      <c r="Q1222" s="67"/>
      <c r="R1222" s="70"/>
      <c r="S1222" s="67"/>
      <c r="T1222" s="70"/>
      <c r="U1222" s="67"/>
      <c r="V1222" s="70"/>
      <c r="W1222" s="87"/>
      <c r="X1222" s="142"/>
      <c r="Y1222" s="139"/>
      <c r="Z1222" s="139"/>
      <c r="AA1222" s="139"/>
      <c r="AB1222" s="144"/>
      <c r="AC1222" s="144"/>
      <c r="AD1222" s="144"/>
      <c r="AE1222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24" t="s">
        <v>20</v>
      </c>
      <c r="D5" s="324"/>
      <c r="E5" s="325"/>
      <c r="F5" s="13" t="s">
        <v>46</v>
      </c>
      <c r="G5" s="13" t="s">
        <v>47</v>
      </c>
      <c r="H5" s="13" t="s">
        <v>48</v>
      </c>
      <c r="J5" s="41" t="s">
        <v>92</v>
      </c>
      <c r="K5" s="350" t="s">
        <v>93</v>
      </c>
      <c r="L5" s="350"/>
      <c r="M5" s="350"/>
      <c r="N5" s="350"/>
      <c r="O5" s="350"/>
    </row>
    <row r="6" spans="1:15">
      <c r="A6" s="351" t="s">
        <v>50</v>
      </c>
      <c r="B6" s="352"/>
      <c r="C6" s="341">
        <f ca="1">SUM(F6:H6)</f>
        <v>86672148.311444104</v>
      </c>
      <c r="D6" s="342"/>
      <c r="E6" s="343"/>
      <c r="F6" s="341">
        <f ca="1">OFFSET('Historical NAV'!E1, COUNT('Historical NAV'!A:A),,,)</f>
        <v>71204832.621444106</v>
      </c>
      <c r="G6" s="341">
        <v>15365477.27</v>
      </c>
      <c r="H6" s="341">
        <v>101838.42</v>
      </c>
      <c r="K6" s="350"/>
      <c r="L6" s="350"/>
      <c r="M6" s="350"/>
      <c r="N6" s="350"/>
      <c r="O6" s="350"/>
    </row>
    <row r="7" spans="1:15">
      <c r="A7" s="351"/>
      <c r="B7" s="352"/>
      <c r="C7" s="341"/>
      <c r="D7" s="342"/>
      <c r="E7" s="343"/>
      <c r="F7" s="341"/>
      <c r="G7" s="341"/>
      <c r="H7" s="341"/>
    </row>
    <row r="8" spans="1:15">
      <c r="A8" s="347" t="s">
        <v>52</v>
      </c>
      <c r="B8" s="328"/>
      <c r="C8" s="344">
        <f ca="1">SUM(F8:H8)</f>
        <v>1</v>
      </c>
      <c r="D8" s="345"/>
      <c r="E8" s="346"/>
      <c r="F8" s="344">
        <f ca="1">F6/$C$6</f>
        <v>0.82154226021466104</v>
      </c>
      <c r="G8" s="344">
        <f ca="1">G6/$C$6</f>
        <v>0.17728275541049623</v>
      </c>
      <c r="H8" s="344">
        <f ca="1">H6/$C$6</f>
        <v>1.1749843748427469E-3</v>
      </c>
    </row>
    <row r="9" spans="1:15">
      <c r="A9" s="347"/>
      <c r="B9" s="328"/>
      <c r="C9" s="344"/>
      <c r="D9" s="345"/>
      <c r="E9" s="346"/>
      <c r="F9" s="344"/>
      <c r="G9" s="344"/>
      <c r="H9" s="344"/>
    </row>
    <row r="10" spans="1:15">
      <c r="A10" s="330" t="s">
        <v>53</v>
      </c>
      <c r="B10" s="331"/>
      <c r="C10" s="353" t="e">
        <f ca="1">SUM(F10:H10)</f>
        <v>#REF!</v>
      </c>
      <c r="D10" s="354"/>
      <c r="E10" s="355"/>
      <c r="F10" s="353">
        <f ca="1">OFFSET('Historical NAV'!B1, COUNT('Historical NAV'!A:A),,,)</f>
        <v>64340660.011150397</v>
      </c>
      <c r="G10" s="353" t="e">
        <f>G6+G12</f>
        <v>#REF!</v>
      </c>
      <c r="H10" s="353" t="e">
        <f>H6+H12</f>
        <v>#REF!</v>
      </c>
    </row>
    <row r="11" spans="1:15">
      <c r="A11" s="330"/>
      <c r="B11" s="331"/>
      <c r="C11" s="353"/>
      <c r="D11" s="354"/>
      <c r="E11" s="355"/>
      <c r="F11" s="353"/>
      <c r="G11" s="353"/>
      <c r="H11" s="353"/>
    </row>
    <row r="12" spans="1:15">
      <c r="A12" s="347" t="s">
        <v>54</v>
      </c>
      <c r="B12" s="328"/>
      <c r="C12" s="329" t="e">
        <f ca="1">SUM(F12:H12)</f>
        <v>#REF!</v>
      </c>
      <c r="D12" s="348"/>
      <c r="E12" s="349"/>
      <c r="F12" s="329">
        <f ca="1">OFFSET('Historical NAV'!J1, COUNT('Historical NAV'!A:A),,,)</f>
        <v>2135827.3897062987</v>
      </c>
      <c r="G12" s="356" t="e">
        <f>G14*G6</f>
        <v>#REF!</v>
      </c>
      <c r="H12" s="329" t="e">
        <f>H14*H6</f>
        <v>#REF!</v>
      </c>
    </row>
    <row r="13" spans="1:15">
      <c r="A13" s="347"/>
      <c r="B13" s="328"/>
      <c r="C13" s="329"/>
      <c r="D13" s="348"/>
      <c r="E13" s="349"/>
      <c r="F13" s="329"/>
      <c r="G13" s="356"/>
      <c r="H13" s="329"/>
    </row>
    <row r="14" spans="1:15">
      <c r="A14" s="330" t="s">
        <v>94</v>
      </c>
      <c r="B14" s="331"/>
      <c r="C14" s="338" t="e">
        <f ca="1">C12/C6</f>
        <v>#REF!</v>
      </c>
      <c r="D14" s="339"/>
      <c r="E14" s="340"/>
      <c r="F14" s="334">
        <f ca="1">OFFSET('Historical NAV'!K1, COUNT('Historical NAV'!A:A),,,)</f>
        <v>3.216395347352563E-2</v>
      </c>
      <c r="G14" s="39" t="e">
        <f>IB_html!#REF!</f>
        <v>#REF!</v>
      </c>
      <c r="H14" s="14" t="e">
        <f>IB_html!#REF!</f>
        <v>#REF!</v>
      </c>
    </row>
    <row r="15" spans="1:15">
      <c r="A15" s="330"/>
      <c r="B15" s="331"/>
      <c r="C15" s="338"/>
      <c r="D15" s="339"/>
      <c r="E15" s="340"/>
      <c r="F15" s="334"/>
      <c r="G15" s="15" t="e">
        <f>IB_html!#REF!</f>
        <v>#REF!</v>
      </c>
      <c r="H15" s="15" t="e">
        <f>IB_html!#REF!</f>
        <v>#REF!</v>
      </c>
    </row>
    <row r="16" spans="1:15">
      <c r="A16" s="328" t="s">
        <v>95</v>
      </c>
      <c r="B16" s="328"/>
      <c r="C16" s="16"/>
      <c r="D16" s="16"/>
      <c r="E16" s="17"/>
      <c r="F16" s="329">
        <f ca="1">OFFSET('Historical NAV'!F1, COUNT('Historical NAV'!A:A),,,)</f>
        <v>-37763.856217004359</v>
      </c>
      <c r="G16" s="329"/>
      <c r="H16" s="329"/>
      <c r="N16" s="8"/>
    </row>
    <row r="17" spans="1:11">
      <c r="A17" s="328"/>
      <c r="B17" s="328"/>
      <c r="C17" s="16"/>
      <c r="D17" s="16"/>
      <c r="E17" s="17"/>
      <c r="F17" s="329"/>
      <c r="G17" s="329"/>
      <c r="H17" s="329"/>
    </row>
    <row r="18" spans="1:11">
      <c r="A18" s="330" t="s">
        <v>57</v>
      </c>
      <c r="B18" s="331"/>
      <c r="C18" s="18"/>
      <c r="D18" s="18"/>
      <c r="E18" s="19"/>
      <c r="F18" s="334">
        <f ca="1">OFFSET('Historical NAV'!G1, COUNT('Historical NAV'!A:A),,,)</f>
        <v>-5.8659181055450429E-4</v>
      </c>
      <c r="G18" s="336"/>
      <c r="H18" s="336"/>
    </row>
    <row r="19" spans="1:11">
      <c r="A19" s="332"/>
      <c r="B19" s="333"/>
      <c r="C19" s="20"/>
      <c r="D19" s="20"/>
      <c r="E19" s="21"/>
      <c r="F19" s="335"/>
      <c r="G19" s="337"/>
      <c r="H19" s="337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24" t="s">
        <v>59</v>
      </c>
      <c r="B21" s="325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26" t="s">
        <v>57</v>
      </c>
      <c r="B22" s="327"/>
      <c r="C22" s="25" t="e">
        <f>_xll.BDP(C27,$A27)/100</f>
        <v>#VALUE!</v>
      </c>
      <c r="D22" s="25" t="e">
        <f>_xll.BDP(D27,$A27)/100</f>
        <v>#VALUE!</v>
      </c>
      <c r="E22" s="26" t="e">
        <f>_xll.BDP(E27,$A27)/100</f>
        <v>#VALUE!</v>
      </c>
      <c r="F22" s="27" t="e">
        <f>_xll.BDP(F27,$A27)/100</f>
        <v>#VALUE!</v>
      </c>
      <c r="G22" s="27" t="e">
        <f>_xll.BDP(G27,$A27)/100</f>
        <v>#VALUE!</v>
      </c>
      <c r="H22" s="25" t="e">
        <f>_xll.BDP(H27,$A27)/100</f>
        <v>#VALUE!</v>
      </c>
    </row>
    <row r="23" spans="1:11">
      <c r="A23" s="322" t="s">
        <v>66</v>
      </c>
      <c r="B23" s="323"/>
      <c r="C23" s="28" t="e">
        <f>_xll.BDP(C27,$A28)/100</f>
        <v>#VALUE!</v>
      </c>
      <c r="D23" s="28" t="e">
        <f>_xll.BDP(D27,$A28)/100</f>
        <v>#VALUE!</v>
      </c>
      <c r="E23" s="29" t="e">
        <f>_xll.BDP(E27,$A28)/100</f>
        <v>#VALUE!</v>
      </c>
      <c r="F23" s="30" t="e">
        <f>_xll.BDP(F27,$A28)/100</f>
        <v>#VALUE!</v>
      </c>
      <c r="G23" s="30" t="e">
        <f>_xll.BDP(G27,$A28)/100</f>
        <v>#VALUE!</v>
      </c>
      <c r="H23" s="28" t="e">
        <f>_xll.BDP(H27,$A28)/100</f>
        <v>#VALUE!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  <mergeCell ref="C6:E7"/>
    <mergeCell ref="F6:F7"/>
    <mergeCell ref="G6:G7"/>
    <mergeCell ref="G8:G9"/>
    <mergeCell ref="C8:E9"/>
    <mergeCell ref="F8:F9"/>
    <mergeCell ref="G18:G19"/>
    <mergeCell ref="H18:H19"/>
    <mergeCell ref="A14:B15"/>
    <mergeCell ref="C14:E15"/>
    <mergeCell ref="F14:F15"/>
    <mergeCell ref="G16:G17"/>
    <mergeCell ref="H16:H17"/>
    <mergeCell ref="A23:B23"/>
    <mergeCell ref="A21:B21"/>
    <mergeCell ref="A22:B22"/>
    <mergeCell ref="A16:B17"/>
    <mergeCell ref="F16:F17"/>
    <mergeCell ref="A18:B19"/>
    <mergeCell ref="F18:F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2025-01-10T06:34:43Z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