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98CC2442-A9DF-4717-A5AE-63A9F01C661E}" xr6:coauthVersionLast="47" xr6:coauthVersionMax="47" xr10:uidLastSave="{00000000-0000-0000-0000-000000000000}"/>
  <bookViews>
    <workbookView xWindow="-120" yWindow="-120" windowWidth="29040" windowHeight="15720" tabRatio="719" activeTab="4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6" l="1" a="1"/>
  <c r="G6" i="16"/>
  <c r="G8" i="16" a="1"/>
  <c r="G8" i="16"/>
  <c r="G9" i="16" a="1"/>
  <c r="G9" i="16"/>
  <c r="G10" i="16" a="1"/>
  <c r="G10" i="16"/>
  <c r="G7" i="16" a="1"/>
  <c r="G7" i="16"/>
  <c r="H7" i="16" a="1"/>
  <c r="H7" i="16"/>
  <c r="H9" i="16" a="1"/>
  <c r="H9" i="16"/>
  <c r="H6" i="16" a="1"/>
  <c r="H6" i="16"/>
  <c r="H8" i="16" a="1"/>
  <c r="H8" i="16"/>
  <c r="H10" i="16" a="1"/>
  <c r="H10" i="16"/>
  <c r="D6" i="16" a="1"/>
  <c r="D6" i="16"/>
  <c r="D10" i="16" a="1"/>
  <c r="D10" i="16"/>
  <c r="D7" i="16" a="1"/>
  <c r="D7" i="16"/>
  <c r="D8" i="16" a="1"/>
  <c r="D8" i="16"/>
  <c r="D9" i="16" a="1"/>
  <c r="D9" i="16"/>
  <c r="F6" i="16" a="1"/>
  <c r="F6" i="16"/>
  <c r="F7" i="16" a="1"/>
  <c r="F7" i="16"/>
  <c r="F8" i="16" a="1"/>
  <c r="F8" i="16"/>
  <c r="F9" i="16" a="1"/>
  <c r="F9" i="16"/>
  <c r="F10" i="16" a="1"/>
  <c r="F10" i="16"/>
  <c r="E9" i="16" a="1"/>
  <c r="E9" i="16"/>
  <c r="E8" i="16" a="1"/>
  <c r="E8" i="16"/>
  <c r="E6" i="16" a="1"/>
  <c r="E6" i="16"/>
  <c r="E10" i="16" a="1"/>
  <c r="E10" i="16"/>
  <c r="E7" i="16" a="1"/>
  <c r="E7" i="16"/>
  <c r="F23" i="4"/>
  <c r="F22" i="4"/>
  <c r="H23" i="4"/>
  <c r="D22" i="4"/>
  <c r="D23" i="4"/>
  <c r="E22" i="4"/>
  <c r="E23" i="4"/>
  <c r="H22" i="4"/>
  <c r="K6" i="16"/>
  <c r="K10" i="16"/>
  <c r="C22" i="4"/>
  <c r="L10" i="16" a="1"/>
  <c r="L10" i="16"/>
  <c r="G22" i="4"/>
  <c r="I6" i="16"/>
  <c r="J6" i="16"/>
  <c r="G23" i="4"/>
  <c r="J10" i="16" a="1"/>
  <c r="J10" i="16"/>
  <c r="C23" i="4"/>
  <c r="I10" i="16"/>
  <c r="L6" i="16" a="1"/>
  <c r="L6" i="16"/>
  <c r="K9" i="16"/>
  <c r="L9" i="16" a="1"/>
  <c r="L9" i="16"/>
  <c r="K8" i="16"/>
  <c r="I7" i="16" a="1"/>
  <c r="I7" i="16"/>
  <c r="J9" i="16" a="1"/>
  <c r="J9" i="16"/>
  <c r="L8" i="16" a="1"/>
  <c r="L8" i="16"/>
  <c r="K7" i="16"/>
  <c r="J8" i="16" a="1"/>
  <c r="J8" i="16"/>
  <c r="L7" i="16" a="1"/>
  <c r="L7" i="16"/>
  <c r="I9" i="16" a="1"/>
  <c r="I9" i="16"/>
  <c r="J7" i="16" a="1"/>
  <c r="J7" i="16"/>
  <c r="I8" i="16" a="1"/>
  <c r="I8" i="16"/>
  <c r="C24" i="4"/>
  <c r="X1173" i="14"/>
  <c r="E1173" i="14"/>
  <c r="D1173" i="14"/>
  <c r="C1173" i="14"/>
  <c r="B1173" i="14"/>
  <c r="A1173" i="14"/>
  <c r="L183" i="13"/>
  <c r="A183" i="13"/>
  <c r="X1175" i="3"/>
  <c r="D1175" i="3"/>
  <c r="J19" i="16"/>
  <c r="E17" i="16"/>
  <c r="F17" i="16" s="1"/>
  <c r="G17" i="16" s="1"/>
  <c r="H17" i="16" s="1"/>
  <c r="T16" i="16"/>
  <c r="F16" i="16"/>
  <c r="G16" i="16" s="1"/>
  <c r="H16" i="16" s="1"/>
  <c r="T12" i="16"/>
  <c r="T10" i="16"/>
  <c r="F1173" i="14" l="1"/>
  <c r="U8" i="16" l="1"/>
  <c r="U7" i="16" l="1"/>
  <c r="U6" i="16" l="1"/>
  <c r="U5" i="16" l="1"/>
  <c r="H5" i="16"/>
  <c r="G5" i="16"/>
  <c r="F5" i="16"/>
  <c r="E5" i="16"/>
  <c r="D5" i="16"/>
  <c r="J5" i="16" s="1"/>
  <c r="T4" i="16"/>
  <c r="O5" i="16" s="1"/>
  <c r="Q5" i="16" s="1"/>
  <c r="P4" i="16"/>
  <c r="H4" i="16"/>
  <c r="G4" i="16"/>
  <c r="F4" i="16"/>
  <c r="D4" i="16"/>
  <c r="T3" i="16"/>
  <c r="T5" i="16" s="1"/>
  <c r="P9" i="16" l="1"/>
  <c r="P8" i="16" s="1"/>
  <c r="L5" i="16"/>
  <c r="K5" i="16"/>
  <c r="P10" i="16"/>
  <c r="T8" i="16"/>
  <c r="T7" i="16"/>
  <c r="T6" i="16"/>
  <c r="T9" i="16" s="1"/>
  <c r="O4" i="16"/>
  <c r="P6" i="16" s="1"/>
  <c r="X1172" i="14"/>
  <c r="E1172" i="14"/>
  <c r="D1172" i="14"/>
  <c r="C1172" i="14"/>
  <c r="B1172" i="14"/>
  <c r="A1172" i="14"/>
  <c r="L182" i="13"/>
  <c r="A182" i="13"/>
  <c r="X1174" i="3"/>
  <c r="D1174" i="3"/>
  <c r="F1175" i="3" s="1"/>
  <c r="G1175" i="3" l="1"/>
  <c r="O7" i="16"/>
  <c r="Q7" i="16" s="1"/>
  <c r="U9" i="16"/>
  <c r="T13" i="16"/>
  <c r="T17" i="16" s="1"/>
  <c r="T18" i="16" s="1"/>
  <c r="O6" i="16"/>
  <c r="Q6" i="16" s="1"/>
  <c r="Q4" i="16"/>
  <c r="F1172" i="14"/>
  <c r="H1173" i="14" s="1"/>
  <c r="I1173" i="14" s="1"/>
  <c r="L1173" i="14" l="1"/>
  <c r="Y1173" i="14"/>
  <c r="Z1173" i="14" s="1"/>
  <c r="AA1173" i="14" s="1"/>
  <c r="L1175" i="3"/>
  <c r="Y1175" i="3"/>
  <c r="Z1175" i="3" s="1"/>
  <c r="AA1175" i="3" s="1"/>
  <c r="X1171" i="14"/>
  <c r="E1171" i="14"/>
  <c r="D1171" i="14"/>
  <c r="C1171" i="14"/>
  <c r="B1171" i="14"/>
  <c r="A1171" i="14"/>
  <c r="L181" i="13"/>
  <c r="A181" i="13"/>
  <c r="X1173" i="3"/>
  <c r="D1173" i="3"/>
  <c r="F1174" i="3" s="1"/>
  <c r="X1170" i="14"/>
  <c r="E1170" i="14"/>
  <c r="D1170" i="14"/>
  <c r="C1170" i="14"/>
  <c r="B1170" i="14"/>
  <c r="A1170" i="14"/>
  <c r="L180" i="13"/>
  <c r="A180" i="13"/>
  <c r="X1172" i="3"/>
  <c r="D1172" i="3"/>
  <c r="F1173" i="3" s="1"/>
  <c r="G1173" i="3" s="1"/>
  <c r="X1169" i="14"/>
  <c r="E1169" i="14"/>
  <c r="D1169" i="14"/>
  <c r="C1169" i="14"/>
  <c r="B1169" i="14"/>
  <c r="A1169" i="14"/>
  <c r="L179" i="13"/>
  <c r="A179" i="13"/>
  <c r="X1171" i="3"/>
  <c r="D1171" i="3"/>
  <c r="F1172" i="3" s="1"/>
  <c r="G1172" i="3" s="1"/>
  <c r="G1174" i="3" l="1"/>
  <c r="F1171" i="14"/>
  <c r="H1172" i="14" s="1"/>
  <c r="I1172" i="14" s="1"/>
  <c r="L1173" i="3"/>
  <c r="Y1173" i="3"/>
  <c r="Z1173" i="3" s="1"/>
  <c r="AA1173" i="3" s="1"/>
  <c r="F1170" i="14"/>
  <c r="H1171" i="14" s="1"/>
  <c r="I1171" i="14" s="1"/>
  <c r="L1172" i="3"/>
  <c r="Y1172" i="3"/>
  <c r="Z1172" i="3" s="1"/>
  <c r="AA1172" i="3" s="1"/>
  <c r="F1169" i="14"/>
  <c r="H1170" i="14" s="1"/>
  <c r="I1170" i="14" s="1"/>
  <c r="Y1172" i="14" l="1"/>
  <c r="Z1172" i="14" s="1"/>
  <c r="AA1172" i="14" s="1"/>
  <c r="L1172" i="14"/>
  <c r="Y1174" i="3"/>
  <c r="Z1174" i="3" s="1"/>
  <c r="AA1174" i="3" s="1"/>
  <c r="L1174" i="3"/>
  <c r="L1171" i="14"/>
  <c r="Y1171" i="14"/>
  <c r="Z1171" i="14" s="1"/>
  <c r="AA1171" i="14" s="1"/>
  <c r="L1170" i="14"/>
  <c r="Y1170" i="14"/>
  <c r="Z1170" i="14" s="1"/>
  <c r="AA1170" i="14" s="1"/>
  <c r="D1170" i="3" l="1"/>
  <c r="F1171" i="3" s="1"/>
  <c r="X1168" i="14"/>
  <c r="E1168" i="14"/>
  <c r="D1168" i="14"/>
  <c r="C1168" i="14"/>
  <c r="B1168" i="14"/>
  <c r="A1168" i="14"/>
  <c r="L178" i="13"/>
  <c r="A178" i="13"/>
  <c r="X1170" i="3"/>
  <c r="A650" i="18"/>
  <c r="G1171" i="3" l="1"/>
  <c r="F1168" i="14"/>
  <c r="H1169" i="14" s="1"/>
  <c r="I1169" i="14" s="1"/>
  <c r="J1169" i="14" l="1"/>
  <c r="J1170" i="14" s="1"/>
  <c r="J1171" i="14" s="1"/>
  <c r="J1172" i="14" s="1"/>
  <c r="J1173" i="14" s="1"/>
  <c r="G1169" i="14"/>
  <c r="G1170" i="14" s="1"/>
  <c r="G1171" i="14" s="1"/>
  <c r="G1172" i="14" s="1"/>
  <c r="G1173" i="14" s="1"/>
  <c r="L1169" i="14"/>
  <c r="Y1169" i="14"/>
  <c r="Z1169" i="14" s="1"/>
  <c r="AA1169" i="14" s="1"/>
  <c r="L1171" i="3"/>
  <c r="Y1171" i="3"/>
  <c r="Z1171" i="3" s="1"/>
  <c r="AA1171" i="3" s="1"/>
  <c r="X1169" i="3"/>
  <c r="D1169" i="3"/>
  <c r="F1170" i="3" s="1"/>
  <c r="G1170" i="3" l="1"/>
  <c r="L1170" i="3" s="1"/>
  <c r="Y1170" i="3" l="1"/>
  <c r="Z1170" i="3" s="1"/>
  <c r="AA1170" i="3" s="1"/>
  <c r="X1167" i="14"/>
  <c r="E1167" i="14"/>
  <c r="D1167" i="14"/>
  <c r="C1167" i="14"/>
  <c r="B1167" i="14"/>
  <c r="F1167" i="14" s="1"/>
  <c r="H1168" i="14" s="1"/>
  <c r="I1168" i="14" s="1"/>
  <c r="A1167" i="14"/>
  <c r="L177" i="13"/>
  <c r="A177" i="13"/>
  <c r="L1168" i="14" l="1"/>
  <c r="Y1168" i="14"/>
  <c r="Z1168" i="14" s="1"/>
  <c r="AA1168" i="14" s="1"/>
  <c r="X1166" i="14" l="1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E1169" i="3" l="1"/>
  <c r="E1170" i="3" s="1"/>
  <c r="E1171" i="3" s="1"/>
  <c r="E1172" i="3" s="1"/>
  <c r="E1173" i="3" s="1"/>
  <c r="E1174" i="3" s="1"/>
  <c r="E1175" i="3" s="1"/>
  <c r="F1169" i="3"/>
  <c r="G1168" i="3"/>
  <c r="L1168" i="3" s="1"/>
  <c r="F1166" i="14"/>
  <c r="H1167" i="14" s="1"/>
  <c r="I1167" i="14" s="1"/>
  <c r="F1165" i="14"/>
  <c r="H1166" i="14" s="1"/>
  <c r="I1166" i="14" s="1"/>
  <c r="G1169" i="3" l="1"/>
  <c r="J1169" i="3"/>
  <c r="J1170" i="3" s="1"/>
  <c r="J1171" i="3" s="1"/>
  <c r="L1167" i="14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P1175" i="3" l="1"/>
  <c r="O1175" i="3"/>
  <c r="O1174" i="3"/>
  <c r="P1174" i="3"/>
  <c r="P1173" i="3"/>
  <c r="O1173" i="3"/>
  <c r="J1172" i="3"/>
  <c r="J1173" i="3" s="1"/>
  <c r="J1174" i="3" s="1"/>
  <c r="J1175" i="3" s="1"/>
  <c r="O8" i="16" s="1"/>
  <c r="O1172" i="3"/>
  <c r="O1171" i="3"/>
  <c r="P1171" i="3"/>
  <c r="P1172" i="3"/>
  <c r="P1170" i="3"/>
  <c r="O1170" i="3"/>
  <c r="H1169" i="3"/>
  <c r="H1170" i="3" s="1"/>
  <c r="H1171" i="3" s="1"/>
  <c r="H1172" i="3" s="1"/>
  <c r="H1173" i="3" s="1"/>
  <c r="H1174" i="3" s="1"/>
  <c r="H1175" i="3" s="1"/>
  <c r="P1169" i="3"/>
  <c r="O1169" i="3"/>
  <c r="Y1169" i="3"/>
  <c r="Z1169" i="3" s="1"/>
  <c r="AA1169" i="3" s="1"/>
  <c r="K1169" i="3"/>
  <c r="L1169" i="3"/>
  <c r="N1175" i="3" s="1"/>
  <c r="X1164" i="14"/>
  <c r="E1164" i="14"/>
  <c r="D1164" i="14"/>
  <c r="C1164" i="14"/>
  <c r="B1164" i="14"/>
  <c r="A1164" i="14"/>
  <c r="L174" i="13"/>
  <c r="A174" i="13"/>
  <c r="X1166" i="3"/>
  <c r="D1166" i="3"/>
  <c r="F1167" i="3" s="1"/>
  <c r="Q8" i="16" l="1"/>
  <c r="O10" i="16"/>
  <c r="Q10" i="16" s="1"/>
  <c r="W1175" i="3"/>
  <c r="N1173" i="3"/>
  <c r="N1174" i="3"/>
  <c r="W1174" i="3"/>
  <c r="W1169" i="3"/>
  <c r="W1173" i="3"/>
  <c r="N1171" i="3"/>
  <c r="N1172" i="3"/>
  <c r="W1172" i="3"/>
  <c r="W1171" i="3"/>
  <c r="N1170" i="3"/>
  <c r="I1169" i="3"/>
  <c r="I1170" i="3" s="1"/>
  <c r="I1171" i="3" s="1"/>
  <c r="I1172" i="3" s="1"/>
  <c r="I1173" i="3" s="1"/>
  <c r="I1174" i="3" s="1"/>
  <c r="I1175" i="3" s="1"/>
  <c r="K1170" i="3"/>
  <c r="K1171" i="3" s="1"/>
  <c r="W1170" i="3"/>
  <c r="N1169" i="3"/>
  <c r="G1167" i="3"/>
  <c r="F1164" i="14"/>
  <c r="H1165" i="14" s="1"/>
  <c r="I1165" i="14" s="1"/>
  <c r="K1172" i="3" l="1"/>
  <c r="K1173" i="3" s="1"/>
  <c r="K1174" i="3" s="1"/>
  <c r="K1175" i="3" s="1"/>
  <c r="O9" i="16" s="1"/>
  <c r="L1165" i="14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G1166" i="3" l="1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G1164" i="3" s="1"/>
  <c r="A649" i="18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G1149" i="3" s="1"/>
  <c r="X1145" i="14"/>
  <c r="E1145" i="14"/>
  <c r="D1145" i="14"/>
  <c r="C1145" i="14"/>
  <c r="B1145" i="14"/>
  <c r="A1145" i="14"/>
  <c r="L154" i="13"/>
  <c r="A154" i="13"/>
  <c r="X1147" i="3"/>
  <c r="D1147" i="3"/>
  <c r="F1148" i="3" s="1"/>
  <c r="G1148" i="3" s="1"/>
  <c r="X1144" i="14"/>
  <c r="E1144" i="14"/>
  <c r="D1144" i="14"/>
  <c r="C1144" i="14"/>
  <c r="B1144" i="14"/>
  <c r="A1144" i="14"/>
  <c r="L153" i="13"/>
  <c r="A153" i="13"/>
  <c r="X1146" i="3"/>
  <c r="D1146" i="3"/>
  <c r="F1147" i="3" s="1"/>
  <c r="G1147" i="3" s="1"/>
  <c r="K1147" i="3" s="1"/>
  <c r="I1147" i="3" s="1"/>
  <c r="X1143" i="14"/>
  <c r="E1143" i="14"/>
  <c r="D1143" i="14"/>
  <c r="C1143" i="14"/>
  <c r="B1143" i="14"/>
  <c r="A1143" i="14"/>
  <c r="L152" i="13"/>
  <c r="A152" i="13"/>
  <c r="G1154" i="3" l="1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Y1152" i="3"/>
  <c r="Z1152" i="3" s="1"/>
  <c r="AA1152" i="3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H1146" i="14" s="1"/>
  <c r="I1146" i="14" s="1"/>
  <c r="L1147" i="3"/>
  <c r="Y1147" i="3"/>
  <c r="Z1147" i="3" s="1"/>
  <c r="AA1147" i="3" s="1"/>
  <c r="F1144" i="14"/>
  <c r="H1145" i="14" s="1"/>
  <c r="I1145" i="14" s="1"/>
  <c r="F1143" i="14"/>
  <c r="H1144" i="14" s="1"/>
  <c r="I1144" i="14" s="1"/>
  <c r="X1145" i="3"/>
  <c r="D1145" i="3"/>
  <c r="F1146" i="3" s="1"/>
  <c r="G1146" i="3" s="1"/>
  <c r="AC1175" i="3" s="1"/>
  <c r="X1142" i="14"/>
  <c r="E1142" i="14"/>
  <c r="D1142" i="14"/>
  <c r="C1142" i="14"/>
  <c r="B1142" i="14"/>
  <c r="A1142" i="14"/>
  <c r="L151" i="13"/>
  <c r="A151" i="13"/>
  <c r="X1144" i="3"/>
  <c r="D1144" i="3"/>
  <c r="X1141" i="14"/>
  <c r="E1141" i="14"/>
  <c r="D1141" i="14"/>
  <c r="C1141" i="14"/>
  <c r="B1141" i="14"/>
  <c r="A1141" i="14"/>
  <c r="L150" i="13"/>
  <c r="A150" i="13"/>
  <c r="X1143" i="3"/>
  <c r="D1143" i="3"/>
  <c r="X1142" i="3"/>
  <c r="D1142" i="3"/>
  <c r="F1145" i="3" l="1"/>
  <c r="G1145" i="3" s="1"/>
  <c r="Q1175" i="3"/>
  <c r="R1175" i="3" s="1"/>
  <c r="AC1174" i="3"/>
  <c r="F1144" i="3"/>
  <c r="G1144" i="3" s="1"/>
  <c r="Q1174" i="3"/>
  <c r="R1174" i="3" s="1"/>
  <c r="F1143" i="3"/>
  <c r="G1143" i="3" s="1"/>
  <c r="Q1173" i="3"/>
  <c r="R1173" i="3" s="1"/>
  <c r="AC1173" i="3"/>
  <c r="AC1172" i="3"/>
  <c r="I1154" i="3"/>
  <c r="I1155" i="3" s="1"/>
  <c r="L1152" i="14"/>
  <c r="Y1152" i="14"/>
  <c r="Z1152" i="14" s="1"/>
  <c r="AA1152" i="14" s="1"/>
  <c r="J1147" i="14"/>
  <c r="J1148" i="14" s="1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J1168" i="14" s="1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L1146" i="14"/>
  <c r="Y1146" i="14"/>
  <c r="Z1146" i="14" s="1"/>
  <c r="AA1146" i="14" s="1"/>
  <c r="L1145" i="14"/>
  <c r="Y1145" i="14"/>
  <c r="Z1145" i="14" s="1"/>
  <c r="AA1145" i="14" s="1"/>
  <c r="L1144" i="14"/>
  <c r="Y1144" i="14"/>
  <c r="Z1144" i="14" s="1"/>
  <c r="AA1144" i="14" s="1"/>
  <c r="L1146" i="3"/>
  <c r="Y1146" i="3"/>
  <c r="Z1146" i="3" s="1"/>
  <c r="AA1146" i="3" s="1"/>
  <c r="L1145" i="3"/>
  <c r="Y1145" i="3"/>
  <c r="Z1145" i="3" s="1"/>
  <c r="AA1145" i="3" s="1"/>
  <c r="F1142" i="14"/>
  <c r="L1144" i="3"/>
  <c r="Y1144" i="3"/>
  <c r="Z1144" i="3" s="1"/>
  <c r="AA1144" i="3" s="1"/>
  <c r="F1141" i="14"/>
  <c r="Y1143" i="3"/>
  <c r="Z1143" i="3" s="1"/>
  <c r="AA1143" i="3" s="1"/>
  <c r="L1143" i="3"/>
  <c r="X1140" i="14"/>
  <c r="E1140" i="14"/>
  <c r="D1140" i="14"/>
  <c r="C1140" i="14"/>
  <c r="B1140" i="14"/>
  <c r="A1140" i="14"/>
  <c r="L149" i="13"/>
  <c r="A149" i="13"/>
  <c r="X1141" i="3"/>
  <c r="D1141" i="3"/>
  <c r="Q1172" i="3" s="1"/>
  <c r="R1172" i="3" s="1"/>
  <c r="X1139" i="14"/>
  <c r="E1139" i="14"/>
  <c r="D1139" i="14"/>
  <c r="C1139" i="14"/>
  <c r="B1139" i="14"/>
  <c r="A1139" i="14"/>
  <c r="L148" i="13"/>
  <c r="A148" i="13"/>
  <c r="X1140" i="3"/>
  <c r="D1140" i="3"/>
  <c r="Q1171" i="3" s="1"/>
  <c r="R1171" i="3" s="1"/>
  <c r="X1138" i="14"/>
  <c r="E1138" i="14"/>
  <c r="D1138" i="14"/>
  <c r="C1138" i="14"/>
  <c r="B1138" i="14"/>
  <c r="A1138" i="14"/>
  <c r="L147" i="13"/>
  <c r="A147" i="13"/>
  <c r="X1139" i="3"/>
  <c r="D1139" i="3"/>
  <c r="X1137" i="14"/>
  <c r="E1137" i="14"/>
  <c r="D1137" i="14"/>
  <c r="C1137" i="14"/>
  <c r="B1137" i="14"/>
  <c r="A1137" i="14"/>
  <c r="L146" i="13"/>
  <c r="A146" i="13"/>
  <c r="X1138" i="3"/>
  <c r="D1138" i="3"/>
  <c r="F1139" i="3" s="1"/>
  <c r="G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H1143" i="14" l="1"/>
  <c r="I1143" i="14" s="1"/>
  <c r="Q1173" i="14"/>
  <c r="R1173" i="14" s="1"/>
  <c r="H1142" i="14"/>
  <c r="I1142" i="14" s="1"/>
  <c r="AC1173" i="14" s="1"/>
  <c r="Q1172" i="14"/>
  <c r="R1172" i="14" s="1"/>
  <c r="F1140" i="3"/>
  <c r="G1140" i="3" s="1"/>
  <c r="L1140" i="3" s="1"/>
  <c r="Q1170" i="3"/>
  <c r="R1170" i="3" s="1"/>
  <c r="F1142" i="3"/>
  <c r="F1141" i="3"/>
  <c r="G1141" i="3" s="1"/>
  <c r="Q1169" i="3"/>
  <c r="R1169" i="3" s="1"/>
  <c r="F1138" i="3"/>
  <c r="G1138" i="3" s="1"/>
  <c r="L1138" i="3" s="1"/>
  <c r="Q1168" i="3"/>
  <c r="R1168" i="3" s="1"/>
  <c r="F1137" i="3"/>
  <c r="G1137" i="3" s="1"/>
  <c r="Q1167" i="3"/>
  <c r="R1167" i="3" s="1"/>
  <c r="F1136" i="3"/>
  <c r="G1136" i="3" s="1"/>
  <c r="Y1136" i="3" s="1"/>
  <c r="Z1136" i="3" s="1"/>
  <c r="AA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G1142" i="3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L1143" i="14"/>
  <c r="Y1143" i="14"/>
  <c r="Z1143" i="14" s="1"/>
  <c r="AA1143" i="14" s="1"/>
  <c r="F1115" i="3"/>
  <c r="G1115" i="3" s="1"/>
  <c r="Q1145" i="3"/>
  <c r="R1145" i="3" s="1"/>
  <c r="Y1142" i="14"/>
  <c r="Z1142" i="14" s="1"/>
  <c r="AA1142" i="14" s="1"/>
  <c r="L1142" i="14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F1139" i="14"/>
  <c r="F1138" i="14"/>
  <c r="L1139" i="3"/>
  <c r="Y1139" i="3"/>
  <c r="Z1139" i="3" s="1"/>
  <c r="AA1139" i="3" s="1"/>
  <c r="F1137" i="14"/>
  <c r="Y1138" i="3"/>
  <c r="Z1138" i="3" s="1"/>
  <c r="AA1138" i="3" s="1"/>
  <c r="F1136" i="14"/>
  <c r="F1135" i="14"/>
  <c r="H1135" i="14"/>
  <c r="I1135" i="14" s="1"/>
  <c r="H1132" i="14"/>
  <c r="I1132" i="14" s="1"/>
  <c r="F1133" i="14"/>
  <c r="F1132" i="14"/>
  <c r="F1130" i="14"/>
  <c r="F1129" i="14"/>
  <c r="F1128" i="14"/>
  <c r="L133" i="1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X1088" i="14"/>
  <c r="E1088" i="14"/>
  <c r="D1088" i="14"/>
  <c r="C1088" i="14"/>
  <c r="B1088" i="14"/>
  <c r="A1088" i="14"/>
  <c r="L96" i="13"/>
  <c r="A96" i="13"/>
  <c r="X1088" i="3"/>
  <c r="D1088" i="3"/>
  <c r="X1087" i="14"/>
  <c r="E1087" i="14"/>
  <c r="D1087" i="14"/>
  <c r="C1087" i="14"/>
  <c r="B1087" i="14"/>
  <c r="A1087" i="14"/>
  <c r="L95" i="13"/>
  <c r="A95" i="13"/>
  <c r="X1087" i="3"/>
  <c r="D1087" i="3"/>
  <c r="X1086" i="14"/>
  <c r="E1086" i="14"/>
  <c r="D1086" i="14"/>
  <c r="C1086" i="14"/>
  <c r="B1086" i="14"/>
  <c r="A1086" i="14"/>
  <c r="A94" i="13"/>
  <c r="X1086" i="3"/>
  <c r="D1086" i="3"/>
  <c r="S1175" i="3" s="1"/>
  <c r="T1175" i="3" s="1"/>
  <c r="X1085" i="14"/>
  <c r="E1085" i="14"/>
  <c r="D1085" i="14"/>
  <c r="C1085" i="14"/>
  <c r="B1085" i="14"/>
  <c r="A1085" i="14"/>
  <c r="L93" i="13"/>
  <c r="A93" i="13"/>
  <c r="X1085" i="3"/>
  <c r="D1085" i="3"/>
  <c r="S1174" i="3" s="1"/>
  <c r="T1174" i="3" s="1"/>
  <c r="X1084" i="14"/>
  <c r="E1084" i="14"/>
  <c r="D1084" i="14"/>
  <c r="C1084" i="14"/>
  <c r="B1084" i="14"/>
  <c r="A1084" i="14"/>
  <c r="L92" i="13"/>
  <c r="A92" i="13"/>
  <c r="X1084" i="3"/>
  <c r="D1084" i="3"/>
  <c r="S1173" i="3" s="1"/>
  <c r="T1173" i="3" s="1"/>
  <c r="X1083" i="14"/>
  <c r="E1083" i="14"/>
  <c r="D1083" i="14"/>
  <c r="C1083" i="14"/>
  <c r="B1083" i="14"/>
  <c r="A1083" i="14"/>
  <c r="A91" i="13"/>
  <c r="X1083" i="3"/>
  <c r="D1083" i="3"/>
  <c r="S1172" i="3" s="1"/>
  <c r="T1172" i="3" s="1"/>
  <c r="X1082" i="14"/>
  <c r="E1082" i="14"/>
  <c r="D1082" i="14"/>
  <c r="C1082" i="14"/>
  <c r="B1082" i="14"/>
  <c r="A1082" i="14"/>
  <c r="L90" i="13"/>
  <c r="A90" i="13"/>
  <c r="X1082" i="3"/>
  <c r="D1082" i="3"/>
  <c r="S1171" i="3" s="1"/>
  <c r="T1171" i="3" s="1"/>
  <c r="X1081" i="14"/>
  <c r="E1081" i="14"/>
  <c r="D1081" i="14"/>
  <c r="C1081" i="14"/>
  <c r="B1081" i="14"/>
  <c r="A1081" i="14"/>
  <c r="L89" i="13"/>
  <c r="A89" i="13"/>
  <c r="X1081" i="3"/>
  <c r="D1081" i="3"/>
  <c r="S1170" i="3" s="1"/>
  <c r="T1170" i="3" s="1"/>
  <c r="X1080" i="14"/>
  <c r="E1080" i="14"/>
  <c r="D1080" i="14"/>
  <c r="C1080" i="14"/>
  <c r="B1080" i="14"/>
  <c r="A1080" i="14"/>
  <c r="L88" i="13"/>
  <c r="A88" i="13"/>
  <c r="X1080" i="3"/>
  <c r="D1080" i="3"/>
  <c r="S1169" i="3" s="1"/>
  <c r="T1169" i="3" s="1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G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H1141" i="14" l="1"/>
  <c r="I1141" i="14" s="1"/>
  <c r="AC1172" i="14" s="1"/>
  <c r="Q1171" i="14"/>
  <c r="R1171" i="14" s="1"/>
  <c r="H1140" i="14"/>
  <c r="I1140" i="14" s="1"/>
  <c r="AC1171" i="14" s="1"/>
  <c r="Q1170" i="14"/>
  <c r="R1170" i="14" s="1"/>
  <c r="L1129" i="3"/>
  <c r="Y1140" i="3"/>
  <c r="Z1140" i="3" s="1"/>
  <c r="AA1140" i="3" s="1"/>
  <c r="H1139" i="14"/>
  <c r="I1139" i="14" s="1"/>
  <c r="AC1170" i="14" s="1"/>
  <c r="Q1169" i="14"/>
  <c r="R1169" i="14" s="1"/>
  <c r="Y1142" i="3"/>
  <c r="Z1142" i="3" s="1"/>
  <c r="AA1142" i="3" s="1"/>
  <c r="AC1171" i="3"/>
  <c r="AC1170" i="3"/>
  <c r="H1137" i="3"/>
  <c r="H1138" i="3" s="1"/>
  <c r="H1139" i="3" s="1"/>
  <c r="H1140" i="3" s="1"/>
  <c r="H1141" i="3" s="1"/>
  <c r="L1136" i="3"/>
  <c r="H1138" i="14"/>
  <c r="I1138" i="14" s="1"/>
  <c r="AC1169" i="14" s="1"/>
  <c r="Q1168" i="14"/>
  <c r="R1168" i="14" s="1"/>
  <c r="Y1141" i="3"/>
  <c r="Z1141" i="3" s="1"/>
  <c r="AA1141" i="3" s="1"/>
  <c r="L1141" i="3"/>
  <c r="H1133" i="3"/>
  <c r="H1134" i="3" s="1"/>
  <c r="H1135" i="3" s="1"/>
  <c r="H1136" i="3" s="1"/>
  <c r="AC1169" i="3"/>
  <c r="H1137" i="14"/>
  <c r="I1137" i="14" s="1"/>
  <c r="Y1137" i="14" s="1"/>
  <c r="Z1137" i="14" s="1"/>
  <c r="AA1137" i="14" s="1"/>
  <c r="Q1167" i="14"/>
  <c r="R1167" i="14" s="1"/>
  <c r="H1136" i="14"/>
  <c r="I1136" i="14" s="1"/>
  <c r="L113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61" i="3" s="1"/>
  <c r="F1077" i="3"/>
  <c r="G1077" i="3" s="1"/>
  <c r="L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L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Y1068" i="3" s="1"/>
  <c r="Z1068" i="3" s="1"/>
  <c r="AA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Y1140" i="14"/>
  <c r="Z1140" i="14" s="1"/>
  <c r="AA1140" i="14" s="1"/>
  <c r="F1051" i="3"/>
  <c r="G1051" i="3" s="1"/>
  <c r="L1051" i="3" s="1"/>
  <c r="S1141" i="3"/>
  <c r="T1141" i="3" s="1"/>
  <c r="F1111" i="3"/>
  <c r="G1111" i="3" s="1"/>
  <c r="Q1141" i="3"/>
  <c r="R1141" i="3" s="1"/>
  <c r="L1139" i="14"/>
  <c r="Y1139" i="14"/>
  <c r="Z1139" i="14" s="1"/>
  <c r="AA1139" i="14" s="1"/>
  <c r="F1110" i="3"/>
  <c r="G1110" i="3" s="1"/>
  <c r="Q1140" i="3"/>
  <c r="R1140" i="3" s="1"/>
  <c r="F1050" i="3"/>
  <c r="G1050" i="3" s="1"/>
  <c r="L1050" i="3" s="1"/>
  <c r="S1140" i="3"/>
  <c r="T1140" i="3" s="1"/>
  <c r="F1109" i="3"/>
  <c r="G1109" i="3" s="1"/>
  <c r="Q1139" i="3"/>
  <c r="R1139" i="3" s="1"/>
  <c r="F1108" i="3"/>
  <c r="G1108" i="3" s="1"/>
  <c r="L1108" i="3" s="1"/>
  <c r="Q1138" i="3"/>
  <c r="R1138" i="3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Y1090" i="3" s="1"/>
  <c r="Z1090" i="3" s="1"/>
  <c r="AA1090" i="3" s="1"/>
  <c r="Q1120" i="3"/>
  <c r="R1120" i="3" s="1"/>
  <c r="Z1120" i="3"/>
  <c r="AA1120" i="3" s="1"/>
  <c r="F1089" i="3"/>
  <c r="G1089" i="3" s="1"/>
  <c r="Y1089" i="3" s="1"/>
  <c r="Z1089" i="3" s="1"/>
  <c r="AA1089" i="3" s="1"/>
  <c r="Q1119" i="3"/>
  <c r="R1119" i="3" s="1"/>
  <c r="F1088" i="3"/>
  <c r="G1088" i="3" s="1"/>
  <c r="Y1088" i="3" s="1"/>
  <c r="Z1088" i="3" s="1"/>
  <c r="AA1088" i="3" s="1"/>
  <c r="Q1118" i="3"/>
  <c r="R1118" i="3" s="1"/>
  <c r="F1087" i="3"/>
  <c r="Q1117" i="3"/>
  <c r="R1117" i="3" s="1"/>
  <c r="F1086" i="3"/>
  <c r="G1086" i="3" s="1"/>
  <c r="Q1116" i="3"/>
  <c r="R1116" i="3" s="1"/>
  <c r="F1085" i="3"/>
  <c r="G1085" i="3" s="1"/>
  <c r="Q1115" i="3"/>
  <c r="R1115" i="3" s="1"/>
  <c r="Y1113" i="14"/>
  <c r="Z1113" i="14" s="1"/>
  <c r="AA1113" i="14" s="1"/>
  <c r="F1084" i="3"/>
  <c r="G1084" i="3" s="1"/>
  <c r="Q1114" i="3"/>
  <c r="R1114" i="3" s="1"/>
  <c r="F1083" i="3"/>
  <c r="G1083" i="3" s="1"/>
  <c r="Q1113" i="3"/>
  <c r="R1113" i="3" s="1"/>
  <c r="F1082" i="3"/>
  <c r="G1082" i="3" s="1"/>
  <c r="Q1112" i="3"/>
  <c r="R1112" i="3" s="1"/>
  <c r="F1081" i="3"/>
  <c r="G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F1084" i="14"/>
  <c r="Q1084" i="3"/>
  <c r="R1084" i="3" s="1"/>
  <c r="Q1083" i="3"/>
  <c r="R1083" i="3" s="1"/>
  <c r="F1083" i="14"/>
  <c r="Q1082" i="3"/>
  <c r="R1082" i="3" s="1"/>
  <c r="F1082" i="14"/>
  <c r="S1173" i="14" s="1"/>
  <c r="T1173" i="14" s="1"/>
  <c r="F1081" i="14"/>
  <c r="S1172" i="14" s="1"/>
  <c r="T1172" i="14" s="1"/>
  <c r="Q1081" i="3"/>
  <c r="R1081" i="3" s="1"/>
  <c r="F1080" i="14"/>
  <c r="S1171" i="14" s="1"/>
  <c r="T1171" i="14" s="1"/>
  <c r="L1080" i="3"/>
  <c r="Y1080" i="3"/>
  <c r="Z1080" i="3" s="1"/>
  <c r="AA1080" i="3" s="1"/>
  <c r="Y1078" i="3"/>
  <c r="Z1078" i="3" s="1"/>
  <c r="AA1078" i="3" s="1"/>
  <c r="Q1080" i="3"/>
  <c r="R1080" i="3" s="1"/>
  <c r="F1079" i="14"/>
  <c r="L1079" i="3"/>
  <c r="Y1079" i="3"/>
  <c r="Z1079" i="3" s="1"/>
  <c r="AA1079" i="3" s="1"/>
  <c r="F1078" i="14"/>
  <c r="L1078" i="3"/>
  <c r="F1077" i="14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Y1138" i="14" l="1"/>
  <c r="Z1138" i="14" s="1"/>
  <c r="AA1138" i="14" s="1"/>
  <c r="Y1136" i="14"/>
  <c r="Z1136" i="14" s="1"/>
  <c r="AA1136" i="14" s="1"/>
  <c r="Y1086" i="3"/>
  <c r="Z1086" i="3" s="1"/>
  <c r="AA1086" i="3" s="1"/>
  <c r="L1138" i="14"/>
  <c r="Y1085" i="3"/>
  <c r="Z1085" i="3" s="1"/>
  <c r="AA1085" i="3" s="1"/>
  <c r="L1084" i="3"/>
  <c r="Y1132" i="3"/>
  <c r="Z1132" i="3" s="1"/>
  <c r="AA1132" i="3" s="1"/>
  <c r="H1080" i="14"/>
  <c r="I1080" i="14" s="1"/>
  <c r="S1170" i="14"/>
  <c r="T1170" i="14" s="1"/>
  <c r="L1083" i="3"/>
  <c r="H1079" i="14"/>
  <c r="I1079" i="14" s="1"/>
  <c r="S1169" i="14"/>
  <c r="T1169" i="14" s="1"/>
  <c r="L1082" i="3"/>
  <c r="L1068" i="3"/>
  <c r="AC1162" i="3"/>
  <c r="Y1073" i="3"/>
  <c r="Z1073" i="3" s="1"/>
  <c r="AA1073" i="3" s="1"/>
  <c r="H1078" i="14"/>
  <c r="I1078" i="14" s="1"/>
  <c r="L1078" i="14" s="1"/>
  <c r="S1168" i="14"/>
  <c r="T1168" i="14" s="1"/>
  <c r="L1137" i="14"/>
  <c r="AC1168" i="14"/>
  <c r="Y1077" i="3"/>
  <c r="Z1077" i="3" s="1"/>
  <c r="AA1077" i="3" s="1"/>
  <c r="AC1160" i="3"/>
  <c r="Y1070" i="3"/>
  <c r="Z1070" i="3" s="1"/>
  <c r="AA1070" i="3" s="1"/>
  <c r="L1081" i="3"/>
  <c r="L1132" i="3"/>
  <c r="AC1159" i="3"/>
  <c r="AC1166" i="14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AD1175" i="3" s="1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L1085" i="14" s="1"/>
  <c r="Q1115" i="14"/>
  <c r="R1115" i="14" s="1"/>
  <c r="H1084" i="14"/>
  <c r="I1084" i="14" s="1"/>
  <c r="Y1084" i="14" s="1"/>
  <c r="Z1084" i="14" s="1"/>
  <c r="AA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L1080" i="14"/>
  <c r="Y1080" i="14"/>
  <c r="Z1080" i="14" s="1"/>
  <c r="AA1080" i="14" s="1"/>
  <c r="H1050" i="14"/>
  <c r="I1050" i="14" s="1"/>
  <c r="Q1080" i="14"/>
  <c r="R1080" i="14" s="1"/>
  <c r="Q1079" i="14"/>
  <c r="R1079" i="14" s="1"/>
  <c r="F1049" i="3"/>
  <c r="G1049" i="3" s="1"/>
  <c r="Q1079" i="3"/>
  <c r="R1079" i="3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AD1173" i="14" l="1"/>
  <c r="AD1174" i="3"/>
  <c r="AD1172" i="14"/>
  <c r="Y1078" i="14"/>
  <c r="Z1078" i="14" s="1"/>
  <c r="AA1078" i="14" s="1"/>
  <c r="AD1171" i="14"/>
  <c r="AD1172" i="3"/>
  <c r="AD1173" i="3"/>
  <c r="L1079" i="14"/>
  <c r="AD1170" i="14"/>
  <c r="Y1107" i="3"/>
  <c r="Z1107" i="3" s="1"/>
  <c r="AA1107" i="3" s="1"/>
  <c r="Y1079" i="14"/>
  <c r="Z1079" i="14" s="1"/>
  <c r="AA1079" i="14" s="1"/>
  <c r="AD1169" i="14"/>
  <c r="AD1170" i="3"/>
  <c r="AC1138" i="3"/>
  <c r="AD1171" i="3"/>
  <c r="L1077" i="14"/>
  <c r="AD1168" i="14"/>
  <c r="AD1169" i="3"/>
  <c r="L1076" i="14"/>
  <c r="AD1167" i="14"/>
  <c r="AD1166" i="14"/>
  <c r="AD1167" i="3"/>
  <c r="AC1091" i="3"/>
  <c r="AD1168" i="3"/>
  <c r="L1074" i="14"/>
  <c r="AD1165" i="14"/>
  <c r="AD1164" i="14"/>
  <c r="B4" i="8"/>
  <c r="E18" i="16" s="1"/>
  <c r="E4" i="16" s="1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K1162" i="3" l="1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H811" i="14" s="1"/>
  <c r="I811" i="14" s="1"/>
  <c r="X809" i="14"/>
  <c r="F809" i="14"/>
  <c r="H810" i="14" s="1"/>
  <c r="I810" i="14" s="1"/>
  <c r="X808" i="14"/>
  <c r="F808" i="14"/>
  <c r="H809" i="14" s="1"/>
  <c r="I809" i="14" s="1"/>
  <c r="X807" i="14"/>
  <c r="F807" i="14"/>
  <c r="X806" i="14"/>
  <c r="F806" i="14"/>
  <c r="X805" i="14"/>
  <c r="F805" i="14"/>
  <c r="X804" i="14"/>
  <c r="F804" i="14"/>
  <c r="X803" i="14"/>
  <c r="F803" i="14"/>
  <c r="X802" i="14"/>
  <c r="F802" i="14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08" i="14" l="1"/>
  <c r="I808" i="14" s="1"/>
  <c r="U1173" i="14"/>
  <c r="V1173" i="14" s="1"/>
  <c r="H807" i="14"/>
  <c r="I807" i="14" s="1"/>
  <c r="U1172" i="14"/>
  <c r="V1172" i="14" s="1"/>
  <c r="H806" i="14"/>
  <c r="I806" i="14" s="1"/>
  <c r="U1171" i="14"/>
  <c r="V1171" i="14" s="1"/>
  <c r="H805" i="14"/>
  <c r="I805" i="14" s="1"/>
  <c r="U1170" i="14"/>
  <c r="V1170" i="14" s="1"/>
  <c r="H804" i="14"/>
  <c r="I804" i="14" s="1"/>
  <c r="U1169" i="14"/>
  <c r="V1169" i="14" s="1"/>
  <c r="H803" i="14"/>
  <c r="I803" i="14" s="1"/>
  <c r="U1168" i="14"/>
  <c r="V1168" i="14" s="1"/>
  <c r="H802" i="14"/>
  <c r="I802" i="14" s="1"/>
  <c r="U1167" i="14"/>
  <c r="V1167" i="14" s="1"/>
  <c r="H801" i="14"/>
  <c r="I801" i="14" s="1"/>
  <c r="L801" i="14" s="1"/>
  <c r="U1166" i="14"/>
  <c r="V1166" i="14" s="1"/>
  <c r="H799" i="14"/>
  <c r="I799" i="14" s="1"/>
  <c r="Y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Y796" i="14" s="1"/>
  <c r="U1161" i="14"/>
  <c r="V1161" i="14" s="1"/>
  <c r="H795" i="14"/>
  <c r="I795" i="14" s="1"/>
  <c r="U1160" i="14"/>
  <c r="V1160" i="14" s="1"/>
  <c r="H794" i="14"/>
  <c r="I794" i="14" s="1"/>
  <c r="U1159" i="14"/>
  <c r="V1159" i="14" s="1"/>
  <c r="H793" i="14"/>
  <c r="I793" i="14" s="1"/>
  <c r="Y793" i="14" s="1"/>
  <c r="U1158" i="14"/>
  <c r="V1158" i="14" s="1"/>
  <c r="H792" i="14"/>
  <c r="I792" i="14" s="1"/>
  <c r="Y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Y794" i="14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Z921" i="14" s="1"/>
  <c r="AA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Y802" i="14"/>
  <c r="L802" i="14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L792" i="14"/>
  <c r="Y803" i="14"/>
  <c r="L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Z923" i="14" s="1"/>
  <c r="AA923" i="14" s="1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Z920" i="14" l="1"/>
  <c r="AA920" i="14" s="1"/>
  <c r="Y801" i="14"/>
  <c r="L799" i="14"/>
  <c r="Z916" i="14"/>
  <c r="AA916" i="14" s="1"/>
  <c r="Z915" i="14"/>
  <c r="AA915" i="14" s="1"/>
  <c r="L796" i="14"/>
  <c r="Z914" i="14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922" i="14" s="1"/>
  <c r="AA922" i="14" s="1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Z919" i="14" l="1"/>
  <c r="AA919" i="14" s="1"/>
  <c r="Z918" i="14"/>
  <c r="AA918" i="14" s="1"/>
  <c r="Z917" i="14"/>
  <c r="AA917" i="14" s="1"/>
  <c r="L779" i="14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M266" i="14" l="1"/>
  <c r="Z909" i="14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H35" i="8" l="1"/>
  <c r="H37" i="8"/>
  <c r="H39" i="8"/>
  <c r="I41" i="8"/>
  <c r="I43" i="8"/>
  <c r="B33" i="8"/>
  <c r="I37" i="8"/>
  <c r="I39" i="8"/>
  <c r="B42" i="8"/>
  <c r="I35" i="8"/>
  <c r="B34" i="8"/>
  <c r="B36" i="8"/>
  <c r="B38" i="8"/>
  <c r="B40" i="8"/>
  <c r="C42" i="8"/>
  <c r="C44" i="8"/>
  <c r="G40" i="8"/>
  <c r="I33" i="8"/>
  <c r="I50" i="8" s="1"/>
  <c r="H33" i="8"/>
  <c r="H50" i="8" s="1"/>
  <c r="C34" i="8"/>
  <c r="C36" i="8"/>
  <c r="C38" i="8"/>
  <c r="C40" i="8"/>
  <c r="D42" i="8"/>
  <c r="D44" i="8"/>
  <c r="H42" i="8"/>
  <c r="B35" i="8"/>
  <c r="C33" i="8"/>
  <c r="C50" i="8" s="1"/>
  <c r="D34" i="8"/>
  <c r="D36" i="8"/>
  <c r="D38" i="8"/>
  <c r="D40" i="8"/>
  <c r="E42" i="8"/>
  <c r="E44" i="8"/>
  <c r="G36" i="8"/>
  <c r="B41" i="8"/>
  <c r="E34" i="8"/>
  <c r="E36" i="8"/>
  <c r="E38" i="8"/>
  <c r="E40" i="8"/>
  <c r="F42" i="8"/>
  <c r="F44" i="8"/>
  <c r="G38" i="8"/>
  <c r="C43" i="8"/>
  <c r="F34" i="8"/>
  <c r="F36" i="8"/>
  <c r="F38" i="8"/>
  <c r="F40" i="8"/>
  <c r="G42" i="8"/>
  <c r="G44" i="8"/>
  <c r="H44" i="8"/>
  <c r="B37" i="8"/>
  <c r="G34" i="8"/>
  <c r="F41" i="8"/>
  <c r="H34" i="8"/>
  <c r="H36" i="8"/>
  <c r="H38" i="8"/>
  <c r="H40" i="8"/>
  <c r="I42" i="8"/>
  <c r="I44" i="8"/>
  <c r="B43" i="8"/>
  <c r="B39" i="8"/>
  <c r="B44" i="8"/>
  <c r="I34" i="8"/>
  <c r="I36" i="8"/>
  <c r="I38" i="8"/>
  <c r="I40" i="8"/>
  <c r="C35" i="8"/>
  <c r="C37" i="8"/>
  <c r="C39" i="8"/>
  <c r="C41" i="8"/>
  <c r="D43" i="8"/>
  <c r="G33" i="8"/>
  <c r="G50" i="8" s="1"/>
  <c r="F43" i="8"/>
  <c r="F37" i="8"/>
  <c r="G43" i="8"/>
  <c r="G41" i="8"/>
  <c r="D35" i="8"/>
  <c r="D37" i="8"/>
  <c r="D39" i="8"/>
  <c r="D41" i="8"/>
  <c r="E43" i="8"/>
  <c r="F33" i="8"/>
  <c r="F50" i="8" s="1"/>
  <c r="F35" i="8"/>
  <c r="D33" i="8"/>
  <c r="D50" i="8" s="1"/>
  <c r="E35" i="8"/>
  <c r="E37" i="8"/>
  <c r="E39" i="8"/>
  <c r="E41" i="8"/>
  <c r="E33" i="8"/>
  <c r="E50" i="8" s="1"/>
  <c r="F39" i="8"/>
  <c r="G35" i="8"/>
  <c r="G37" i="8"/>
  <c r="G39" i="8"/>
  <c r="H41" i="8"/>
  <c r="H43" i="8"/>
  <c r="J1164" i="3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K44" i="8" l="1"/>
  <c r="K40" i="8"/>
  <c r="K38" i="8"/>
  <c r="K36" i="8"/>
  <c r="K35" i="8"/>
  <c r="K34" i="8"/>
  <c r="K39" i="8"/>
  <c r="K42" i="8"/>
  <c r="B50" i="8"/>
  <c r="K41" i="8"/>
  <c r="K37" i="8"/>
  <c r="K43" i="8"/>
  <c r="J1168" i="3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K1057" i="14" l="1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K1168" i="14" s="1"/>
  <c r="K1169" i="14" s="1"/>
  <c r="K1170" i="14" s="1"/>
  <c r="K1171" i="14" s="1"/>
  <c r="K1172" i="14" s="1"/>
  <c r="K1173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D26" i="8" l="1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O1173" i="14" l="1"/>
  <c r="P1173" i="14"/>
  <c r="AE1173" i="14"/>
  <c r="O1172" i="14"/>
  <c r="P1172" i="14"/>
  <c r="AE1172" i="14"/>
  <c r="P1171" i="14"/>
  <c r="O1171" i="14"/>
  <c r="AE1171" i="14"/>
  <c r="O1170" i="14"/>
  <c r="P1170" i="14"/>
  <c r="AE1170" i="14"/>
  <c r="AE1169" i="14"/>
  <c r="O1169" i="14"/>
  <c r="P1169" i="14"/>
  <c r="AE1168" i="14"/>
  <c r="O1168" i="14"/>
  <c r="P1168" i="14"/>
  <c r="AE1167" i="14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M1173" i="14" s="1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N1173" i="14" l="1"/>
  <c r="W1173" i="14"/>
  <c r="M1171" i="14"/>
  <c r="M1172" i="14"/>
  <c r="N1172" i="14"/>
  <c r="W1172" i="14"/>
  <c r="W1171" i="14"/>
  <c r="N1171" i="14"/>
  <c r="N1170" i="14"/>
  <c r="M1169" i="14"/>
  <c r="M1170" i="14"/>
  <c r="W1170" i="14"/>
  <c r="W1169" i="14"/>
  <c r="N1169" i="14"/>
  <c r="W1168" i="14"/>
  <c r="M1168" i="14"/>
  <c r="N1168" i="14"/>
  <c r="W1167" i="14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73" i="14" l="1"/>
  <c r="AB1172" i="14"/>
  <c r="AB1171" i="14"/>
  <c r="AB1170" i="14"/>
  <c r="AB1169" i="14"/>
  <c r="AB1168" i="14"/>
  <c r="AB1167" i="14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F814" i="3" s="1"/>
  <c r="G814" i="3" s="1"/>
  <c r="D814" i="3"/>
  <c r="F815" i="3" s="1"/>
  <c r="G815" i="3" s="1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D808" i="3"/>
  <c r="D809" i="3"/>
  <c r="D810" i="3"/>
  <c r="D811" i="3"/>
  <c r="D812" i="3"/>
  <c r="F813" i="3" s="1"/>
  <c r="G813" i="3" s="1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D806" i="3"/>
  <c r="F812" i="3" l="1"/>
  <c r="G812" i="3" s="1"/>
  <c r="U1175" i="3"/>
  <c r="V1175" i="3" s="1"/>
  <c r="F811" i="3"/>
  <c r="G811" i="3" s="1"/>
  <c r="U1174" i="3"/>
  <c r="V1174" i="3" s="1"/>
  <c r="F810" i="3"/>
  <c r="G810" i="3" s="1"/>
  <c r="U1173" i="3"/>
  <c r="V1173" i="3" s="1"/>
  <c r="F809" i="3"/>
  <c r="G809" i="3" s="1"/>
  <c r="L809" i="3" s="1"/>
  <c r="U1172" i="3"/>
  <c r="V1172" i="3" s="1"/>
  <c r="F808" i="3"/>
  <c r="G808" i="3" s="1"/>
  <c r="U1171" i="3"/>
  <c r="V1171" i="3" s="1"/>
  <c r="F806" i="3"/>
  <c r="G806" i="3" s="1"/>
  <c r="U1169" i="3"/>
  <c r="V1169" i="3" s="1"/>
  <c r="F807" i="3"/>
  <c r="G807" i="3" s="1"/>
  <c r="L807" i="3" s="1"/>
  <c r="U1170" i="3"/>
  <c r="V1170" i="3" s="1"/>
  <c r="F803" i="3"/>
  <c r="G803" i="3" s="1"/>
  <c r="L803" i="3" s="1"/>
  <c r="U1168" i="3"/>
  <c r="V1168" i="3" s="1"/>
  <c r="F802" i="3"/>
  <c r="G802" i="3" s="1"/>
  <c r="L802" i="3" s="1"/>
  <c r="U1167" i="3"/>
  <c r="V1167" i="3" s="1"/>
  <c r="F801" i="3"/>
  <c r="G801" i="3" s="1"/>
  <c r="Y801" i="3" s="1"/>
  <c r="U1166" i="3"/>
  <c r="V1166" i="3" s="1"/>
  <c r="F800" i="3"/>
  <c r="G800" i="3" s="1"/>
  <c r="K800" i="3" s="1"/>
  <c r="U1165" i="3"/>
  <c r="V1165" i="3" s="1"/>
  <c r="F799" i="3"/>
  <c r="G799" i="3" s="1"/>
  <c r="L799" i="3" s="1"/>
  <c r="U1164" i="3"/>
  <c r="V1164" i="3" s="1"/>
  <c r="F798" i="3"/>
  <c r="G798" i="3" s="1"/>
  <c r="L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L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L801" i="3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Q953" i="3"/>
  <c r="R953" i="3" s="1"/>
  <c r="S1015" i="3"/>
  <c r="T1015" i="3" s="1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Y807" i="3"/>
  <c r="S1006" i="3"/>
  <c r="T1006" i="3" s="1"/>
  <c r="Q946" i="3"/>
  <c r="R946" i="3" s="1"/>
  <c r="S974" i="3"/>
  <c r="T974" i="3" s="1"/>
  <c r="Q914" i="3"/>
  <c r="R914" i="3" s="1"/>
  <c r="L806" i="3"/>
  <c r="Y806" i="3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L808" i="3"/>
  <c r="Y808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810" i="3"/>
  <c r="Y810" i="3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L797" i="3" l="1"/>
  <c r="Y809" i="3"/>
  <c r="Y802" i="3"/>
  <c r="Y795" i="3"/>
  <c r="K801" i="3"/>
  <c r="Y798" i="3"/>
  <c r="L800" i="3"/>
  <c r="Y803" i="3"/>
  <c r="Z803" i="3" s="1"/>
  <c r="AA803" i="3" s="1"/>
  <c r="Y799" i="3"/>
  <c r="Z799" i="3" s="1"/>
  <c r="AA799" i="3" s="1"/>
  <c r="Y796" i="3"/>
  <c r="Z796" i="3" s="1"/>
  <c r="AA796" i="3" s="1"/>
  <c r="Y800" i="3"/>
  <c r="Z800" i="3" s="1"/>
  <c r="AA800" i="3" s="1"/>
  <c r="F794" i="3"/>
  <c r="G794" i="3" s="1"/>
  <c r="Y794" i="3" s="1"/>
  <c r="U1159" i="3"/>
  <c r="V1159" i="3" s="1"/>
  <c r="F793" i="3"/>
  <c r="G793" i="3" s="1"/>
  <c r="L793" i="3" s="1"/>
  <c r="U1158" i="3"/>
  <c r="V1158" i="3" s="1"/>
  <c r="F792" i="3"/>
  <c r="G792" i="3" s="1"/>
  <c r="L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9" i="3"/>
  <c r="AA809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2" i="3"/>
  <c r="AA802" i="3" s="1"/>
  <c r="Z801" i="3"/>
  <c r="AA801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AE1174" i="3" l="1"/>
  <c r="AE1175" i="3"/>
  <c r="AE1172" i="3"/>
  <c r="AE1173" i="3"/>
  <c r="AE1169" i="3"/>
  <c r="AE1171" i="3"/>
  <c r="Y792" i="3"/>
  <c r="L784" i="3"/>
  <c r="AE1170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Z925" i="3" s="1"/>
  <c r="AA925" i="3" s="1"/>
  <c r="L911" i="3"/>
  <c r="Y911" i="3"/>
  <c r="L926" i="3"/>
  <c r="Y926" i="3"/>
  <c r="Z926" i="3" s="1"/>
  <c r="AA926" i="3" s="1"/>
  <c r="L913" i="3"/>
  <c r="Y913" i="3"/>
  <c r="L954" i="3"/>
  <c r="Y954" i="3"/>
  <c r="Z954" i="3" s="1"/>
  <c r="AA954" i="3" s="1"/>
  <c r="L923" i="3"/>
  <c r="Y923" i="3"/>
  <c r="L919" i="3"/>
  <c r="Y919" i="3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L942" i="3"/>
  <c r="Y942" i="3"/>
  <c r="Z942" i="3" s="1"/>
  <c r="AA942" i="3" s="1"/>
  <c r="L924" i="3"/>
  <c r="Y924" i="3"/>
  <c r="L950" i="3"/>
  <c r="Y950" i="3"/>
  <c r="Z950" i="3" s="1"/>
  <c r="AA950" i="3" s="1"/>
  <c r="L927" i="3"/>
  <c r="Y927" i="3"/>
  <c r="Z927" i="3" s="1"/>
  <c r="AA927" i="3" s="1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24" i="3" l="1"/>
  <c r="AA924" i="3" s="1"/>
  <c r="AB1175" i="3"/>
  <c r="Z923" i="3"/>
  <c r="AA923" i="3" s="1"/>
  <c r="AB1174" i="3"/>
  <c r="Z922" i="3"/>
  <c r="AA922" i="3" s="1"/>
  <c r="AB1173" i="3"/>
  <c r="Z921" i="3"/>
  <c r="AA921" i="3" s="1"/>
  <c r="AB1172" i="3"/>
  <c r="Z920" i="3"/>
  <c r="AA920" i="3" s="1"/>
  <c r="AB1171" i="3"/>
  <c r="Z919" i="3"/>
  <c r="AA919" i="3" s="1"/>
  <c r="AB1170" i="3"/>
  <c r="Z918" i="3"/>
  <c r="AA918" i="3" s="1"/>
  <c r="AB1169" i="3"/>
  <c r="N1168" i="3"/>
  <c r="Z915" i="3"/>
  <c r="AA915" i="3" s="1"/>
  <c r="W1168" i="3"/>
  <c r="N1167" i="3"/>
  <c r="Z914" i="3"/>
  <c r="AA914" i="3" s="1"/>
  <c r="W1167" i="3"/>
  <c r="W1166" i="3"/>
  <c r="Z913" i="3"/>
  <c r="AA913" i="3" s="1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Z767" i="3" s="1"/>
  <c r="AA767" i="3" s="1"/>
  <c r="Y764" i="3"/>
  <c r="Z764" i="3" s="1"/>
  <c r="AA764" i="3" s="1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166" i="3" l="1"/>
  <c r="AB1167" i="3"/>
  <c r="AB1168" i="3"/>
  <c r="AB1028" i="3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Z737" i="3" s="1"/>
  <c r="AA737" i="3" s="1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Y704" i="3"/>
  <c r="AB961" i="3"/>
  <c r="D672" i="3"/>
  <c r="D673" i="3"/>
  <c r="D674" i="3"/>
  <c r="D675" i="3"/>
  <c r="D676" i="3"/>
  <c r="D677" i="3"/>
  <c r="D678" i="3"/>
  <c r="L704" i="3" l="1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L652" i="3" l="1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L641" i="3" l="1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AC631" i="3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L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E12" i="2" l="1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L22" i="3" s="1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J1013" i="3" l="1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E10" i="2" l="1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M1175" i="3" s="1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M1173" i="3" l="1"/>
  <c r="M1174" i="3"/>
  <c r="M1172" i="3"/>
  <c r="M1169" i="3"/>
  <c r="M1171" i="3"/>
  <c r="M1170" i="3"/>
  <c r="M1168" i="3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J33" i="8"/>
  <c r="J45" i="8" s="1"/>
  <c r="K33" i="8" l="1"/>
  <c r="J50" i="8"/>
  <c r="K45" i="8" l="1"/>
  <c r="K50" i="8"/>
  <c r="L3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<sst xmlns="http://schemas.openxmlformats.org/spreadsheetml/2006/main" count="1124" uniqueCount="431">
  <si>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</si>
  <si>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</si>
  <si>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</si>
  <si>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</si>
  <si>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</si>
  <si>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</si>
  <si>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</si>
  <si>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</si>
  <si>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</si>
  <si>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</si>
  <si>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</si>
  <si>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</si>
  <si>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</si>
  <si>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</si>
  <si>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</si>
  <si>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</si>
  <si>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</si>
  <si>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</si>
  <si>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</si>
  <si>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</si>
  <si>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</si>
  <si>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</si>
  <si>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</si>
  <si>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</si>
  <si>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</si>
  <si>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</si>
  <si>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</si>
  <si>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</si>
  <si>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</si>
  <si>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</si>
  <si>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</si>
  <si>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</si>
  <si>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</si>
  <si>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</si>
  <si>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</si>
  <si>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</si>
  <si>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</si>
  <si>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</si>
  <si>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</si>
  <si>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</si>
  <si>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</si>
  <si>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</si>
  <si>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</si>
  <si>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</si>
  <si>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</si>
  <si>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</si>
  <si>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</si>
  <si>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</si>
  <si>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</si>
  <si>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</si>
  <si>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</si>
  <si>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</si>
  <si>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</si>
  <si>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</si>
  <si>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</si>
  <si>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</si>
  <si>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</si>
  <si>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</si>
  <si>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</si>
  <si>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</si>
  <si>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</si>
  <si>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</si>
  <si>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</si>
  <si>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</si>
  <si>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</si>
  <si>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</si>
  <si>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</si>
  <si>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</si>
  <si>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</si>
  <si>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</si>
  <si>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</si>
  <si>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</si>
  <si>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</si>
  <si>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</si>
  <si>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</si>
  <si>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</si>
  <si>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</si>
  <si>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</si>
  <si>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</si>
  <si>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</si>
  <si>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</si>
  <si>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</si>
  <si>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</si>
  <si>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</si>
  <si>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</si>
  <si>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</si>
  <si>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</si>
  <si>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</si>
  <si>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</si>
  <si>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</si>
  <si>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</si>
  <si>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</si>
  <si>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</si>
  <si>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</si>
  <si>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</si>
  <si>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</si>
  <si>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</si>
  <si>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</si>
  <si>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</si>
  <si>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</si>
  <si>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</si>
  <si>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</si>
  <si>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</si>
  <si>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</si>
  <si>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</si>
  <si>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</si>
  <si>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</si>
  <si>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</si>
  <si>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</si>
  <si>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</si>
  <si>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</si>
  <si>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</si>
  <si>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</si>
  <si>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</si>
  <si>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</si>
  <si>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</si>
  <si>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</si>
  <si>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</si>
  <si>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</si>
  <si>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</si>
  <si>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</si>
  <si>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</si>
  <si>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</si>
  <si>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</si>
  <si>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</si>
  <si>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</si>
  <si>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</si>
  <si>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</si>
  <si>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</si>
  <si>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</si>
  <si>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</si>
  <si>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</si>
  <si>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</si>
  <si>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</si>
  <si>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</si>
  <si>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</si>
  <si>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</si>
  <si>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</si>
  <si>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</si>
  <si>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</si>
  <si>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</si>
  <si>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</si>
  <si>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</si>
  <si>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</si>
  <si>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</si>
  <si>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</si>
  <si>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</si>
  <si>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</si>
  <si>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</si>
  <si>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</si>
  <si>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</si>
  <si>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</si>
  <si>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</si>
  <si>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</si>
  <si>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</si>
  <si>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</si>
  <si>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</si>
  <si>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</si>
  <si>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</si>
  <si>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</si>
  <si>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</si>
  <si>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</si>
  <si>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</si>
  <si>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</si>
  <si>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</si>
  <si>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</si>
  <si>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</si>
  <si>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</si>
  <si>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</si>
  <si>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</si>
  <si>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</si>
  <si>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</si>
  <si>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</si>
  <si>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</si>
  <si>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</si>
  <si>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</si>
  <si>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</si>
  <si>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</si>
  <si>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</si>
  <si>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</si>
  <si>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</si>
  <si>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</si>
  <si>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</si>
  <si>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</si>
  <si>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</si>
  <si>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</si>
  <si>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</si>
  <si>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</si>
  <si>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</si>
  <si>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</si>
  <si>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</si>
  <si>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</si>
  <si>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</si>
  <si>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</si>
  <si>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</si>
  <si>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</si>
  <si>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</si>
  <si>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</si>
  <si>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</si>
  <si>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</si>
  <si>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</si>
  <si>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</si>
  <si>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</si>
  <si>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</si>
  <si>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</si>
  <si>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</si>
  <si>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</si>
  <si>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</si>
  <si>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</si>
  <si>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</si>
  <si>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</si>
  <si>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</si>
  <si>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</si>
  <si>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</si>
  <si>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</si>
  <si>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</si>
  <si>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</si>
  <si>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</si>
  <si>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</si>
  <si>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</si>
  <si>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</si>
  <si>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</si>
  <si>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</si>
  <si>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</si>
  <si>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</si>
  <si>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</si>
  <si>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</si>
  <si>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</si>
  <si>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</si>
  <si>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</si>
  <si>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</si>
  <si>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</si>
  <si>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</si>
  <si>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</si>
  <si>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</si>
  <si>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</si>
  <si>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</si>
  <si>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</si>
  <si>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</si>
  <si>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</si>
  <si>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</si>
  <si>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</si>
  <si>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</si>
  <si>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</si>
  <si>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</si>
  <si>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</si>
  <si>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</si>
  <si>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</si>
  <si>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</si>
  <si>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</si>
  <si>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</si>
  <si>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</si>
  <si>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</si>
  <si>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</si>
  <si>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</si>
  <si>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</si>
  <si>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</si>
  <si>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</si>
  <si>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</si>
  <si>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</si>
  <si>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</si>
  <si>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</si>
  <si>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</si>
  <si>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</si>
  <si>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</si>
  <si>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</si>
  <si>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</si>
  <si>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</si>
  <si>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</si>
  <si>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</si>
  <si>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</si>
  <si>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</si>
  <si>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</si>
  <si>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</si>
  <si>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</si>
  <si>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</si>
  <si>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</si>
  <si>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</si>
  <si>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</si>
  <si>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</si>
  <si>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</si>
  <si>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</si>
  <si>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</si>
  <si>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</si>
  <si>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</si>
  <si>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</si>
  <si>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RSP</t>
  </si>
  <si>
    <t>XHB</t>
  </si>
  <si>
    <t>6501.T</t>
  </si>
  <si>
    <t>LLY</t>
  </si>
  <si>
    <t>MSFT</t>
  </si>
  <si>
    <t>6178.T</t>
  </si>
  <si>
    <t>PDD</t>
  </si>
  <si>
    <t>9CI</t>
  </si>
  <si>
    <t>D05</t>
  </si>
  <si>
    <t>SE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</si>
  <si>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</si>
  <si>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</si>
  <si>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</si>
  <si>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</si>
  <si>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</si>
  <si>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</si>
  <si>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</si>
  <si>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</si>
  <si>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</si>
  <si>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</si>
  <si>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</si>
  <si>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</si>
  <si>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</si>
  <si>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</si>
  <si>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</si>
  <si>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</si>
  <si>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</si>
  <si>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</si>
  <si>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</si>
  <si>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</si>
  <si>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</si>
  <si>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</si>
  <si>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</si>
  <si>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</si>
  <si>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</si>
  <si>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</si>
  <si>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</si>
  <si>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</si>
  <si>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</si>
  <si>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</si>
  <si>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</si>
  <si>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</si>
  <si>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</si>
  <si>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</si>
  <si>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</si>
  <si>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</si>
  <si>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</si>
  <si>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</si>
  <si>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</si>
  <si>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</si>
  <si>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</si>
  <si>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</si>
  <si>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</si>
  <si>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</si>
  <si>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</si>
  <si>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</si>
  <si>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</si>
  <si>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</si>
  <si>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</si>
  <si>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</si>
  <si>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</si>
  <si>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</si>
  <si>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</si>
  <si>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</si>
  <si>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</si>
  <si>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</si>
  <si>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</si>
  <si>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</si>
  <si>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</si>
  <si>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</si>
  <si>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</si>
  <si>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</si>
  <si>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</si>
  <si>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</si>
  <si>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</si>
  <si>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</si>
  <si>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</si>
  <si>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</si>
  <si>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</si>
  <si>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</si>
  <si>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</si>
  <si>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</si>
  <si>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</si>
  <si>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</si>
  <si>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</si>
  <si>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</si>
  <si>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</si>
  <si>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</si>
  <si>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</si>
  <si>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</si>
  <si>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</si>
  <si>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31JAN25 6075 C</t>
  </si>
  <si>
    <t>ESH5</t>
  </si>
  <si>
    <t>NQH5</t>
  </si>
  <si>
    <t>IJH 17JAN25 63 C</t>
  </si>
  <si>
    <t>NQ 31JAN25 22200 C</t>
  </si>
  <si>
    <t>Straits Multi-Asset Macro Strategy</t>
  </si>
  <si>
    <t>Inhouse</t>
  </si>
  <si>
    <t>ASML</t>
  </si>
  <si>
    <t>NQ 10JAN25 21500 P</t>
  </si>
  <si>
    <t>NVDA 17JAN25 130 P</t>
  </si>
  <si>
    <t>TSM 31JAN25 180 P</t>
  </si>
  <si>
    <t>JPM 10JAN25 245 C</t>
  </si>
  <si>
    <t>PLTR</t>
  </si>
  <si>
    <t>PLTR 10JAN25 75 P</t>
  </si>
  <si>
    <t>PLTR 10JAN25 80 C</t>
  </si>
  <si>
    <t>NVDA 10JAN25 145 C</t>
  </si>
  <si>
    <t>TSM 10JAN25 210 C</t>
  </si>
  <si>
    <t>XLK 10JAN25 240 C</t>
  </si>
  <si>
    <t>checking</t>
  </si>
  <si>
    <t>nov nav</t>
  </si>
  <si>
    <t>FY2025</t>
  </si>
  <si>
    <t>ANF 10JAN25 155 P</t>
  </si>
  <si>
    <t>ANF 10JAN25 157.5 C</t>
  </si>
  <si>
    <t>CAT</t>
  </si>
  <si>
    <t>CAT 10JAN25 350 P</t>
  </si>
  <si>
    <t>CAT 10JAN25 362.5 C</t>
  </si>
  <si>
    <t>GOOG 10JAN25 195 C</t>
  </si>
  <si>
    <t>JPM 10JAN25 242.5 P</t>
  </si>
  <si>
    <t>MSFT 10JAN25 420 P</t>
  </si>
  <si>
    <t>NVDA 10JAN25 150 C</t>
  </si>
  <si>
    <t>NVDA 10JAN25 152.5 C</t>
  </si>
  <si>
    <t>ORCL 10JAN25 162.5 P</t>
  </si>
  <si>
    <t>SNOW 10JAN25 157.5 P</t>
  </si>
  <si>
    <t>TSM 10JAN25 215 C</t>
  </si>
  <si>
    <t>XLF 10JAN25 48.5 C</t>
  </si>
  <si>
    <t>Transaction Fees</t>
  </si>
  <si>
    <t>BX 10JAN25 175 P</t>
  </si>
  <si>
    <t>NVDA 10JAN25 145 P</t>
  </si>
  <si>
    <t>NVDA 10JAN25 157.5 C</t>
  </si>
  <si>
    <t>PDD 10JAN25 106 C</t>
  </si>
  <si>
    <t>QQQ 10JAN25 535 C</t>
  </si>
  <si>
    <t>TSM 10JAN25 212.5 P</t>
  </si>
  <si>
    <t>TSM 10JAN25 215 P</t>
  </si>
  <si>
    <t>XLF 10JAN25 49 C</t>
  </si>
  <si>
    <t>XLK 10JAN25 242.5 C</t>
  </si>
  <si>
    <t>Interest</t>
  </si>
  <si>
    <t>700 27JAN25 370 P</t>
  </si>
  <si>
    <t>700 27JAN25 380 P</t>
  </si>
  <si>
    <t>SNOW 10JAN25 165 P</t>
  </si>
  <si>
    <t>Dividends</t>
  </si>
  <si>
    <t>Withholding Tax</t>
  </si>
  <si>
    <t>MBB</t>
  </si>
  <si>
    <t>SHYD</t>
  </si>
  <si>
    <t>STIP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</si>
</sst>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4" fontId="1" fillId="0" borderId="0" applyFont="0" applyFill="0" applyBorder="0" applyAlignment="0" applyProtection="0"/>
  </cellStyleXfs>
  <cellXfs count="357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4" fontId="0" fillId="0" borderId="0" xfId="7" applyFont="1"/>
    <xf numFmtId="0" fontId="0" fillId="0" borderId="17" xfId="0" applyBorder="1"/>
    <xf numFmtId="174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4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4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  <xf numFmtId="169" fontId="30" fillId="3" borderId="0" xfId="0" applyNumberFormat="1" applyFont="1" applyFill="1"/>
    <xf numFmtId="43" fontId="31" fillId="0" borderId="0" xfId="3" applyFont="1" applyAlignment="1">
      <alignment horizontal="center" vertical="center"/>
    </xf>
    <xf numFmtId="43" fontId="2" fillId="4" borderId="0" xfId="3" applyFont="1" applyFill="1" applyAlignment="1">
      <alignment vertical="center"/>
    </xf>
    <xf numFmtId="43" fontId="17" fillId="0" borderId="0" xfId="3" applyFont="1" applyAlignment="1">
      <alignment vertical="center"/>
    </xf>
    <xf numFmtId="43" fontId="32" fillId="0" borderId="0" xfId="3" applyFont="1" applyAlignment="1">
      <alignment vertical="center"/>
    </xf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7" xfId="1" applyNumberFormat="1" applyFont="1" applyFill="1" applyBorder="1" applyAlignment="1">
      <alignment horizontal="right" vertical="center"/>
    </xf>
    <xf numFmtId="10" fontId="6" fillId="5" borderId="4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44" fontId="10" fillId="5" borderId="7" xfId="0" applyNumberFormat="1" applyFont="1" applyFill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7" xfId="1" applyNumberFormat="1" applyFont="1" applyFill="1" applyBorder="1" applyAlignment="1">
      <alignment horizontal="right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7" fillId="0" borderId="5" xfId="0" applyNumberFormat="1" applyFont="1" applyBorder="1" applyAlignment="1">
      <alignment horizontal="center"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Data...3929325829</v>
        <stp/>
        <stp>BDP|17488990371770934291</stp>
        <tr r="L9" s="16"/>
      </tp>
      <tp t="s">
        <v>#N/A Requesting Data...3791509341</v>
        <stp/>
        <stp>BDP|12334903160624343193</stp>
        <tr r="H7" s="16"/>
      </tp>
      <tp t="s">
        <v>#N/A Requesting Data...4160709327</v>
        <stp/>
        <stp>BDP|11631739781717341169</stp>
        <tr r="D10" s="16"/>
      </tp>
      <tp t="s">
        <v>#N/A Requesting Data...3203529805</v>
        <stp/>
        <stp>BDP|12503804164161346560</stp>
        <tr r="H23" s="4"/>
      </tp>
      <tp t="s">
        <v>#N/A Requesting Data...3831897041</v>
        <stp/>
        <stp>BDP|15038974491608239300</stp>
        <tr r="E8" s="16"/>
      </tp>
      <tp t="s">
        <v>#N/A Requesting Data...3399640269</v>
        <stp/>
        <stp>BDP|18194437827130447215</stp>
        <tr r="K6" s="16"/>
      </tp>
      <tp t="s">
        <v>#N/A Requesting Data...3720656318</v>
        <stp/>
        <stp>BDP|14342216399620183288</stp>
        <tr r="F7" s="16"/>
      </tp>
      <tp t="s">
        <v>#N/A Requesting Data...3278818627</v>
        <stp/>
        <stp>BDP|12868917489186433836</stp>
        <tr r="D22" s="4"/>
      </tp>
      <tp t="s">
        <v>#N/A Requesting Data...3641150509</v>
        <stp/>
        <stp>BDP|17458564132487035495</stp>
        <tr r="G6" s="16"/>
      </tp>
      <tp t="s">
        <v>#N/A Requesting Data...3823412117</v>
        <stp/>
        <stp>BDP|11441239167720550763</stp>
        <tr r="G22" s="4"/>
      </tp>
      <tp t="s">
        <v>#N/A Requesting Data...4249370033</v>
        <stp/>
        <stp>BDP|12134806195186667708</stp>
        <tr r="F9" s="16"/>
      </tp>
      <tp t="s">
        <v>#N/A Requesting Data...4244495907</v>
        <stp/>
        <stp>BDP|15571183826414458091</stp>
        <tr r="F23" s="4"/>
      </tp>
      <tp t="s">
        <v>#N/A Requesting Data...4111639295</v>
        <stp/>
        <stp>BDP|16691583684581330968</stp>
        <tr r="F22" s="4"/>
      </tp>
      <tp t="s">
        <v>#N/A Requesting Data...3195296070</v>
        <stp/>
        <stp>BDP|10851542879122214334</stp>
        <tr r="K7" s="16"/>
      </tp>
      <tp t="s">
        <v>#N/A Requesting Data...3114341216</v>
        <stp/>
        <stp>BDP|13033893993631589338</stp>
        <tr r="C24" s="4"/>
      </tp>
      <tp t="s">
        <v>#N/A Requesting Data...3541513612</v>
        <stp/>
        <stp>BDP|15628696981164784920</stp>
        <tr r="F6" s="16"/>
      </tp>
      <tp t="s">
        <v>#N/A Requesting Data...3194576887</v>
        <stp/>
        <stp>BDP|17421494076265054774</stp>
        <tr r="D6" s="16"/>
      </tp>
      <tp t="s">
        <v>#N/A Requesting Data...3492305616</v>
        <stp/>
        <stp>BDP|11395363488884515847</stp>
        <tr r="E22" s="4"/>
      </tp>
      <tp t="s">
        <v>#N/A Requesting Data...4090752090</v>
        <stp/>
        <stp>BDP|11453968001806112847</stp>
        <tr r="L10" s="16"/>
      </tp>
      <tp t="s">
        <v>#N/A Requesting Data...3169188990</v>
        <stp/>
        <stp>BDP|14662245951000286439</stp>
        <tr r="C22" s="4"/>
      </tp>
      <tp t="s">
        <v>#N/A Requesting Data...3468808553</v>
        <stp/>
        <stp>BDP|16854102045504656375</stp>
        <tr r="K10" s="16"/>
      </tp>
      <tp t="s">
        <v>#N/A Requesting Data...3976288937</v>
        <stp/>
        <stp>BDP|17541570393706762923</stp>
        <tr r="K9" s="16"/>
      </tp>
      <tp t="s">
        <v>#N/A Requesting Data...3110055547</v>
        <stp/>
        <stp>BDP|14370156815235148488</stp>
        <tr r="F8" s="16"/>
      </tp>
      <tp t="s">
        <v>#N/A Requesting Data...3669764107</v>
        <stp/>
        <stp>BDP|16879443774998906816</stp>
        <tr r="K8" s="16"/>
      </tp>
    </main>
    <main first="bofaddin.rtdserver">
      <tp t="s">
        <v>#N/A Requesting Data...3535248835</v>
        <stp/>
        <stp>BDP|1413003601749412533</stp>
        <tr r="L6" s="16"/>
      </tp>
      <tp t="s">
        <v>#N/A Requesting Data...4068426698</v>
        <stp/>
        <stp>BDP|8485886604566386829</stp>
        <tr r="H22" s="4"/>
      </tp>
      <tp t="s">
        <v>#N/A Requesting Data...4003594772</v>
        <stp/>
        <stp>BDP|9958272376154164648</stp>
        <tr r="J9" s="16"/>
      </tp>
      <tp t="s">
        <v>#N/A Requesting Data...3122315381</v>
        <stp/>
        <stp>BDP|4155052320638790009</stp>
        <tr r="L7" s="16"/>
      </tp>
      <tp t="s">
        <v>#N/A Requesting Data...3798312698</v>
        <stp/>
        <stp>BDP|4997210966577515802</stp>
        <tr r="G9" s="16"/>
      </tp>
      <tp t="s">
        <v>#N/A Requesting Data...4080701478</v>
        <stp/>
        <stp>BDP|3599663092060873385</stp>
        <tr r="G23" s="4"/>
      </tp>
      <tp t="s">
        <v>#N/A Requesting Data...3187517745</v>
        <stp/>
        <stp>BDP|2715175043958188031</stp>
        <tr r="C23" s="4"/>
      </tp>
      <tp t="s">
        <v>#N/A Requesting Data...3854093238</v>
        <stp/>
        <stp>BDP|4938759477168674381</stp>
        <tr r="E23" s="4"/>
      </tp>
      <tp t="s">
        <v>#N/A Requesting Data...3677355912</v>
        <stp/>
        <stp>BDP|5516778511589823234</stp>
        <tr r="F10" s="16"/>
      </tp>
      <tp t="s">
        <v>#N/A Requesting Data...4174482031</v>
        <stp/>
        <stp>BDP|4120548091556971632</stp>
        <tr r="J8" s="16"/>
      </tp>
      <tp t="s">
        <v>#N/A Requesting Data...4063279013</v>
        <stp/>
        <stp>BDP|6229753396345444597</stp>
        <tr r="J10" s="16"/>
      </tp>
      <tp t="s">
        <v>#N/A Requesting Data...3356402042</v>
        <stp/>
        <stp>BDP|6992386206898388576</stp>
        <tr r="I6" s="16"/>
      </tp>
      <tp t="s">
        <v>#N/A Requesting Data...3407292922</v>
        <stp/>
        <stp>BDP|4532089580725904075</stp>
        <tr r="H6" s="16"/>
      </tp>
      <tp t="s">
        <v>#N/A Requesting Data...3390107401</v>
        <stp/>
        <stp>BDP|3379476956402510911</stp>
        <tr r="G7" s="16"/>
      </tp>
      <tp t="s">
        <v>#N/A Requesting Data...3962682754</v>
        <stp/>
        <stp>BDP|1440775866201456872</stp>
        <tr r="I10" s="16"/>
      </tp>
      <tp t="s">
        <v>#N/A Requesting Data...3303898293</v>
        <stp/>
        <stp>BDP|2558557980072118785</stp>
        <tr r="I9" s="16"/>
      </tp>
      <tp t="s">
        <v>#N/A Requesting Data...3813984941</v>
        <stp/>
        <stp>BDP|9567764807640019488</stp>
        <tr r="D23" s="4"/>
      </tp>
      <tp t="s">
        <v>#N/A Requesting Data...4156238019</v>
        <stp/>
        <stp>BDP|6919533648008043579</stp>
        <tr r="J6" s="16"/>
      </tp>
      <tp t="s">
        <v>#N/A Requesting Data...3173208270</v>
        <stp/>
        <stp>BDP|9795865377547352559</stp>
        <tr r="H9" s="16"/>
      </tp>
      <tp t="s">
        <v>#N/A Requesting Data...3459811053</v>
        <stp/>
        <stp>BDP|3621777069803976439</stp>
        <tr r="D8" s="16"/>
      </tp>
      <tp t="s">
        <v>#N/A Requesting Data...4226232850</v>
        <stp/>
        <stp>BDP|2634117571192198044</stp>
        <tr r="E10" s="16"/>
      </tp>
      <tp t="s">
        <v>#N/A Requesting Data...4026819344</v>
        <stp/>
        <stp>BDP|4088085636931872034</stp>
        <tr r="H8" s="16"/>
      </tp>
      <tp t="s">
        <v>#N/A Requesting Data...3487773801</v>
        <stp/>
        <stp>BDP|3917812088037969338</stp>
        <tr r="I8" s="16"/>
      </tp>
      <tp t="s">
        <v>#N/A Requesting Data...3461261367</v>
        <stp/>
        <stp>BDP|8329996959595020626</stp>
        <tr r="G8" s="16"/>
      </tp>
      <tp t="s">
        <v>#N/A Requesting Data...4152860616</v>
        <stp/>
        <stp>BDP|9551902812626788049</stp>
        <tr r="E9" s="16"/>
      </tp>
      <tp t="s">
        <v>#N/A Requesting Data...3627077228</v>
        <stp/>
        <stp>BDP|4245519764736732652</stp>
        <tr r="D9" s="16"/>
      </tp>
      <tp t="s">
        <v>#N/A Requesting Data...4120175201</v>
        <stp/>
        <stp>BDP|2172564009019829930</stp>
        <tr r="H10" s="16"/>
      </tp>
      <tp t="s">
        <v>#N/A Requesting Data...3631481890</v>
        <stp/>
        <stp>BDP|1538312403986856411</stp>
        <tr r="G10" s="16"/>
      </tp>
      <tp t="s">
        <v>#N/A Requesting Data...3671823989</v>
        <stp/>
        <stp>BDP|3016032546861645645</stp>
        <tr r="L8" s="16"/>
      </tp>
      <tp t="s">
        <v>#N/A Requesting Data...3540191136</v>
        <stp/>
        <stp>BDP|4274184704243147681</stp>
        <tr r="E6" s="16"/>
      </tp>
      <tp t="s">
        <v>#N/A Requesting Data...4268789169</v>
        <stp/>
        <stp>BDP|5342164155427751487</stp>
        <tr r="I7" s="16"/>
      </tp>
      <tp t="s">
        <v>#N/A Requesting Data...3964690289</v>
        <stp/>
        <stp>BDP|2470954931023095833</stp>
        <tr r="J7" s="16"/>
      </tp>
      <tp t="s">
        <v>#N/A Requesting Data...3469797133</v>
        <stp/>
        <stp>BDP|808002419262414195</stp>
        <tr r="D7" s="16"/>
      </tp>
      <tp t="s">
        <v>#N/A Requesting Data...3470745116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NAV'!$A$1169:$A$1475</c:f>
              <c:numCache>
                <c:formatCode>[$-409]d\-mmm\-yy;@</c:formatCode>
                <c:ptCount val="307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  <c:pt idx="3">
                  <c:v>45664</c:v>
                </c:pt>
                <c:pt idx="4">
                  <c:v>45665</c:v>
                </c:pt>
                <c:pt idx="5">
                  <c:v>45666</c:v>
                </c:pt>
                <c:pt idx="6">
                  <c:v>45667</c:v>
                </c:pt>
              </c:numCache>
            </c:numRef>
          </c:cat>
          <c:val>
            <c:numRef>
              <c:f>'Historical NAV'!$N$1169:$N$1475</c:f>
              <c:numCache>
                <c:formatCode>0.00%;[Red]\(0.00%\)</c:formatCode>
                <c:ptCount val="307"/>
                <c:pt idx="0">
                  <c:v>1.475509315848722E-2</c:v>
                </c:pt>
                <c:pt idx="1">
                  <c:v>6.4368653935457987E-2</c:v>
                </c:pt>
                <c:pt idx="2">
                  <c:v>9.8022191286162297E-2</c:v>
                </c:pt>
                <c:pt idx="3">
                  <c:v>3.9288445559421792E-2</c:v>
                </c:pt>
                <c:pt idx="4">
                  <c:v>3.2769767761482882E-2</c:v>
                </c:pt>
                <c:pt idx="5">
                  <c:v>3.216395347352563E-2</c:v>
                </c:pt>
                <c:pt idx="6">
                  <c:v>-9.0576039841863132E-3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NAV'!$A$2:$A$1475</c:f>
              <c:numCache>
                <c:formatCode>[$-409]d\-mmm\-yy;@</c:formatCode>
                <c:ptCount val="1474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  <c:pt idx="1168">
                  <c:v>45660</c:v>
                </c:pt>
                <c:pt idx="1169">
                  <c:v>45663</c:v>
                </c:pt>
                <c:pt idx="1170">
                  <c:v>45664</c:v>
                </c:pt>
                <c:pt idx="1171">
                  <c:v>45665</c:v>
                </c:pt>
                <c:pt idx="1172">
                  <c:v>45666</c:v>
                </c:pt>
                <c:pt idx="1173">
                  <c:v>45667</c:v>
                </c:pt>
              </c:numCache>
            </c:numRef>
          </c:cat>
          <c:val>
            <c:numRef>
              <c:f>'Historical NAV'!$M$2:$M$1475</c:f>
              <c:numCache>
                <c:formatCode>0.00%;[Red]\(0.00%\)</c:formatCode>
                <c:ptCount val="1474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0.61867356858897238</c:v>
                </c:pt>
                <c:pt idx="1168">
                  <c:v>0.6978140035714675</c:v>
                </c:pt>
                <c:pt idx="1169">
                  <c:v>0.75149601193621773</c:v>
                </c:pt>
                <c:pt idx="1170">
                  <c:v>0.65780763093367778</c:v>
                </c:pt>
                <c:pt idx="1171">
                  <c:v>0.64740944567221836</c:v>
                </c:pt>
                <c:pt idx="1172">
                  <c:v>0.6464430887827568</c:v>
                </c:pt>
                <c:pt idx="1173">
                  <c:v>0.58068905023421746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-638425.63</c:v>
                </c:pt>
                <c:pt idx="1">
                  <c:v>1069026.0500000003</c:v>
                </c:pt>
                <c:pt idx="2">
                  <c:v>-984432.46</c:v>
                </c:pt>
                <c:pt idx="3">
                  <c:v>-187181.08000000002</c:v>
                </c:pt>
                <c:pt idx="4">
                  <c:v>593718.05999999994</c:v>
                </c:pt>
                <c:pt idx="5">
                  <c:v>-233125</c:v>
                </c:pt>
                <c:pt idx="6">
                  <c:v>133186.23000000001</c:v>
                </c:pt>
                <c:pt idx="7">
                  <c:v>0</c:v>
                </c:pt>
                <c:pt idx="8">
                  <c:v>-498093.4153772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-638425.63</c:v>
                </c:pt>
                <c:pt idx="1">
                  <c:v>1069026.0500000003</c:v>
                </c:pt>
                <c:pt idx="2">
                  <c:v>-984432.46</c:v>
                </c:pt>
                <c:pt idx="3">
                  <c:v>-187181.08000000002</c:v>
                </c:pt>
                <c:pt idx="4">
                  <c:v>593718.05999999994</c:v>
                </c:pt>
                <c:pt idx="5">
                  <c:v>-233125</c:v>
                </c:pt>
                <c:pt idx="6">
                  <c:v>133186.23000000001</c:v>
                </c:pt>
                <c:pt idx="7">
                  <c:v>0</c:v>
                </c:pt>
                <c:pt idx="8">
                  <c:v>-498093.4153772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24654</xdr:rowOff>
    </xdr:from>
    <xdr:to>
      <xdr:col>22</xdr:col>
      <xdr:colOff>549089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zoomScale="85" zoomScaleNormal="85" workbookViewId="0">
      <selection activeCell="B5" sqref="B5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45667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315</v>
      </c>
      <c r="B4" s="8">
        <f ca="1">OFFSET('Historical NAV'!I1,COUNT('Historical NAV'!A:A),,,)</f>
        <v>-6.8668048756552358E-2</v>
      </c>
      <c r="D4" s="91"/>
      <c r="E4" s="92"/>
    </row>
    <row r="5" spans="1:23">
      <c r="A5" t="s">
        <v>66</v>
      </c>
      <c r="B5" s="8">
        <f ca="1">OFFSET('Historical NAV'!K1,COUNT('Historical NAV'!A:A),,,)</f>
        <v>-9.0576039841863132E-3</v>
      </c>
      <c r="E5" s="146"/>
    </row>
    <row r="6" spans="1:23">
      <c r="A6" t="s">
        <v>297</v>
      </c>
      <c r="B6" s="8">
        <f ca="1">OFFSET('Historical NAV'!N1,COUNT('Historical NAV'!A:A),,,)</f>
        <v>-9.0576039841863132E-3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-3.9937024848610204E-2</v>
      </c>
      <c r="D9" t="s">
        <v>188</v>
      </c>
      <c r="E9" s="146">
        <f ca="1">OFFSET('Historical NAV'!B1,COUNT('Historical NAV'!A:A),,,)</f>
        <v>61771085.473509103</v>
      </c>
    </row>
    <row r="10" spans="1:23">
      <c r="A10" t="s">
        <v>181</v>
      </c>
      <c r="B10" s="2">
        <f ca="1">E13/E9</f>
        <v>3.1587971461773869</v>
      </c>
      <c r="D10" t="s">
        <v>159</v>
      </c>
      <c r="E10" s="146">
        <v>36257661.109999999</v>
      </c>
    </row>
    <row r="11" spans="1:23">
      <c r="A11" t="s">
        <v>146</v>
      </c>
      <c r="B11" s="8">
        <f ca="1">OFFSET('Historical NAV'!R1,COUNT('Historical NAV'!A:A),,,)</f>
        <v>-0.16010719003338242</v>
      </c>
      <c r="D11" t="s">
        <v>160</v>
      </c>
      <c r="E11" s="8">
        <f ca="1">E10/E9</f>
        <v>0.58696817179211325</v>
      </c>
    </row>
    <row r="12" spans="1:23">
      <c r="A12" t="s">
        <v>147</v>
      </c>
      <c r="B12" s="8">
        <f ca="1">OFFSET('Historical NAV'!T1,COUNT('Historical NAV'!A:A),,,)</f>
        <v>0.1985147442896304</v>
      </c>
    </row>
    <row r="13" spans="1:23">
      <c r="A13" t="s">
        <v>148</v>
      </c>
      <c r="B13" s="8">
        <f ca="1">OFFSET('Historical NAV'!V1,COUNT('Historical NAV'!A:A),,,)</f>
        <v>0.70768805049679107</v>
      </c>
      <c r="D13" s="99" t="s">
        <v>180</v>
      </c>
      <c r="E13" s="152">
        <f>K25</f>
        <v>195122328.50999999</v>
      </c>
    </row>
    <row r="14" spans="1:23">
      <c r="A14" t="s">
        <v>125</v>
      </c>
      <c r="B14" s="51">
        <f ca="1">OFFSET('Historical NAV'!W1,COUNT('Historical NAV'!A:A),,,)</f>
        <v>-0.30988772187799474</v>
      </c>
      <c r="D14" s="303">
        <v>5.0000000000000001E-3</v>
      </c>
      <c r="E14" s="123">
        <f>(D14*$E$13)/(1-D14)</f>
        <v>980514.21361809049</v>
      </c>
    </row>
    <row r="15" spans="1:23">
      <c r="A15" t="s">
        <v>144</v>
      </c>
      <c r="B15" s="51">
        <f ca="1">OFFSET('Historical NAV'!AB1,COUNT('Historical NAV'!A:A),,,)</f>
        <v>3.4290903112562003</v>
      </c>
      <c r="D15" s="303">
        <v>0.01</v>
      </c>
      <c r="E15" s="123">
        <f>(D15*$E$13)/(1-D15)</f>
        <v>1970932.6112121213</v>
      </c>
      <c r="F15" s="133"/>
    </row>
    <row r="16" spans="1:23">
      <c r="A16" t="s">
        <v>145</v>
      </c>
      <c r="B16" s="51">
        <f ca="1">OFFSET('Historical NAV'!P1,COUNT('Historical NAV'!A:A),,,)</f>
        <v>0.58327225746534495</v>
      </c>
      <c r="D16" s="303">
        <v>1.4999999999999999E-2</v>
      </c>
      <c r="E16" s="123">
        <f>(D16*$E$13)/(1-D16)</f>
        <v>2971406.0179187818</v>
      </c>
      <c r="F16" s="169"/>
    </row>
    <row r="17" spans="1:23">
      <c r="A17" t="s">
        <v>185</v>
      </c>
      <c r="B17" s="51">
        <f ca="1">OFFSET('Historical NAV'!AC1,COUNT('Historical NAV'!A:A),,,)</f>
        <v>-4.4602240978631545E-2</v>
      </c>
      <c r="D17" s="303">
        <v>0.05</v>
      </c>
      <c r="E17" s="123">
        <f>(D17*$E$13)/(1-D17)</f>
        <v>10269596.237368422</v>
      </c>
    </row>
    <row r="18" spans="1:23">
      <c r="A18" t="s">
        <v>186</v>
      </c>
      <c r="B18" s="51">
        <f ca="1">OFFSET('Historical NAV'!AD1,COUNT('Historical NAV'!A:A),,,)</f>
        <v>-4.0003526003172224E-2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-4.8357481114059929E-2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299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13</v>
      </c>
      <c r="C24" s="94">
        <f>COUNTIF('Mark to Market'!$B$3:$B$1028,C23)</f>
        <v>24</v>
      </c>
      <c r="D24" s="94">
        <f>COUNTIF('Mark to Market'!$B$3:$B$1028,D23)</f>
        <v>27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39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123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75660819.159999996</v>
      </c>
      <c r="C25" s="102">
        <f>SUMIF('Mark to Market'!$B$3:$B$1028,C23,'Mark to Market'!$H$3:$H$1028)</f>
        <v>52400188</v>
      </c>
      <c r="D25" s="102">
        <f>SUMIF('Mark to Market'!$B$3:$B$1028,D23,'Mark to Market'!$H$3:$H$1028)</f>
        <v>20211648.84</v>
      </c>
      <c r="E25" s="102">
        <f>SUMIF('Mark to Market'!$B$3:$B$1028,E23,'Mark to Market'!$H$3:$H$1028)</f>
        <v>20090496.43</v>
      </c>
      <c r="F25" s="102">
        <f>SUMIF('Mark to Market'!$B$3:$B$1028,F23,'Mark to Market'!$H$3:$H$1028)</f>
        <v>26041445.010000002</v>
      </c>
      <c r="G25" s="102">
        <f>SUMIF('Mark to Market'!$B$3:$B$1028,G23,'Mark to Market'!$H$3:$H$1028)</f>
        <v>718473.75</v>
      </c>
      <c r="H25" s="102">
        <f>SUMIF('Mark to Market'!$B$3:$B$1028,H23,'Mark to Market'!$H$3:$H$1028)</f>
        <v>-742.68000000000018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195122328.50999999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70554083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10271216</v>
      </c>
      <c r="N25" s="35">
        <f>F25-M25</f>
        <v>15770229.010000002</v>
      </c>
    </row>
    <row r="26" spans="1:23">
      <c r="A26" s="99" t="s">
        <v>197</v>
      </c>
      <c r="B26" s="103">
        <f t="shared" ref="B26:J26" si="0">B25/$K$25</f>
        <v>0.38776094841509845</v>
      </c>
      <c r="C26" s="103">
        <f>C25/$K$25</f>
        <v>0.26855044422716851</v>
      </c>
      <c r="D26" s="103">
        <f>D25/$K$25</f>
        <v>0.1035845000125865</v>
      </c>
      <c r="E26" s="103">
        <f>E25/$K$25</f>
        <v>0.10296359511192675</v>
      </c>
      <c r="F26" s="103">
        <f t="shared" si="0"/>
        <v>0.13346214761200628</v>
      </c>
      <c r="G26" s="103">
        <f t="shared" si="0"/>
        <v>3.6821708488538169E-3</v>
      </c>
      <c r="H26" s="103">
        <f t="shared" si="0"/>
        <v>-3.8062276402259003E-6</v>
      </c>
      <c r="I26" s="103">
        <f t="shared" si="0"/>
        <v>0</v>
      </c>
      <c r="J26" s="103">
        <f t="shared" si="0"/>
        <v>0</v>
      </c>
      <c r="K26" s="103">
        <f>SUM(B26:J26)</f>
        <v>1.0000000000000002</v>
      </c>
      <c r="L26" s="103">
        <f>L25/$K$25</f>
        <v>0.36158897620158381</v>
      </c>
      <c r="M26" s="103">
        <f>M25/$K$25</f>
        <v>5.2639880214803821E-2</v>
      </c>
      <c r="N26" s="216">
        <f>F26-M26</f>
        <v>8.0822267397202469E-2</v>
      </c>
    </row>
    <row r="27" spans="1:23">
      <c r="A27" s="99" t="s">
        <v>196</v>
      </c>
      <c r="B27" s="165">
        <f ca="1">B25/$E$9</f>
        <v>1.2248581772526499</v>
      </c>
      <c r="C27" s="165">
        <f ca="1">C25/$E$9</f>
        <v>0.84829637682944925</v>
      </c>
      <c r="D27" s="165">
        <f ca="1">D25/$E$9</f>
        <v>0.3272024230279697</v>
      </c>
      <c r="E27" s="165">
        <f t="shared" ref="E27:K27" ca="1" si="1">E25/$E$9</f>
        <v>0.32524111039971815</v>
      </c>
      <c r="F27" s="165">
        <f t="shared" ca="1" si="1"/>
        <v>0.42157985099951062</v>
      </c>
      <c r="G27" s="165">
        <f t="shared" ca="1" si="1"/>
        <v>1.1631230769097002E-2</v>
      </c>
      <c r="H27" s="165">
        <f t="shared" ca="1" si="1"/>
        <v>-1.2023101007647064E-5</v>
      </c>
      <c r="I27" s="165">
        <f t="shared" ca="1" si="1"/>
        <v>0</v>
      </c>
      <c r="J27" s="165">
        <f t="shared" ca="1" si="1"/>
        <v>0</v>
      </c>
      <c r="K27" s="165">
        <f t="shared" ca="1" si="1"/>
        <v>3.1587971461773869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-1236187.71</v>
      </c>
      <c r="C29" s="155">
        <f ca="1">OFFSET('Daily P&amp;L breakdown'!D1,COUNT('Daily P&amp;L breakdown'!$A:$A),,,)</f>
        <v>-779219.46</v>
      </c>
      <c r="D29" s="155">
        <f ca="1">OFFSET('Daily P&amp;L breakdown'!C1,COUNT('Daily P&amp;L breakdown'!$A:$A),,,)</f>
        <v>-306776.56</v>
      </c>
      <c r="E29" s="155">
        <f ca="1">OFFSET('Daily P&amp;L breakdown'!E1,COUNT('Daily P&amp;L breakdown'!$A:$A),,,)</f>
        <v>-113847.32</v>
      </c>
      <c r="F29" s="155">
        <f ca="1">OFFSET('Daily P&amp;L breakdown'!F1,COUNT('Daily P&amp;L breakdown'!$A:$A),,,)</f>
        <v>223660.35</v>
      </c>
      <c r="G29" s="155">
        <f ca="1">OFFSET('Daily P&amp;L breakdown'!G1,COUNT('Daily P&amp;L breakdown'!$A:$A),,,)</f>
        <v>-304450</v>
      </c>
      <c r="H29" s="155">
        <f ca="1">OFFSET('Daily P&amp;L breakdown'!H1,COUNT('Daily P&amp;L breakdown'!$A:$A),,,)</f>
        <v>5086.0900000000047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-2511734.61</v>
      </c>
      <c r="L29" s="213"/>
      <c r="M29" s="214"/>
      <c r="N29" s="214"/>
    </row>
    <row r="31" spans="1:23">
      <c r="A31" s="310" t="s">
        <v>152</v>
      </c>
      <c r="B31" s="310"/>
      <c r="C31" s="310"/>
      <c r="D31" s="310"/>
      <c r="E31" s="310"/>
      <c r="F31" s="310"/>
      <c r="G31" s="310"/>
      <c r="H31" s="310"/>
      <c r="I31" s="310"/>
      <c r="J31" s="310"/>
      <c r="K31" s="310"/>
      <c r="L31" s="302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02" t="s">
        <v>395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-638425.63</v>
      </c>
      <c r="C33" s="154">
        <f>SUMIFS('Daily P&amp;L breakdown'!D:D, 'Daily P&amp;L breakdown'!$A:$A, "&gt;=" &amp; EOMONTH($A33, -1) + 1, 'Daily P&amp;L breakdown'!$A:$A, "&lt;=" &amp; EOMONTH($A33, 0))</f>
        <v>1069026.0500000003</v>
      </c>
      <c r="D33" s="154">
        <f>SUMIFS('Daily P&amp;L breakdown'!C:C, 'Daily P&amp;L breakdown'!$A:$A, "&gt;=" &amp; EOMONTH($A33, -1) + 1, 'Daily P&amp;L breakdown'!$A:$A, "&lt;=" &amp; EOMONTH($A33, 0))</f>
        <v>-984432.46</v>
      </c>
      <c r="E33" s="154">
        <f>SUMIFS('Daily P&amp;L breakdown'!E:E, 'Daily P&amp;L breakdown'!$A:$A, "&gt;=" &amp; EOMONTH($A33, -1) + 1, 'Daily P&amp;L breakdown'!$A:$A, "&lt;=" &amp; EOMONTH($A33, 0))</f>
        <v>-187181.08000000002</v>
      </c>
      <c r="F33" s="154">
        <f>SUMIFS('Daily P&amp;L breakdown'!F:F, 'Daily P&amp;L breakdown'!$A:$A, "&gt;=" &amp; EOMONTH($A33, -1) + 1, 'Daily P&amp;L breakdown'!$A:$A, "&lt;=" &amp; EOMONTH($A33, 0))</f>
        <v>593718.05999999994</v>
      </c>
      <c r="G33" s="154">
        <f>SUMIFS('Daily P&amp;L breakdown'!G:G, 'Daily P&amp;L breakdown'!$A:$A, "&gt;=" &amp; EOMONTH($A33, -1) + 1, 'Daily P&amp;L breakdown'!$A:$A, "&lt;=" &amp; EOMONTH($A33, 0))</f>
        <v>-233125</v>
      </c>
      <c r="H33" s="154">
        <f>SUMIFS('Daily P&amp;L breakdown'!H:H, 'Daily P&amp;L breakdown'!$A:$A, "&gt;=" &amp; EOMONTH($A33, -1) + 1, 'Daily P&amp;L breakdown'!$A:$A, "&lt;=" &amp; EOMONTH($A33, 0))</f>
        <v>133186.23000000001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-498093.4153772</v>
      </c>
      <c r="K33" s="154">
        <f t="shared" ref="K33:K44" si="2">SUM(B33:J33)</f>
        <v>-745327.24537719972</v>
      </c>
      <c r="L33" s="154">
        <f>SUM(Email!$T$9:$T$11)-K33</f>
        <v>490800.62399349432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397</v>
      </c>
      <c r="B45" s="164">
        <f t="shared" ref="B45:I45" si="3">SUM(B33:B44)</f>
        <v>-638425.63</v>
      </c>
      <c r="C45" s="164">
        <f>SUM(C33:C44)</f>
        <v>1069026.0500000003</v>
      </c>
      <c r="D45" s="164">
        <f>SUM(D33:D44)</f>
        <v>-984432.46</v>
      </c>
      <c r="E45" s="164">
        <f t="shared" si="3"/>
        <v>-187181.08000000002</v>
      </c>
      <c r="F45" s="164">
        <f t="shared" si="3"/>
        <v>593718.05999999994</v>
      </c>
      <c r="G45" s="164">
        <f t="shared" si="3"/>
        <v>-233125</v>
      </c>
      <c r="H45" s="164">
        <f t="shared" si="3"/>
        <v>133186.23000000001</v>
      </c>
      <c r="I45" s="164">
        <f t="shared" si="3"/>
        <v>0</v>
      </c>
      <c r="J45" s="164">
        <f>SUM(J33:J44)</f>
        <v>-498093.4153772</v>
      </c>
      <c r="K45" s="164">
        <f>SUM(K33:K44)</f>
        <v>-745327.24537719972</v>
      </c>
    </row>
    <row r="46" spans="1:12">
      <c r="A46" s="300" t="s">
        <v>153</v>
      </c>
      <c r="B46" s="301">
        <v>4163680.4899999979</v>
      </c>
      <c r="C46" s="301">
        <v>7118183.3400000008</v>
      </c>
      <c r="D46" s="301">
        <v>1475451.6300000004</v>
      </c>
      <c r="E46" s="301">
        <v>-2096198.1</v>
      </c>
      <c r="F46" s="301">
        <v>749546.2900000005</v>
      </c>
      <c r="G46" s="301">
        <v>5605745.8027410498</v>
      </c>
      <c r="H46" s="301">
        <v>7949499.6825110503</v>
      </c>
      <c r="I46" s="301">
        <v>0</v>
      </c>
      <c r="J46" s="301">
        <v>-6960481.4497700026</v>
      </c>
      <c r="K46" s="301">
        <v>18005427.685482096</v>
      </c>
    </row>
    <row r="47" spans="1:12">
      <c r="A47" s="91"/>
      <c r="B47" s="91"/>
      <c r="C47" s="93"/>
    </row>
    <row r="48" spans="1:12">
      <c r="A48" s="310" t="s">
        <v>154</v>
      </c>
      <c r="B48" s="310"/>
      <c r="C48" s="310"/>
      <c r="D48" s="310"/>
      <c r="E48" s="310"/>
      <c r="F48" s="310"/>
      <c r="G48" s="310"/>
      <c r="H48" s="310"/>
      <c r="I48" s="310"/>
      <c r="J48" s="310"/>
      <c r="K48" s="310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-1.0092813549850924E-2</v>
      </c>
      <c r="C50" s="299">
        <f>C33/'Historical NAV'!$B$1169</f>
        <v>1.6900136986329344E-2</v>
      </c>
      <c r="D50" s="299">
        <f>D33/'Historical NAV'!$B$1169</f>
        <v>-1.5562804505829562E-2</v>
      </c>
      <c r="E50" s="299">
        <f>E33/'Historical NAV'!$B$1169</f>
        <v>-2.9591289129475111E-3</v>
      </c>
      <c r="F50" s="299">
        <f>F33/'Historical NAV'!$B$1169</f>
        <v>9.3860355837518672E-3</v>
      </c>
      <c r="G50" s="299">
        <f>G33/'Historical NAV'!$B$1169</f>
        <v>-3.6854522253578644E-3</v>
      </c>
      <c r="H50" s="299">
        <f>H33/'Historical NAV'!$B$1169</f>
        <v>2.1055291699325442E-3</v>
      </c>
      <c r="I50" s="299">
        <f>I33/'Historical NAV'!$B$1169</f>
        <v>0</v>
      </c>
      <c r="J50" s="299">
        <f>J33/'Historical NAV'!$B$1169</f>
        <v>-7.8743141496536231E-3</v>
      </c>
      <c r="K50" s="299">
        <f>K33/'Historical NAV'!$B$1169</f>
        <v>-1.1782811603625728E-2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397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21"/>
  <sheetViews>
    <sheetView zoomScale="85" zoomScaleNormal="85" workbookViewId="0">
      <pane xSplit="1" ySplit="1" topLeftCell="B1153" activePane="bottomRight" state="frozen"/>
      <selection pane="topRight" activeCell="B1" sqref="B1"/>
      <selection pane="bottomLeft" activeCell="A2" sqref="A2"/>
      <selection pane="bottomRight" activeCell="H1178" sqref="H1178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314</v>
      </c>
      <c r="I1" s="128" t="s">
        <v>313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0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0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0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0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0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0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0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0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0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0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0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0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0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0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0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1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2">IF(MONTH(A406)=MONTH(A405),J405+F406,F406)</f>
        <v>-13484398.089999996</v>
      </c>
      <c r="K406" s="70">
        <f t="shared" si="60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1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2"/>
        <v>-13673846.210000001</v>
      </c>
      <c r="K407" s="70">
        <f t="shared" si="60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1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2"/>
        <v>-14475535.539999999</v>
      </c>
      <c r="K408" s="70">
        <f t="shared" si="60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1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2"/>
        <v>-12374747.670000002</v>
      </c>
      <c r="K409" s="70">
        <f t="shared" si="60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1"/>
        <v>64588736.329999998</v>
      </c>
      <c r="F410" s="80">
        <f t="shared" si="56"/>
        <v>2130477.1100000069</v>
      </c>
      <c r="G410" s="81">
        <f t="shared" ref="G410:G473" si="63">F410/B409</f>
        <v>4.0802803322936315E-2</v>
      </c>
      <c r="H410" s="81"/>
      <c r="I410" s="81"/>
      <c r="J410" s="80">
        <f t="shared" si="62"/>
        <v>-10244270.559999995</v>
      </c>
      <c r="K410" s="81">
        <f t="shared" si="60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1"/>
        <v>54344465.770000003</v>
      </c>
      <c r="F411" s="67">
        <f t="shared" si="56"/>
        <v>496963.78999999911</v>
      </c>
      <c r="G411" s="70">
        <f t="shared" si="63"/>
        <v>9.144699151212193E-3</v>
      </c>
      <c r="H411" s="70"/>
      <c r="I411" s="70"/>
      <c r="J411" s="67">
        <f t="shared" si="62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1"/>
        <v>54344465.770000003</v>
      </c>
      <c r="F412" s="67">
        <f t="shared" si="56"/>
        <v>934900.21000000089</v>
      </c>
      <c r="G412" s="70">
        <f t="shared" si="63"/>
        <v>1.7047334788695849E-2</v>
      </c>
      <c r="H412" s="70"/>
      <c r="I412" s="70"/>
      <c r="J412" s="67">
        <f t="shared" si="62"/>
        <v>1431864</v>
      </c>
      <c r="K412" s="70">
        <f t="shared" ref="K412:K430" si="64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1"/>
        <v>54344465.770000003</v>
      </c>
      <c r="F413" s="67">
        <f t="shared" si="56"/>
        <v>-3190818.8500000015</v>
      </c>
      <c r="G413" s="70">
        <f t="shared" si="63"/>
        <v>-5.7207400758667759E-2</v>
      </c>
      <c r="H413" s="70"/>
      <c r="I413" s="70"/>
      <c r="J413" s="67">
        <f t="shared" si="62"/>
        <v>-1758954.8500000015</v>
      </c>
      <c r="K413" s="70">
        <f t="shared" si="64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1"/>
        <v>54344465.770000003</v>
      </c>
      <c r="F414" s="67">
        <f t="shared" si="56"/>
        <v>791635</v>
      </c>
      <c r="G414" s="70">
        <f t="shared" si="63"/>
        <v>1.5054241865298967E-2</v>
      </c>
      <c r="H414" s="70"/>
      <c r="I414" s="70"/>
      <c r="J414" s="67">
        <f t="shared" si="62"/>
        <v>-967319.85000000149</v>
      </c>
      <c r="K414" s="70">
        <f t="shared" si="64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1"/>
        <v>54344465.770000003</v>
      </c>
      <c r="F415" s="67">
        <f t="shared" si="56"/>
        <v>-470037.44000000507</v>
      </c>
      <c r="G415" s="70">
        <f t="shared" si="63"/>
        <v>-8.8059680205547618E-3</v>
      </c>
      <c r="H415" s="70"/>
      <c r="I415" s="70"/>
      <c r="J415" s="67">
        <f t="shared" si="62"/>
        <v>-1437357.2900000066</v>
      </c>
      <c r="K415" s="70">
        <f t="shared" si="64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1"/>
        <v>54344465.770000003</v>
      </c>
      <c r="F416" s="67">
        <f t="shared" si="56"/>
        <v>670708.99000000209</v>
      </c>
      <c r="G416" s="70">
        <f t="shared" si="63"/>
        <v>1.2677105388466735E-2</v>
      </c>
      <c r="H416" s="70"/>
      <c r="I416" s="70"/>
      <c r="J416" s="67">
        <f t="shared" si="62"/>
        <v>-766648.30000000447</v>
      </c>
      <c r="K416" s="70">
        <f t="shared" si="64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1"/>
        <v>54344465.770000003</v>
      </c>
      <c r="F417" s="67">
        <f t="shared" si="56"/>
        <v>2166682.0200000033</v>
      </c>
      <c r="G417" s="70">
        <f t="shared" si="63"/>
        <v>4.0439908199194574E-2</v>
      </c>
      <c r="H417" s="70"/>
      <c r="I417" s="70"/>
      <c r="J417" s="67">
        <f t="shared" si="62"/>
        <v>1400033.7199999988</v>
      </c>
      <c r="K417" s="70">
        <f t="shared" si="64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1"/>
        <v>54344465.770000003</v>
      </c>
      <c r="F418" s="67">
        <f t="shared" si="56"/>
        <v>-2407343.8200000003</v>
      </c>
      <c r="G418" s="70">
        <f t="shared" si="63"/>
        <v>-4.3185315897075249E-2</v>
      </c>
      <c r="H418" s="70"/>
      <c r="I418" s="70"/>
      <c r="J418" s="67">
        <f t="shared" si="62"/>
        <v>-1007310.1000000015</v>
      </c>
      <c r="K418" s="70">
        <f t="shared" si="64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1"/>
        <v>54344465.770000003</v>
      </c>
      <c r="F419" s="67">
        <f t="shared" si="56"/>
        <v>-1952613.6799999997</v>
      </c>
      <c r="G419" s="70">
        <f t="shared" si="63"/>
        <v>-3.6608882784843852E-2</v>
      </c>
      <c r="H419" s="70"/>
      <c r="I419" s="70"/>
      <c r="J419" s="67">
        <f t="shared" si="62"/>
        <v>-2959923.7800000012</v>
      </c>
      <c r="K419" s="70">
        <f t="shared" si="64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1"/>
        <v>54344465.770000003</v>
      </c>
      <c r="F420" s="67">
        <f t="shared" si="56"/>
        <v>-60111.719999998808</v>
      </c>
      <c r="G420" s="70">
        <f t="shared" si="63"/>
        <v>-1.1698405332034917E-3</v>
      </c>
      <c r="H420" s="70"/>
      <c r="I420" s="70"/>
      <c r="J420" s="67">
        <f t="shared" si="62"/>
        <v>-3020035.5</v>
      </c>
      <c r="K420" s="70">
        <f t="shared" si="64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1"/>
        <v>54344465.770000003</v>
      </c>
      <c r="F421" s="67">
        <f t="shared" si="56"/>
        <v>1159803.1999999955</v>
      </c>
      <c r="G421" s="70">
        <f t="shared" si="63"/>
        <v>2.2597488055857096E-2</v>
      </c>
      <c r="H421" s="70"/>
      <c r="I421" s="70"/>
      <c r="J421" s="67">
        <f t="shared" si="62"/>
        <v>-1860232.3000000045</v>
      </c>
      <c r="K421" s="70">
        <f t="shared" si="64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1"/>
        <v>54344465.770000003</v>
      </c>
      <c r="F422" s="67">
        <f t="shared" si="56"/>
        <v>369970.81000000238</v>
      </c>
      <c r="G422" s="70">
        <f t="shared" si="63"/>
        <v>7.0491800211101071E-3</v>
      </c>
      <c r="H422" s="70"/>
      <c r="I422" s="70"/>
      <c r="J422" s="67">
        <f t="shared" si="62"/>
        <v>-1490261.4900000021</v>
      </c>
      <c r="K422" s="70">
        <f t="shared" si="64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1"/>
        <v>54344465.770000003</v>
      </c>
      <c r="F423" s="67">
        <f t="shared" si="56"/>
        <v>-2078968.4600000009</v>
      </c>
      <c r="G423" s="70">
        <f t="shared" si="63"/>
        <v>-3.9334022493016346E-2</v>
      </c>
      <c r="H423" s="70"/>
      <c r="I423" s="70"/>
      <c r="J423" s="67">
        <f t="shared" si="62"/>
        <v>-3569229.950000003</v>
      </c>
      <c r="K423" s="70">
        <f t="shared" si="64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1"/>
        <v>54344465.770000003</v>
      </c>
      <c r="F424" s="67">
        <f t="shared" si="56"/>
        <v>-760850.4299999997</v>
      </c>
      <c r="G424" s="70">
        <f t="shared" si="63"/>
        <v>-1.4984675456697853E-2</v>
      </c>
      <c r="H424" s="70"/>
      <c r="I424" s="70"/>
      <c r="J424" s="67">
        <f t="shared" si="62"/>
        <v>-4330080.3800000027</v>
      </c>
      <c r="K424" s="70">
        <f t="shared" si="64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1"/>
        <v>54344465.770000003</v>
      </c>
      <c r="F425" s="67">
        <f t="shared" si="56"/>
        <v>29037.079999998212</v>
      </c>
      <c r="G425" s="70">
        <f t="shared" si="63"/>
        <v>5.8057456416937109E-4</v>
      </c>
      <c r="H425" s="70"/>
      <c r="I425" s="70"/>
      <c r="J425" s="67">
        <f t="shared" si="62"/>
        <v>-4301043.3000000045</v>
      </c>
      <c r="K425" s="70">
        <f t="shared" si="64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1"/>
        <v>54344465.770000003</v>
      </c>
      <c r="F426" s="67">
        <f t="shared" si="56"/>
        <v>-611440.99000000209</v>
      </c>
      <c r="G426" s="70">
        <f t="shared" si="63"/>
        <v>-1.2218208903808455E-2</v>
      </c>
      <c r="H426" s="70"/>
      <c r="I426" s="70"/>
      <c r="J426" s="67">
        <f t="shared" si="62"/>
        <v>-4912484.2900000066</v>
      </c>
      <c r="K426" s="70">
        <f t="shared" si="64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1"/>
        <v>54344465.770000003</v>
      </c>
      <c r="F427" s="67">
        <f t="shared" si="56"/>
        <v>-1285689.5399999991</v>
      </c>
      <c r="G427" s="70">
        <f t="shared" si="63"/>
        <v>-2.6009265692094188E-2</v>
      </c>
      <c r="H427" s="70"/>
      <c r="I427" s="70"/>
      <c r="J427" s="67">
        <f t="shared" si="62"/>
        <v>-6198173.8300000057</v>
      </c>
      <c r="K427" s="70">
        <f t="shared" si="64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1"/>
        <v>54344465.770000003</v>
      </c>
      <c r="F428" s="67">
        <f t="shared" ref="F428:F491" si="65">B428-C428-D427</f>
        <v>1416306.950000003</v>
      </c>
      <c r="G428" s="70">
        <f t="shared" si="63"/>
        <v>2.9416739959226921E-2</v>
      </c>
      <c r="H428" s="70"/>
      <c r="I428" s="70"/>
      <c r="J428" s="67">
        <f t="shared" si="62"/>
        <v>-4781866.8800000027</v>
      </c>
      <c r="K428" s="70">
        <f t="shared" si="64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1"/>
        <v>54344465.770000003</v>
      </c>
      <c r="F429" s="67">
        <f t="shared" si="65"/>
        <v>1043465.799999997</v>
      </c>
      <c r="G429" s="70">
        <f t="shared" si="63"/>
        <v>2.1053492419069491E-2</v>
      </c>
      <c r="H429" s="70"/>
      <c r="I429" s="70"/>
      <c r="J429" s="67">
        <f t="shared" si="62"/>
        <v>-3738401.0800000057</v>
      </c>
      <c r="K429" s="70">
        <f t="shared" si="64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1"/>
        <v>54344465.770000003</v>
      </c>
      <c r="F430" s="80">
        <f t="shared" si="65"/>
        <v>603699.91000000387</v>
      </c>
      <c r="G430" s="81">
        <f t="shared" si="63"/>
        <v>1.1929398456452155E-2</v>
      </c>
      <c r="H430" s="81"/>
      <c r="I430" s="81"/>
      <c r="J430" s="80">
        <f t="shared" si="62"/>
        <v>-3134701.1700000018</v>
      </c>
      <c r="K430" s="81">
        <f t="shared" si="64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1"/>
        <v>51209764.600000001</v>
      </c>
      <c r="F431" s="67">
        <f t="shared" si="65"/>
        <v>-148794.96000000089</v>
      </c>
      <c r="G431" s="70">
        <f t="shared" si="63"/>
        <v>-2.9055974219416914E-3</v>
      </c>
      <c r="H431" s="70"/>
      <c r="I431" s="70"/>
      <c r="J431" s="67">
        <f t="shared" si="62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1"/>
        <v>51209764.600000001</v>
      </c>
      <c r="F432" s="67">
        <f t="shared" si="65"/>
        <v>1609344.3599999994</v>
      </c>
      <c r="G432" s="70">
        <f t="shared" si="63"/>
        <v>3.151809241670326E-2</v>
      </c>
      <c r="H432" s="70"/>
      <c r="I432" s="70"/>
      <c r="J432" s="67">
        <f t="shared" si="62"/>
        <v>1460549.3999999985</v>
      </c>
      <c r="K432" s="70">
        <f t="shared" ref="K432:K453" si="66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1"/>
        <v>51209764.600000001</v>
      </c>
      <c r="F433" s="67">
        <f t="shared" si="65"/>
        <v>-815755.85000000149</v>
      </c>
      <c r="G433" s="70">
        <f t="shared" si="63"/>
        <v>-1.5487962536164138E-2</v>
      </c>
      <c r="H433" s="70"/>
      <c r="I433" s="70"/>
      <c r="J433" s="67">
        <f t="shared" si="62"/>
        <v>644793.54999999702</v>
      </c>
      <c r="K433" s="70">
        <f t="shared" si="66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1"/>
        <v>51209764.600000001</v>
      </c>
      <c r="F434" s="67">
        <f t="shared" si="65"/>
        <v>-51444.710000000894</v>
      </c>
      <c r="G434" s="70">
        <f t="shared" si="63"/>
        <v>-9.9209619820086917E-4</v>
      </c>
      <c r="H434" s="70"/>
      <c r="I434" s="70"/>
      <c r="J434" s="67">
        <f t="shared" si="62"/>
        <v>593348.83999999613</v>
      </c>
      <c r="K434" s="70">
        <f t="shared" si="66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1"/>
        <v>51209764.600000001</v>
      </c>
      <c r="F435" s="67">
        <f t="shared" si="65"/>
        <v>-1703486.4899999946</v>
      </c>
      <c r="G435" s="70">
        <f t="shared" si="63"/>
        <v>-3.2883863090063623E-2</v>
      </c>
      <c r="H435" s="70"/>
      <c r="I435" s="70"/>
      <c r="J435" s="67">
        <f t="shared" si="62"/>
        <v>-1110137.6499999985</v>
      </c>
      <c r="K435" s="70">
        <f t="shared" si="66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1"/>
        <v>51209764.600000001</v>
      </c>
      <c r="F436" s="67">
        <f t="shared" si="65"/>
        <v>91008.039999999106</v>
      </c>
      <c r="G436" s="70">
        <f t="shared" si="63"/>
        <v>1.8165412706730563E-3</v>
      </c>
      <c r="H436" s="70"/>
      <c r="I436" s="70"/>
      <c r="J436" s="67">
        <f t="shared" si="62"/>
        <v>-1019129.6099999994</v>
      </c>
      <c r="K436" s="70">
        <f t="shared" si="66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1"/>
        <v>51209764.600000001</v>
      </c>
      <c r="F437" s="67">
        <f t="shared" si="65"/>
        <v>111102.37999999523</v>
      </c>
      <c r="G437" s="70">
        <f t="shared" si="63"/>
        <v>2.2136077780671895E-3</v>
      </c>
      <c r="H437" s="70"/>
      <c r="I437" s="70"/>
      <c r="J437" s="67">
        <f t="shared" si="62"/>
        <v>-908027.23000000417</v>
      </c>
      <c r="K437" s="70">
        <f t="shared" si="66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1"/>
        <v>51209764.600000001</v>
      </c>
      <c r="F438" s="67">
        <f t="shared" si="65"/>
        <v>-975495.0700000003</v>
      </c>
      <c r="G438" s="70">
        <f t="shared" si="63"/>
        <v>-1.9392870326220311E-2</v>
      </c>
      <c r="H438" s="70"/>
      <c r="I438" s="70"/>
      <c r="J438" s="67">
        <f t="shared" si="62"/>
        <v>-1883522.3000000045</v>
      </c>
      <c r="K438" s="70">
        <f t="shared" si="66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1"/>
        <v>51209764.600000001</v>
      </c>
      <c r="F439" s="67">
        <f t="shared" si="65"/>
        <v>-974361.6400000006</v>
      </c>
      <c r="G439" s="70">
        <f t="shared" si="63"/>
        <v>-1.9753413083323412E-2</v>
      </c>
      <c r="H439" s="70"/>
      <c r="I439" s="70"/>
      <c r="J439" s="67">
        <f t="shared" si="62"/>
        <v>-2857883.9400000051</v>
      </c>
      <c r="K439" s="70">
        <f t="shared" si="66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1"/>
        <v>51209764.600000001</v>
      </c>
      <c r="F440" s="67">
        <f t="shared" si="65"/>
        <v>-2270707.1899999976</v>
      </c>
      <c r="G440" s="70">
        <f t="shared" si="63"/>
        <v>-4.6962127615410063E-2</v>
      </c>
      <c r="H440" s="70"/>
      <c r="I440" s="70"/>
      <c r="J440" s="67">
        <f t="shared" si="62"/>
        <v>-5128591.1300000027</v>
      </c>
      <c r="K440" s="70">
        <f t="shared" si="66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1"/>
        <v>51209764.600000001</v>
      </c>
      <c r="F441" s="67">
        <f t="shared" si="65"/>
        <v>1169367.8599999994</v>
      </c>
      <c r="G441" s="70">
        <f t="shared" si="63"/>
        <v>2.537626045398534E-2</v>
      </c>
      <c r="H441" s="70"/>
      <c r="I441" s="70"/>
      <c r="J441" s="67">
        <f t="shared" si="62"/>
        <v>-3959223.2700000033</v>
      </c>
      <c r="K441" s="70">
        <f t="shared" si="66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1"/>
        <v>51209764.600000001</v>
      </c>
      <c r="F442" s="67">
        <f t="shared" si="65"/>
        <v>1920908.5900000036</v>
      </c>
      <c r="G442" s="70">
        <f t="shared" si="63"/>
        <v>4.0653684295049404E-2</v>
      </c>
      <c r="H442" s="70"/>
      <c r="I442" s="70"/>
      <c r="J442" s="67">
        <f t="shared" si="62"/>
        <v>-2038314.6799999997</v>
      </c>
      <c r="K442" s="70">
        <f t="shared" si="66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1"/>
        <v>51209764.600000001</v>
      </c>
      <c r="F443" s="67">
        <f t="shared" si="65"/>
        <v>1110778.6299999952</v>
      </c>
      <c r="G443" s="70">
        <f t="shared" si="63"/>
        <v>2.2589910035339368E-2</v>
      </c>
      <c r="H443" s="70"/>
      <c r="I443" s="70"/>
      <c r="J443" s="67">
        <f t="shared" si="62"/>
        <v>-927536.05000000447</v>
      </c>
      <c r="K443" s="70">
        <f t="shared" si="66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1"/>
        <v>51209764.600000001</v>
      </c>
      <c r="F444" s="67">
        <f t="shared" si="65"/>
        <v>604387.47000000626</v>
      </c>
      <c r="G444" s="70">
        <f t="shared" si="63"/>
        <v>1.2019902208570792E-2</v>
      </c>
      <c r="H444" s="70"/>
      <c r="I444" s="70"/>
      <c r="J444" s="67">
        <f t="shared" si="62"/>
        <v>-323148.57999999821</v>
      </c>
      <c r="K444" s="70">
        <f t="shared" si="66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1"/>
        <v>51209764.600000001</v>
      </c>
      <c r="F445" s="67">
        <f t="shared" si="65"/>
        <v>-81140.140000000596</v>
      </c>
      <c r="G445" s="70">
        <f t="shared" si="63"/>
        <v>-1.5945281165505292E-3</v>
      </c>
      <c r="H445" s="70"/>
      <c r="I445" s="70"/>
      <c r="J445" s="67">
        <f t="shared" si="62"/>
        <v>-404288.71999999881</v>
      </c>
      <c r="K445" s="70">
        <f t="shared" si="66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1"/>
        <v>51209764.600000001</v>
      </c>
      <c r="F446" s="67">
        <f t="shared" si="65"/>
        <v>906049.78999999911</v>
      </c>
      <c r="G446" s="70">
        <f t="shared" si="63"/>
        <v>1.7833703440551241E-2</v>
      </c>
      <c r="H446" s="70"/>
      <c r="I446" s="70"/>
      <c r="J446" s="67">
        <f t="shared" si="62"/>
        <v>501761.0700000003</v>
      </c>
      <c r="K446" s="70">
        <f t="shared" si="66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1"/>
        <v>51209764.600000001</v>
      </c>
      <c r="F447" s="67">
        <f t="shared" si="65"/>
        <v>-529426.59000000358</v>
      </c>
      <c r="G447" s="70">
        <f t="shared" si="63"/>
        <v>-1.0238077162498919E-2</v>
      </c>
      <c r="H447" s="70"/>
      <c r="I447" s="70"/>
      <c r="J447" s="67">
        <f t="shared" si="62"/>
        <v>-27665.520000003278</v>
      </c>
      <c r="K447" s="70">
        <f t="shared" si="66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1"/>
        <v>51209764.600000001</v>
      </c>
      <c r="F448" s="67">
        <f t="shared" si="65"/>
        <v>1358832.7800000012</v>
      </c>
      <c r="G448" s="70">
        <f t="shared" si="63"/>
        <v>2.6548984985474755E-2</v>
      </c>
      <c r="H448" s="70"/>
      <c r="I448" s="70"/>
      <c r="J448" s="67">
        <f t="shared" si="62"/>
        <v>1331167.2599999979</v>
      </c>
      <c r="K448" s="70">
        <f t="shared" si="66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1"/>
        <v>51209764.600000001</v>
      </c>
      <c r="F449" s="67">
        <f t="shared" si="65"/>
        <v>-3907.3100000023842</v>
      </c>
      <c r="G449" s="70">
        <f t="shared" si="63"/>
        <v>-7.4366971838523162E-5</v>
      </c>
      <c r="H449" s="70"/>
      <c r="I449" s="70"/>
      <c r="J449" s="67">
        <f t="shared" si="62"/>
        <v>1327259.9499999955</v>
      </c>
      <c r="K449" s="70">
        <f t="shared" si="66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1"/>
        <v>51209764.600000001</v>
      </c>
      <c r="F450" s="67">
        <f t="shared" si="65"/>
        <v>653671.26000000536</v>
      </c>
      <c r="G450" s="70">
        <f t="shared" si="63"/>
        <v>1.244210660194317E-2</v>
      </c>
      <c r="H450" s="70"/>
      <c r="I450" s="70"/>
      <c r="J450" s="67">
        <f t="shared" si="62"/>
        <v>1980931.2100000009</v>
      </c>
      <c r="K450" s="70">
        <f t="shared" si="66"/>
        <v>3.8682685333023104E-2</v>
      </c>
      <c r="L450" s="70">
        <f t="shared" ref="L450:L513" si="67">1+G450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8">B451</f>
        <v>54109246.530000001</v>
      </c>
      <c r="E451" s="67">
        <f t="shared" si="61"/>
        <v>51209764.600000001</v>
      </c>
      <c r="F451" s="67">
        <f t="shared" si="65"/>
        <v>918550.71999999881</v>
      </c>
      <c r="G451" s="70">
        <f t="shared" si="63"/>
        <v>1.7269011168440263E-2</v>
      </c>
      <c r="H451" s="70"/>
      <c r="I451" s="70"/>
      <c r="J451" s="67">
        <f t="shared" si="62"/>
        <v>2899481.9299999997</v>
      </c>
      <c r="K451" s="70">
        <f t="shared" si="66"/>
        <v>5.6619708226504528E-2</v>
      </c>
      <c r="L451" s="70">
        <f t="shared" si="67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8"/>
        <v>53740033.659999996</v>
      </c>
      <c r="E452" s="67">
        <f t="shared" si="61"/>
        <v>51209764.600000001</v>
      </c>
      <c r="F452" s="67">
        <f t="shared" si="65"/>
        <v>-369212.87000000477</v>
      </c>
      <c r="G452" s="70">
        <f t="shared" si="63"/>
        <v>-6.823470916293403E-3</v>
      </c>
      <c r="H452" s="70"/>
      <c r="I452" s="70"/>
      <c r="J452" s="67">
        <f t="shared" si="62"/>
        <v>2530269.0599999949</v>
      </c>
      <c r="K452" s="70">
        <f t="shared" si="66"/>
        <v>4.9409894377838492E-2</v>
      </c>
      <c r="L452" s="70">
        <f t="shared" si="67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8"/>
        <v>52266615.549999997</v>
      </c>
      <c r="E453" s="80">
        <f t="shared" si="61"/>
        <v>51209764.600000001</v>
      </c>
      <c r="F453" s="80">
        <f t="shared" si="65"/>
        <v>-1473418.1099999994</v>
      </c>
      <c r="G453" s="81">
        <f t="shared" si="63"/>
        <v>-2.741751371653308E-2</v>
      </c>
      <c r="H453" s="81"/>
      <c r="I453" s="81"/>
      <c r="J453" s="80">
        <f t="shared" si="62"/>
        <v>1056850.9499999955</v>
      </c>
      <c r="K453" s="81">
        <f t="shared" si="66"/>
        <v>2.0637684204468432E-2</v>
      </c>
      <c r="L453" s="81">
        <f t="shared" si="67"/>
        <v>0.97258248628346688</v>
      </c>
      <c r="M453" s="81">
        <f>PRODUCT($L$2:L453)-1</f>
        <v>0.22234070969198494</v>
      </c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8"/>
        <v>52206389.119999997</v>
      </c>
      <c r="E454" s="67">
        <f t="shared" si="61"/>
        <v>52266615.549999997</v>
      </c>
      <c r="F454" s="67">
        <f t="shared" si="65"/>
        <v>-60226.429999999702</v>
      </c>
      <c r="G454" s="70">
        <f t="shared" si="63"/>
        <v>-1.1522925172452591E-3</v>
      </c>
      <c r="H454" s="70"/>
      <c r="I454" s="70"/>
      <c r="J454" s="67">
        <f t="shared" si="62"/>
        <v>-60226.429999999702</v>
      </c>
      <c r="K454" s="70">
        <f>G454</f>
        <v>-1.1522925172452591E-3</v>
      </c>
      <c r="L454" s="70">
        <f t="shared" si="67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8"/>
        <v>53891765.32</v>
      </c>
      <c r="E455" s="67">
        <f t="shared" si="61"/>
        <v>52266615.549999997</v>
      </c>
      <c r="F455" s="67">
        <f t="shared" si="65"/>
        <v>1685376.200000003</v>
      </c>
      <c r="G455" s="70">
        <f t="shared" si="63"/>
        <v>3.2282949049129775E-2</v>
      </c>
      <c r="H455" s="70"/>
      <c r="I455" s="70"/>
      <c r="J455" s="67">
        <f t="shared" si="62"/>
        <v>1625149.7700000033</v>
      </c>
      <c r="K455" s="70">
        <f t="shared" ref="K455:K474" si="69">(1+K454)*(1+G455)-1</f>
        <v>3.109345713126066E-2</v>
      </c>
      <c r="L455" s="70">
        <f t="shared" si="67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8"/>
        <v>51817961.82</v>
      </c>
      <c r="E456" s="67">
        <f t="shared" si="61"/>
        <v>52266615.549999997</v>
      </c>
      <c r="F456" s="67">
        <f t="shared" si="65"/>
        <v>-2073803.5</v>
      </c>
      <c r="G456" s="70">
        <f t="shared" si="63"/>
        <v>-3.8480897548746319E-2</v>
      </c>
      <c r="H456" s="70"/>
      <c r="I456" s="70"/>
      <c r="J456" s="67">
        <f t="shared" si="62"/>
        <v>-448653.72999999672</v>
      </c>
      <c r="K456" s="70">
        <f t="shared" si="69"/>
        <v>-8.5839445557900351E-3</v>
      </c>
      <c r="L456" s="70">
        <f t="shared" si="67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8"/>
        <v>50115406.890000001</v>
      </c>
      <c r="E457" s="67">
        <f t="shared" si="61"/>
        <v>52266615.549999997</v>
      </c>
      <c r="F457" s="67">
        <f t="shared" si="65"/>
        <v>-1702554.9299999997</v>
      </c>
      <c r="G457" s="70">
        <f t="shared" si="63"/>
        <v>-3.2856462705232653E-2</v>
      </c>
      <c r="H457" s="70"/>
      <c r="I457" s="70"/>
      <c r="J457" s="67">
        <f t="shared" si="62"/>
        <v>-2151208.6599999964</v>
      </c>
      <c r="K457" s="70">
        <f t="shared" si="69"/>
        <v>-4.1158369206861667E-2</v>
      </c>
      <c r="L457" s="70">
        <f t="shared" si="67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8"/>
        <v>50269401.289999999</v>
      </c>
      <c r="E458" s="67">
        <f t="shared" si="61"/>
        <v>52266615.549999997</v>
      </c>
      <c r="F458" s="67">
        <f t="shared" si="65"/>
        <v>153994.39999999851</v>
      </c>
      <c r="G458" s="70">
        <f t="shared" si="63"/>
        <v>3.0727955644060923E-3</v>
      </c>
      <c r="H458" s="70"/>
      <c r="I458" s="70"/>
      <c r="J458" s="67">
        <f t="shared" si="62"/>
        <v>-1997214.2599999979</v>
      </c>
      <c r="K458" s="70">
        <f t="shared" si="69"/>
        <v>-3.8212044896792641E-2</v>
      </c>
      <c r="L458" s="70">
        <f t="shared" si="67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8"/>
        <v>49863548.799999997</v>
      </c>
      <c r="E459" s="67">
        <f t="shared" si="61"/>
        <v>52266615.549999997</v>
      </c>
      <c r="F459" s="67">
        <f t="shared" si="65"/>
        <v>-405852.49000000209</v>
      </c>
      <c r="G459" s="70">
        <f t="shared" si="63"/>
        <v>-8.0735493080307998E-3</v>
      </c>
      <c r="H459" s="70"/>
      <c r="I459" s="70"/>
      <c r="J459" s="67">
        <f t="shared" si="62"/>
        <v>-2403066.75</v>
      </c>
      <c r="K459" s="70">
        <f t="shared" si="69"/>
        <v>-4.5977087376188552E-2</v>
      </c>
      <c r="L459" s="70">
        <f t="shared" si="67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8"/>
        <v>48015241.020000003</v>
      </c>
      <c r="E460" s="67">
        <f t="shared" si="61"/>
        <v>52266615.549999997</v>
      </c>
      <c r="F460" s="67">
        <f t="shared" si="65"/>
        <v>-1848307.7799999937</v>
      </c>
      <c r="G460" s="70">
        <f t="shared" si="63"/>
        <v>-3.7067313187303545E-2</v>
      </c>
      <c r="H460" s="70"/>
      <c r="I460" s="70"/>
      <c r="J460" s="67">
        <f t="shared" si="62"/>
        <v>-4251374.5299999937</v>
      </c>
      <c r="K460" s="70">
        <f t="shared" si="69"/>
        <v>-8.1340153466278875E-2</v>
      </c>
      <c r="L460" s="70">
        <f t="shared" si="67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8"/>
        <v>48280195.770000003</v>
      </c>
      <c r="E461" s="67">
        <f t="shared" si="61"/>
        <v>52266615.549999997</v>
      </c>
      <c r="F461" s="67">
        <f t="shared" si="65"/>
        <v>264954.75</v>
      </c>
      <c r="G461" s="70">
        <f t="shared" si="63"/>
        <v>5.5181384987661982E-3</v>
      </c>
      <c r="H461" s="70"/>
      <c r="I461" s="70"/>
      <c r="J461" s="67">
        <f t="shared" si="62"/>
        <v>-3986419.7799999937</v>
      </c>
      <c r="K461" s="70">
        <f t="shared" si="69"/>
        <v>-7.6270861199850604E-2</v>
      </c>
      <c r="L461" s="70">
        <f t="shared" si="67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8"/>
        <v>49950778.68</v>
      </c>
      <c r="E462" s="67">
        <f t="shared" si="61"/>
        <v>52266615.549999997</v>
      </c>
      <c r="F462" s="67">
        <f t="shared" si="65"/>
        <v>1670582.9099999964</v>
      </c>
      <c r="G462" s="70">
        <f t="shared" si="63"/>
        <v>3.4601825517825494E-2</v>
      </c>
      <c r="H462" s="70"/>
      <c r="I462" s="70"/>
      <c r="J462" s="67">
        <f t="shared" si="62"/>
        <v>-2315836.8699999973</v>
      </c>
      <c r="K462" s="70">
        <f t="shared" si="69"/>
        <v>-4.4308146713356589E-2</v>
      </c>
      <c r="L462" s="70">
        <f t="shared" si="67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8"/>
        <v>48585550.140000001</v>
      </c>
      <c r="E463" s="67">
        <f t="shared" si="61"/>
        <v>52266615.549999997</v>
      </c>
      <c r="F463" s="67">
        <f t="shared" si="65"/>
        <v>-1365228.5399999991</v>
      </c>
      <c r="G463" s="70">
        <f t="shared" si="63"/>
        <v>-2.7331476627142724E-2</v>
      </c>
      <c r="H463" s="70"/>
      <c r="I463" s="70"/>
      <c r="J463" s="67">
        <f t="shared" si="62"/>
        <v>-3681065.4099999964</v>
      </c>
      <c r="K463" s="70">
        <f t="shared" si="69"/>
        <v>-7.0428616264211263E-2</v>
      </c>
      <c r="L463" s="70">
        <f t="shared" si="67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8"/>
        <v>48588748.950000003</v>
      </c>
      <c r="E464" s="67">
        <f t="shared" si="61"/>
        <v>52266615.549999997</v>
      </c>
      <c r="F464" s="67">
        <f t="shared" si="65"/>
        <v>3198.8100000023842</v>
      </c>
      <c r="G464" s="70">
        <f t="shared" si="63"/>
        <v>6.5838711114414982E-5</v>
      </c>
      <c r="H464" s="70"/>
      <c r="I464" s="70"/>
      <c r="J464" s="67">
        <f t="shared" si="62"/>
        <v>-3677866.599999994</v>
      </c>
      <c r="K464" s="70">
        <f t="shared" si="69"/>
        <v>-7.0367414482417345E-2</v>
      </c>
      <c r="L464" s="70">
        <f t="shared" si="67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8"/>
        <v>48848249.469999999</v>
      </c>
      <c r="E465" s="67">
        <f t="shared" si="61"/>
        <v>52266615.549999997</v>
      </c>
      <c r="F465" s="67">
        <f t="shared" si="65"/>
        <v>259500.51999999583</v>
      </c>
      <c r="G465" s="70">
        <f t="shared" si="63"/>
        <v>5.3407532732944714E-3</v>
      </c>
      <c r="H465" s="70"/>
      <c r="I465" s="70"/>
      <c r="J465" s="67">
        <f t="shared" si="62"/>
        <v>-3418366.0799999982</v>
      </c>
      <c r="K465" s="70">
        <f t="shared" si="69"/>
        <v>-6.5402476208353044E-2</v>
      </c>
      <c r="L465" s="70">
        <f t="shared" si="67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8"/>
        <v>49647498.399999999</v>
      </c>
      <c r="E466" s="67">
        <f t="shared" si="61"/>
        <v>52266615.549999997</v>
      </c>
      <c r="F466" s="67">
        <f t="shared" si="65"/>
        <v>799248.9299999997</v>
      </c>
      <c r="G466" s="70">
        <f t="shared" si="63"/>
        <v>1.6361874553782237E-2</v>
      </c>
      <c r="H466" s="70"/>
      <c r="I466" s="70"/>
      <c r="J466" s="67">
        <f t="shared" si="62"/>
        <v>-2619117.1499999985</v>
      </c>
      <c r="K466" s="70">
        <f t="shared" si="69"/>
        <v>-5.0110708765798706E-2</v>
      </c>
      <c r="L466" s="70">
        <f t="shared" si="67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8"/>
        <v>48987036.039999999</v>
      </c>
      <c r="E467" s="67">
        <f t="shared" si="61"/>
        <v>52266615.549999997</v>
      </c>
      <c r="F467" s="67">
        <f t="shared" si="65"/>
        <v>-660462.3599999994</v>
      </c>
      <c r="G467" s="70">
        <f t="shared" si="63"/>
        <v>-1.3303034015506397E-2</v>
      </c>
      <c r="H467" s="70"/>
      <c r="I467" s="70"/>
      <c r="J467" s="67">
        <f t="shared" si="62"/>
        <v>-3279579.5099999979</v>
      </c>
      <c r="K467" s="70">
        <f t="shared" si="69"/>
        <v>-6.2747118318052464E-2</v>
      </c>
      <c r="L467" s="70">
        <f t="shared" si="67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8"/>
        <v>47180612.770000003</v>
      </c>
      <c r="E468" s="67">
        <f t="shared" si="61"/>
        <v>52266615.549999997</v>
      </c>
      <c r="F468" s="67">
        <f t="shared" si="65"/>
        <v>-1806423.2699999958</v>
      </c>
      <c r="G468" s="70">
        <f t="shared" si="63"/>
        <v>-3.6875537203862961E-2</v>
      </c>
      <c r="H468" s="70"/>
      <c r="I468" s="70"/>
      <c r="J468" s="67">
        <f t="shared" si="62"/>
        <v>-5086002.7799999937</v>
      </c>
      <c r="K468" s="70">
        <f t="shared" si="69"/>
        <v>-9.7308821825942915E-2</v>
      </c>
      <c r="L468" s="70">
        <f t="shared" si="67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8"/>
        <v>44952452.520000003</v>
      </c>
      <c r="E469" s="67">
        <f t="shared" si="61"/>
        <v>52266615.549999997</v>
      </c>
      <c r="F469" s="67">
        <f t="shared" si="65"/>
        <v>-2228160.25</v>
      </c>
      <c r="G469" s="70">
        <f t="shared" si="63"/>
        <v>-4.7226182942176315E-2</v>
      </c>
      <c r="H469" s="70"/>
      <c r="I469" s="70"/>
      <c r="J469" s="67">
        <f t="shared" si="62"/>
        <v>-7314163.0299999937</v>
      </c>
      <c r="K469" s="70">
        <f t="shared" si="69"/>
        <v>-0.1399394805466796</v>
      </c>
      <c r="L469" s="70">
        <f t="shared" si="67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8"/>
        <v>44991840.100000001</v>
      </c>
      <c r="E470" s="67">
        <f t="shared" ref="E470:E533" si="70">IF(MONTH(A470)=MONTH(A469),E469,D469)</f>
        <v>52266615.549999997</v>
      </c>
      <c r="F470" s="67">
        <f t="shared" si="65"/>
        <v>39387.579999998212</v>
      </c>
      <c r="G470" s="70">
        <f t="shared" si="63"/>
        <v>8.7620536348876851E-4</v>
      </c>
      <c r="H470" s="70"/>
      <c r="I470" s="70"/>
      <c r="J470" s="67">
        <f t="shared" ref="J470:J533" si="71">IF(MONTH(A470)=MONTH(A469),J469+F470,F470)</f>
        <v>-7274775.4499999955</v>
      </c>
      <c r="K470" s="70">
        <f t="shared" si="69"/>
        <v>-0.13918589090660971</v>
      </c>
      <c r="L470" s="70">
        <f t="shared" si="67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8"/>
        <v>43191275.390000001</v>
      </c>
      <c r="E471" s="67">
        <f t="shared" si="70"/>
        <v>52266615.549999997</v>
      </c>
      <c r="F471" s="67">
        <f t="shared" si="65"/>
        <v>-1800564.7100000009</v>
      </c>
      <c r="G471" s="70">
        <f t="shared" si="63"/>
        <v>-4.001980594698995E-2</v>
      </c>
      <c r="H471" s="70"/>
      <c r="I471" s="70"/>
      <c r="J471" s="67">
        <f t="shared" si="71"/>
        <v>-9075340.1599999964</v>
      </c>
      <c r="K471" s="70">
        <f t="shared" si="69"/>
        <v>-0.17363550450895826</v>
      </c>
      <c r="L471" s="70">
        <f t="shared" si="67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8"/>
        <v>43388100.18</v>
      </c>
      <c r="E472" s="67">
        <f t="shared" si="70"/>
        <v>52266615.549999997</v>
      </c>
      <c r="F472" s="67">
        <f t="shared" si="65"/>
        <v>196824.78999999911</v>
      </c>
      <c r="G472" s="70">
        <f t="shared" si="63"/>
        <v>4.5570497333720693E-3</v>
      </c>
      <c r="H472" s="70"/>
      <c r="I472" s="70"/>
      <c r="J472" s="67">
        <f t="shared" si="71"/>
        <v>-8878515.3699999973</v>
      </c>
      <c r="K472" s="70">
        <f t="shared" si="69"/>
        <v>-0.16986972040511272</v>
      </c>
      <c r="L472" s="70">
        <f t="shared" si="67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8"/>
        <v>45268409.130000003</v>
      </c>
      <c r="E473" s="67">
        <f t="shared" si="70"/>
        <v>52266615.549999997</v>
      </c>
      <c r="F473" s="67">
        <f t="shared" si="65"/>
        <v>1880308.950000003</v>
      </c>
      <c r="G473" s="70">
        <f t="shared" si="63"/>
        <v>4.3336973552641107E-2</v>
      </c>
      <c r="H473" s="70"/>
      <c r="I473" s="70"/>
      <c r="J473" s="67">
        <f t="shared" si="71"/>
        <v>-6998206.4199999943</v>
      </c>
      <c r="K473" s="70">
        <f t="shared" si="69"/>
        <v>-0.1338943864330624</v>
      </c>
      <c r="L473" s="70">
        <f t="shared" si="67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8"/>
        <v>42787858.780000001</v>
      </c>
      <c r="E474" s="80">
        <f t="shared" si="70"/>
        <v>52266615.549999997</v>
      </c>
      <c r="F474" s="80">
        <f t="shared" si="65"/>
        <v>-2480550.3500000015</v>
      </c>
      <c r="G474" s="81">
        <f t="shared" ref="G474:G537" si="72">F474/B473</f>
        <v>-5.479649931758053E-2</v>
      </c>
      <c r="H474" s="81"/>
      <c r="I474" s="81"/>
      <c r="J474" s="80">
        <f t="shared" si="71"/>
        <v>-9478756.7699999958</v>
      </c>
      <c r="K474" s="81">
        <f t="shared" si="69"/>
        <v>-0.18135394209583577</v>
      </c>
      <c r="L474" s="81">
        <f t="shared" si="67"/>
        <v>0.94520350068241943</v>
      </c>
      <c r="M474" s="81">
        <f>PRODUCT($L$2:L474)-1</f>
        <v>6.6440340512241569E-4</v>
      </c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8"/>
        <v>43273677.729999997</v>
      </c>
      <c r="E475" s="67">
        <f t="shared" si="70"/>
        <v>42787858.780000001</v>
      </c>
      <c r="F475" s="67">
        <f t="shared" si="65"/>
        <v>485818.94999999553</v>
      </c>
      <c r="G475" s="70">
        <f t="shared" si="72"/>
        <v>1.1354130911245274E-2</v>
      </c>
      <c r="H475" s="70"/>
      <c r="I475" s="70"/>
      <c r="J475" s="67">
        <f t="shared" si="71"/>
        <v>485818.94999999553</v>
      </c>
      <c r="K475" s="70">
        <f>G475</f>
        <v>1.1354130911245274E-2</v>
      </c>
      <c r="L475" s="70">
        <f t="shared" si="67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8"/>
        <v>43381998.780000001</v>
      </c>
      <c r="E476" s="67">
        <f t="shared" si="70"/>
        <v>42787858.780000001</v>
      </c>
      <c r="F476" s="67">
        <f t="shared" si="65"/>
        <v>108321.05000000447</v>
      </c>
      <c r="G476" s="70">
        <f t="shared" si="72"/>
        <v>2.5031625616814537E-3</v>
      </c>
      <c r="H476" s="70"/>
      <c r="I476" s="70"/>
      <c r="J476" s="67">
        <f t="shared" si="71"/>
        <v>594140</v>
      </c>
      <c r="K476" s="70">
        <f t="shared" ref="K476:K496" si="73">(1+K475)*(1+G476)-1</f>
        <v>1.3885714708343988E-2</v>
      </c>
      <c r="L476" s="70">
        <f t="shared" si="67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8"/>
        <v>45071073.350000001</v>
      </c>
      <c r="E477" s="67">
        <f t="shared" si="70"/>
        <v>42787858.780000001</v>
      </c>
      <c r="F477" s="67">
        <f t="shared" si="65"/>
        <v>1689074.5700000003</v>
      </c>
      <c r="G477" s="70">
        <f t="shared" si="72"/>
        <v>3.8934918111212032E-2</v>
      </c>
      <c r="H477" s="70"/>
      <c r="I477" s="70"/>
      <c r="J477" s="67">
        <f t="shared" si="71"/>
        <v>2283214.5700000003</v>
      </c>
      <c r="K477" s="70">
        <f t="shared" si="73"/>
        <v>5.3361271984641023E-2</v>
      </c>
      <c r="L477" s="70">
        <f t="shared" si="67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8"/>
        <v>42815529.079999998</v>
      </c>
      <c r="E478" s="67">
        <f t="shared" si="70"/>
        <v>42787858.780000001</v>
      </c>
      <c r="F478" s="67">
        <f t="shared" si="65"/>
        <v>-2255544.2700000033</v>
      </c>
      <c r="G478" s="70">
        <f t="shared" si="72"/>
        <v>-5.0044165855215941E-2</v>
      </c>
      <c r="H478" s="70"/>
      <c r="I478" s="70"/>
      <c r="J478" s="67">
        <f t="shared" si="71"/>
        <v>27670.29999999702</v>
      </c>
      <c r="K478" s="70">
        <f t="shared" si="73"/>
        <v>6.4668578398041632E-4</v>
      </c>
      <c r="L478" s="70">
        <f t="shared" si="67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8"/>
        <v>42147032.549999997</v>
      </c>
      <c r="E479" s="67">
        <f t="shared" si="70"/>
        <v>42787858.780000001</v>
      </c>
      <c r="F479" s="67">
        <f t="shared" si="65"/>
        <v>-668496.53000000119</v>
      </c>
      <c r="G479" s="70">
        <f t="shared" si="72"/>
        <v>-1.56134128052214E-2</v>
      </c>
      <c r="H479" s="70"/>
      <c r="I479" s="70"/>
      <c r="J479" s="67">
        <f t="shared" si="71"/>
        <v>-640826.23000000417</v>
      </c>
      <c r="K479" s="70">
        <f t="shared" si="73"/>
        <v>-1.4976823993341548E-2</v>
      </c>
      <c r="L479" s="70">
        <f t="shared" si="67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8"/>
        <v>40264918.200000003</v>
      </c>
      <c r="E480" s="67">
        <f t="shared" si="70"/>
        <v>42787858.780000001</v>
      </c>
      <c r="F480" s="67">
        <f t="shared" si="65"/>
        <v>-1882114.349999994</v>
      </c>
      <c r="G480" s="70">
        <f t="shared" si="72"/>
        <v>-4.4655916113837867E-2</v>
      </c>
      <c r="H480" s="70"/>
      <c r="I480" s="70"/>
      <c r="J480" s="67">
        <f t="shared" si="71"/>
        <v>-2522940.5799999982</v>
      </c>
      <c r="K480" s="70">
        <f t="shared" si="73"/>
        <v>-5.8963936311281051E-2</v>
      </c>
      <c r="L480" s="70">
        <f t="shared" si="67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8"/>
        <v>40558341.840000004</v>
      </c>
      <c r="E481" s="67">
        <f t="shared" si="70"/>
        <v>42787858.780000001</v>
      </c>
      <c r="F481" s="67">
        <f t="shared" si="65"/>
        <v>293423.6400000006</v>
      </c>
      <c r="G481" s="70">
        <f t="shared" si="72"/>
        <v>7.2873273588321998E-3</v>
      </c>
      <c r="H481" s="70"/>
      <c r="I481" s="70"/>
      <c r="J481" s="67">
        <f t="shared" si="71"/>
        <v>-2229516.9399999976</v>
      </c>
      <c r="K481" s="70">
        <f t="shared" si="73"/>
        <v>-5.2106298458714395E-2</v>
      </c>
      <c r="L481" s="70">
        <f t="shared" si="67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8"/>
        <v>40068256.469999999</v>
      </c>
      <c r="E482" s="67">
        <f t="shared" si="70"/>
        <v>42787858.780000001</v>
      </c>
      <c r="F482" s="67">
        <f t="shared" si="65"/>
        <v>-490085.37000000477</v>
      </c>
      <c r="G482" s="70">
        <f t="shared" si="72"/>
        <v>-1.2083466625271797E-2</v>
      </c>
      <c r="H482" s="70"/>
      <c r="I482" s="70"/>
      <c r="J482" s="67">
        <f t="shared" si="71"/>
        <v>-2719602.3100000024</v>
      </c>
      <c r="K482" s="70">
        <f t="shared" si="73"/>
        <v>-6.3560140365593876E-2</v>
      </c>
      <c r="L482" s="70">
        <f t="shared" si="67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8"/>
        <v>40032009.359999999</v>
      </c>
      <c r="E483" s="67">
        <f t="shared" si="70"/>
        <v>42787858.780000001</v>
      </c>
      <c r="F483" s="67">
        <f t="shared" si="65"/>
        <v>-36247.109999999404</v>
      </c>
      <c r="G483" s="70">
        <f t="shared" si="72"/>
        <v>-9.0463407179043154E-4</v>
      </c>
      <c r="H483" s="70"/>
      <c r="I483" s="70"/>
      <c r="J483" s="67">
        <f t="shared" si="71"/>
        <v>-2755849.4200000018</v>
      </c>
      <c r="K483" s="70">
        <f t="shared" si="73"/>
        <v>-6.4407275768801786E-2</v>
      </c>
      <c r="L483" s="70">
        <f t="shared" si="67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8"/>
        <v>41138320.950000003</v>
      </c>
      <c r="E484" s="67">
        <f t="shared" si="70"/>
        <v>42787858.780000001</v>
      </c>
      <c r="F484" s="67">
        <f t="shared" si="65"/>
        <v>1106311.5900000036</v>
      </c>
      <c r="G484" s="70">
        <f t="shared" si="72"/>
        <v>2.7635674743457433E-2</v>
      </c>
      <c r="H484" s="70"/>
      <c r="I484" s="70"/>
      <c r="J484" s="67">
        <f t="shared" si="71"/>
        <v>-1649537.8299999982</v>
      </c>
      <c r="K484" s="70">
        <f t="shared" si="73"/>
        <v>-3.8551539549603109E-2</v>
      </c>
      <c r="L484" s="70">
        <f t="shared" si="67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8"/>
        <v>41166403.880000003</v>
      </c>
      <c r="E485" s="67">
        <f t="shared" si="70"/>
        <v>42787858.780000001</v>
      </c>
      <c r="F485" s="67">
        <f t="shared" si="65"/>
        <v>28082.929999999702</v>
      </c>
      <c r="G485" s="70">
        <f t="shared" si="72"/>
        <v>6.8264648025212363E-4</v>
      </c>
      <c r="H485" s="70"/>
      <c r="I485" s="70"/>
      <c r="J485" s="67">
        <f t="shared" si="71"/>
        <v>-1621454.8999999985</v>
      </c>
      <c r="K485" s="70">
        <f t="shared" si="73"/>
        <v>-3.7895210142132929E-2</v>
      </c>
      <c r="L485" s="70">
        <f t="shared" si="67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8"/>
        <v>41798442.810000002</v>
      </c>
      <c r="E486" s="67">
        <f t="shared" si="70"/>
        <v>42787858.780000001</v>
      </c>
      <c r="F486" s="67">
        <f t="shared" si="65"/>
        <v>632038.9299999997</v>
      </c>
      <c r="G486" s="70">
        <f t="shared" si="72"/>
        <v>1.5353270395985818E-2</v>
      </c>
      <c r="H486" s="70"/>
      <c r="I486" s="70"/>
      <c r="J486" s="67">
        <f t="shared" si="71"/>
        <v>-989415.96999999881</v>
      </c>
      <c r="K486" s="70">
        <f t="shared" si="73"/>
        <v>-2.3123755154171977E-2</v>
      </c>
      <c r="L486" s="70">
        <f t="shared" si="67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8"/>
        <v>39916343.280000001</v>
      </c>
      <c r="E487" s="67">
        <f t="shared" si="70"/>
        <v>42787858.780000001</v>
      </c>
      <c r="F487" s="67">
        <f t="shared" si="65"/>
        <v>-1882099.5300000012</v>
      </c>
      <c r="G487" s="70">
        <f t="shared" si="72"/>
        <v>-4.5027981988595069E-2</v>
      </c>
      <c r="H487" s="70"/>
      <c r="I487" s="70"/>
      <c r="J487" s="67">
        <f t="shared" si="71"/>
        <v>-2871515.5</v>
      </c>
      <c r="K487" s="70">
        <f t="shared" si="73"/>
        <v>-6.7110521112176302E-2</v>
      </c>
      <c r="L487" s="70">
        <f t="shared" si="67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8"/>
        <v>39860228.509999998</v>
      </c>
      <c r="E488" s="67">
        <f t="shared" si="70"/>
        <v>42787858.780000001</v>
      </c>
      <c r="F488" s="67">
        <f t="shared" si="65"/>
        <v>-56114.770000003278</v>
      </c>
      <c r="G488" s="70">
        <f t="shared" si="72"/>
        <v>-1.4058093850525498E-3</v>
      </c>
      <c r="H488" s="70"/>
      <c r="I488" s="70"/>
      <c r="J488" s="67">
        <f t="shared" si="71"/>
        <v>-2927630.2700000033</v>
      </c>
      <c r="K488" s="70">
        <f t="shared" si="73"/>
        <v>-6.8421985896813586E-2</v>
      </c>
      <c r="L488" s="70">
        <f t="shared" si="67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8"/>
        <v>39773219.439999998</v>
      </c>
      <c r="E489" s="67">
        <f t="shared" si="70"/>
        <v>42787858.780000001</v>
      </c>
      <c r="F489" s="67">
        <f t="shared" si="65"/>
        <v>-87009.070000000298</v>
      </c>
      <c r="G489" s="70">
        <f t="shared" si="72"/>
        <v>-2.1828542698437304E-3</v>
      </c>
      <c r="H489" s="70"/>
      <c r="I489" s="70"/>
      <c r="J489" s="67">
        <f t="shared" si="71"/>
        <v>-3014639.3400000036</v>
      </c>
      <c r="K489" s="70">
        <f t="shared" si="73"/>
        <v>-7.0455484942591351E-2</v>
      </c>
      <c r="L489" s="70">
        <f t="shared" si="67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8"/>
        <v>40383287.130000003</v>
      </c>
      <c r="E490" s="67">
        <f t="shared" si="70"/>
        <v>42787858.780000001</v>
      </c>
      <c r="F490" s="67">
        <f t="shared" si="65"/>
        <v>610067.69000000507</v>
      </c>
      <c r="G490" s="70">
        <f t="shared" si="72"/>
        <v>1.5338654969088544E-2</v>
      </c>
      <c r="H490" s="70"/>
      <c r="I490" s="70"/>
      <c r="J490" s="67">
        <f t="shared" si="71"/>
        <v>-2404571.6499999985</v>
      </c>
      <c r="K490" s="70">
        <f t="shared" si="73"/>
        <v>-5.6197522347717022E-2</v>
      </c>
      <c r="L490" s="70">
        <f t="shared" si="67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8"/>
        <v>39855823.920000002</v>
      </c>
      <c r="E491" s="67">
        <f t="shared" si="70"/>
        <v>42787858.780000001</v>
      </c>
      <c r="F491" s="67">
        <f t="shared" si="65"/>
        <v>-527463.21000000089</v>
      </c>
      <c r="G491" s="70">
        <f t="shared" si="72"/>
        <v>-1.3061423363135741E-2</v>
      </c>
      <c r="H491" s="70"/>
      <c r="I491" s="70"/>
      <c r="J491" s="67">
        <f t="shared" si="71"/>
        <v>-2932034.8599999994</v>
      </c>
      <c r="K491" s="70">
        <f t="shared" si="73"/>
        <v>-6.8524926079509996E-2</v>
      </c>
      <c r="L491" s="70">
        <f t="shared" si="67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8"/>
        <v>40393549.670000002</v>
      </c>
      <c r="E492" s="67">
        <f t="shared" si="70"/>
        <v>42787858.780000001</v>
      </c>
      <c r="F492" s="67">
        <f t="shared" ref="F492:F555" si="74">B492-C492-D491</f>
        <v>537725.75</v>
      </c>
      <c r="G492" s="70">
        <f t="shared" si="72"/>
        <v>1.3491773525478782E-2</v>
      </c>
      <c r="H492" s="70"/>
      <c r="I492" s="70"/>
      <c r="J492" s="67">
        <f t="shared" si="71"/>
        <v>-2394309.1099999994</v>
      </c>
      <c r="K492" s="70">
        <f t="shared" si="73"/>
        <v>-5.5957675337546253E-2</v>
      </c>
      <c r="L492" s="70">
        <f t="shared" si="67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8"/>
        <v>41222501.359999999</v>
      </c>
      <c r="E493" s="67">
        <f t="shared" si="70"/>
        <v>42787858.780000001</v>
      </c>
      <c r="F493" s="67">
        <f t="shared" si="74"/>
        <v>828951.68999999762</v>
      </c>
      <c r="G493" s="70">
        <f t="shared" si="72"/>
        <v>2.0521882745443736E-2</v>
      </c>
      <c r="H493" s="70"/>
      <c r="I493" s="70"/>
      <c r="J493" s="67">
        <f t="shared" si="71"/>
        <v>-1565357.4200000018</v>
      </c>
      <c r="K493" s="70">
        <f t="shared" si="73"/>
        <v>-3.6584149444087388E-2</v>
      </c>
      <c r="L493" s="70">
        <f t="shared" si="67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8"/>
        <v>42341618.009999998</v>
      </c>
      <c r="E494" s="67">
        <f t="shared" si="70"/>
        <v>42787858.780000001</v>
      </c>
      <c r="F494" s="67">
        <f t="shared" si="74"/>
        <v>1119116.6499999985</v>
      </c>
      <c r="G494" s="70">
        <f t="shared" si="72"/>
        <v>2.7148198509999357E-2</v>
      </c>
      <c r="H494" s="70"/>
      <c r="I494" s="70"/>
      <c r="J494" s="67">
        <f t="shared" si="71"/>
        <v>-446240.77000000328</v>
      </c>
      <c r="K494" s="70">
        <f t="shared" si="73"/>
        <v>-1.0429144685515701E-2</v>
      </c>
      <c r="L494" s="70">
        <f t="shared" si="67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8"/>
        <v>42330685.829999998</v>
      </c>
      <c r="E495" s="67">
        <f t="shared" si="70"/>
        <v>42787858.780000001</v>
      </c>
      <c r="F495" s="67">
        <f t="shared" si="74"/>
        <v>-10932.179999999702</v>
      </c>
      <c r="G495" s="70">
        <f t="shared" si="72"/>
        <v>-2.5818994440452895E-4</v>
      </c>
      <c r="H495" s="70"/>
      <c r="I495" s="70"/>
      <c r="J495" s="67">
        <f t="shared" si="71"/>
        <v>-457172.95000000298</v>
      </c>
      <c r="K495" s="70">
        <f t="shared" si="73"/>
        <v>-1.0684641929633698E-2</v>
      </c>
      <c r="L495" s="70">
        <f t="shared" si="67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8"/>
        <v>41835160.439999998</v>
      </c>
      <c r="E496" s="80">
        <f t="shared" si="70"/>
        <v>42787858.780000001</v>
      </c>
      <c r="F496" s="80">
        <f t="shared" si="74"/>
        <v>-495525.3900000006</v>
      </c>
      <c r="G496" s="81">
        <f t="shared" si="72"/>
        <v>-1.1706056263534926E-2</v>
      </c>
      <c r="H496" s="81"/>
      <c r="I496" s="81"/>
      <c r="J496" s="80">
        <f t="shared" si="71"/>
        <v>-952698.34000000358</v>
      </c>
      <c r="K496" s="81">
        <f t="shared" si="73"/>
        <v>-2.2265623173584603E-2</v>
      </c>
      <c r="L496" s="81">
        <f t="shared" si="67"/>
        <v>0.98829394373646506</v>
      </c>
      <c r="M496" s="81">
        <f>PRODUCT($L$2:L496)-1</f>
        <v>-2.1616013124315714E-2</v>
      </c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8"/>
        <v>41671970.409999996</v>
      </c>
      <c r="E497" s="67">
        <f t="shared" si="70"/>
        <v>41835160.439999998</v>
      </c>
      <c r="F497" s="67">
        <f t="shared" si="74"/>
        <v>-163190.03000000119</v>
      </c>
      <c r="G497" s="70">
        <f t="shared" si="72"/>
        <v>-3.9007865222376375E-3</v>
      </c>
      <c r="H497" s="70"/>
      <c r="I497" s="70"/>
      <c r="J497" s="67">
        <f t="shared" si="71"/>
        <v>-163190.03000000119</v>
      </c>
      <c r="K497" s="70">
        <f>G497</f>
        <v>-3.9007865222376375E-3</v>
      </c>
      <c r="L497" s="70">
        <f t="shared" si="67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8"/>
        <v>42621634.729999997</v>
      </c>
      <c r="E498" s="67">
        <f t="shared" si="70"/>
        <v>41835160.439999998</v>
      </c>
      <c r="F498" s="67">
        <f t="shared" si="74"/>
        <v>949664.3200000003</v>
      </c>
      <c r="G498" s="70">
        <f t="shared" si="72"/>
        <v>2.2789042866379793E-2</v>
      </c>
      <c r="H498" s="70"/>
      <c r="I498" s="70"/>
      <c r="J498" s="67">
        <f t="shared" si="71"/>
        <v>786474.28999999911</v>
      </c>
      <c r="K498" s="70">
        <f t="shared" ref="K498:K518" si="75">(1+K497)*(1+G498)-1</f>
        <v>1.8799361152874061E-2</v>
      </c>
      <c r="L498" s="70">
        <f t="shared" si="67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8"/>
        <v>41811303.670000002</v>
      </c>
      <c r="E499" s="67">
        <f t="shared" si="70"/>
        <v>41835160.439999998</v>
      </c>
      <c r="F499" s="67">
        <f t="shared" si="74"/>
        <v>-810331.05999999493</v>
      </c>
      <c r="G499" s="70">
        <f t="shared" si="72"/>
        <v>-1.9012200379766968E-2</v>
      </c>
      <c r="H499" s="70"/>
      <c r="I499" s="70"/>
      <c r="J499" s="67">
        <f t="shared" si="71"/>
        <v>-23856.769999995828</v>
      </c>
      <c r="K499" s="70">
        <f t="shared" si="75"/>
        <v>-5.7025644814290288E-4</v>
      </c>
      <c r="L499" s="70">
        <f t="shared" si="67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8"/>
        <v>42007534.210000001</v>
      </c>
      <c r="E500" s="67">
        <f t="shared" si="70"/>
        <v>41835160.439999998</v>
      </c>
      <c r="F500" s="67">
        <f t="shared" si="74"/>
        <v>196230.53999999911</v>
      </c>
      <c r="G500" s="70">
        <f t="shared" si="72"/>
        <v>4.6932413671855041E-3</v>
      </c>
      <c r="H500" s="70"/>
      <c r="I500" s="70"/>
      <c r="J500" s="67">
        <f t="shared" si="71"/>
        <v>172373.77000000328</v>
      </c>
      <c r="K500" s="70">
        <f t="shared" si="75"/>
        <v>4.1203085678902518E-3</v>
      </c>
      <c r="L500" s="70">
        <f t="shared" si="67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8"/>
        <v>42604690.950000003</v>
      </c>
      <c r="E501" s="67">
        <f t="shared" si="70"/>
        <v>41835160.439999998</v>
      </c>
      <c r="F501" s="67">
        <f t="shared" si="74"/>
        <v>597156.74000000209</v>
      </c>
      <c r="G501" s="70">
        <f t="shared" si="72"/>
        <v>1.4215467563860185E-2</v>
      </c>
      <c r="H501" s="70"/>
      <c r="I501" s="70"/>
      <c r="J501" s="67">
        <f t="shared" si="71"/>
        <v>769530.51000000536</v>
      </c>
      <c r="K501" s="70">
        <f t="shared" si="75"/>
        <v>1.8394348244550329E-2</v>
      </c>
      <c r="L501" s="70">
        <f t="shared" si="67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8"/>
        <v>42230726.25</v>
      </c>
      <c r="E502" s="67">
        <f t="shared" si="70"/>
        <v>41835160.439999998</v>
      </c>
      <c r="F502" s="67">
        <f t="shared" si="74"/>
        <v>-373964.70000000298</v>
      </c>
      <c r="G502" s="70">
        <f t="shared" si="72"/>
        <v>-8.777547534352035E-3</v>
      </c>
      <c r="H502" s="70"/>
      <c r="I502" s="70"/>
      <c r="J502" s="67">
        <f t="shared" si="71"/>
        <v>395565.81000000238</v>
      </c>
      <c r="K502" s="70">
        <f t="shared" si="75"/>
        <v>9.4553434441184692E-3</v>
      </c>
      <c r="L502" s="70">
        <f t="shared" si="67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8"/>
        <v>40906282.530000001</v>
      </c>
      <c r="E503" s="67">
        <f t="shared" si="70"/>
        <v>41835160.439999998</v>
      </c>
      <c r="F503" s="67">
        <f t="shared" si="74"/>
        <v>-1324443.7199999988</v>
      </c>
      <c r="G503" s="70">
        <f t="shared" si="72"/>
        <v>-3.1362087219610597E-2</v>
      </c>
      <c r="H503" s="70"/>
      <c r="I503" s="70"/>
      <c r="J503" s="67">
        <f t="shared" si="71"/>
        <v>-928877.90999999642</v>
      </c>
      <c r="K503" s="70">
        <f t="shared" si="75"/>
        <v>-2.2203283081277947E-2</v>
      </c>
      <c r="L503" s="70">
        <f t="shared" si="67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8"/>
        <v>39319806.829999998</v>
      </c>
      <c r="E504" s="67">
        <f t="shared" si="70"/>
        <v>41835160.439999998</v>
      </c>
      <c r="F504" s="67">
        <f t="shared" si="74"/>
        <v>-1586475.700000003</v>
      </c>
      <c r="G504" s="70">
        <f t="shared" si="72"/>
        <v>-3.8783179547946148E-2</v>
      </c>
      <c r="H504" s="70"/>
      <c r="I504" s="70"/>
      <c r="J504" s="67">
        <f t="shared" si="71"/>
        <v>-2515353.6099999994</v>
      </c>
      <c r="K504" s="70">
        <f t="shared" si="75"/>
        <v>-6.0125348714929028E-2</v>
      </c>
      <c r="L504" s="70">
        <f t="shared" si="67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8"/>
        <v>37084607.270000003</v>
      </c>
      <c r="E505" s="67">
        <f t="shared" si="70"/>
        <v>41835160.439999998</v>
      </c>
      <c r="F505" s="67">
        <f t="shared" si="74"/>
        <v>-2235199.5599999949</v>
      </c>
      <c r="G505" s="70">
        <f t="shared" si="72"/>
        <v>-5.6846656690454425E-2</v>
      </c>
      <c r="H505" s="70"/>
      <c r="I505" s="70"/>
      <c r="J505" s="67">
        <f t="shared" si="71"/>
        <v>-4750553.1699999943</v>
      </c>
      <c r="K505" s="70">
        <f t="shared" si="75"/>
        <v>-0.11355408034859205</v>
      </c>
      <c r="L505" s="70">
        <f t="shared" si="67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8"/>
        <v>36807603.140000001</v>
      </c>
      <c r="E506" s="67">
        <f t="shared" si="70"/>
        <v>41835160.439999998</v>
      </c>
      <c r="F506" s="67">
        <f t="shared" si="74"/>
        <v>-277004.13000000268</v>
      </c>
      <c r="G506" s="70">
        <f t="shared" si="72"/>
        <v>-7.469517689191984E-3</v>
      </c>
      <c r="H506" s="70"/>
      <c r="I506" s="70"/>
      <c r="J506" s="67">
        <f t="shared" si="71"/>
        <v>-5027557.299999997</v>
      </c>
      <c r="K506" s="70">
        <f t="shared" si="75"/>
        <v>-0.12017540382594027</v>
      </c>
      <c r="L506" s="70">
        <f t="shared" si="67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8"/>
        <v>37259684.049999997</v>
      </c>
      <c r="E507" s="67">
        <f t="shared" si="70"/>
        <v>41835160.439999998</v>
      </c>
      <c r="F507" s="67">
        <f t="shared" si="74"/>
        <v>452080.90999999642</v>
      </c>
      <c r="G507" s="70">
        <f t="shared" si="72"/>
        <v>1.2282269733252629E-2</v>
      </c>
      <c r="H507" s="70"/>
      <c r="I507" s="70"/>
      <c r="J507" s="67">
        <f t="shared" si="71"/>
        <v>-4575476.3900000006</v>
      </c>
      <c r="K507" s="70">
        <f t="shared" si="75"/>
        <v>-0.10936916081778048</v>
      </c>
      <c r="L507" s="70">
        <f t="shared" si="67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8"/>
        <v>36035071.659999996</v>
      </c>
      <c r="E508" s="67">
        <f t="shared" si="70"/>
        <v>41835160.439999998</v>
      </c>
      <c r="F508" s="67">
        <f t="shared" si="74"/>
        <v>-1224612.3900000006</v>
      </c>
      <c r="G508" s="70">
        <f t="shared" si="72"/>
        <v>-3.286695583238583E-2</v>
      </c>
      <c r="H508" s="70"/>
      <c r="I508" s="70"/>
      <c r="J508" s="67">
        <f t="shared" si="71"/>
        <v>-5800088.7800000012</v>
      </c>
      <c r="K508" s="70">
        <f t="shared" si="75"/>
        <v>-0.13864148527214326</v>
      </c>
      <c r="L508" s="70">
        <f t="shared" si="67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8"/>
        <v>35693410.789999999</v>
      </c>
      <c r="E509" s="67">
        <f t="shared" si="70"/>
        <v>41835160.439999998</v>
      </c>
      <c r="F509" s="67">
        <f t="shared" si="74"/>
        <v>-341660.86999999732</v>
      </c>
      <c r="G509" s="70">
        <f t="shared" si="72"/>
        <v>-9.4813428768410375E-3</v>
      </c>
      <c r="H509" s="70"/>
      <c r="I509" s="70"/>
      <c r="J509" s="67">
        <f t="shared" si="71"/>
        <v>-6141749.6499999985</v>
      </c>
      <c r="K509" s="70">
        <f t="shared" si="75"/>
        <v>-0.14680832069016458</v>
      </c>
      <c r="L509" s="70">
        <f t="shared" si="67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8"/>
        <v>35714983.859999999</v>
      </c>
      <c r="E510" s="67">
        <f t="shared" si="70"/>
        <v>41835160.439999998</v>
      </c>
      <c r="F510" s="67">
        <f t="shared" si="74"/>
        <v>21573.070000000298</v>
      </c>
      <c r="G510" s="70">
        <f t="shared" si="72"/>
        <v>6.0439923006865709E-4</v>
      </c>
      <c r="H510" s="70"/>
      <c r="I510" s="70"/>
      <c r="J510" s="67">
        <f t="shared" si="71"/>
        <v>-6120176.5799999982</v>
      </c>
      <c r="K510" s="70">
        <f t="shared" si="75"/>
        <v>-0.14629265229608879</v>
      </c>
      <c r="L510" s="70">
        <f t="shared" si="67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8"/>
        <v>36592804.049999997</v>
      </c>
      <c r="E511" s="67">
        <f t="shared" si="70"/>
        <v>41835160.439999998</v>
      </c>
      <c r="F511" s="67">
        <f t="shared" si="74"/>
        <v>877820.18999999762</v>
      </c>
      <c r="G511" s="70">
        <f t="shared" si="72"/>
        <v>2.4578484857811653E-2</v>
      </c>
      <c r="H511" s="70"/>
      <c r="I511" s="70"/>
      <c r="J511" s="67">
        <f t="shared" si="71"/>
        <v>-5242356.3900000006</v>
      </c>
      <c r="K511" s="70">
        <f t="shared" si="75"/>
        <v>-0.12530981917754569</v>
      </c>
      <c r="L511" s="70">
        <f t="shared" si="67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8"/>
        <v>36448126.719999999</v>
      </c>
      <c r="E512" s="67">
        <f t="shared" si="70"/>
        <v>41835160.439999998</v>
      </c>
      <c r="F512" s="67">
        <f t="shared" si="74"/>
        <v>-144677.32999999821</v>
      </c>
      <c r="G512" s="70">
        <f t="shared" si="72"/>
        <v>-3.9537098551483711E-3</v>
      </c>
      <c r="H512" s="70"/>
      <c r="I512" s="70"/>
      <c r="J512" s="67">
        <f t="shared" si="71"/>
        <v>-5387033.7199999988</v>
      </c>
      <c r="K512" s="70">
        <f t="shared" si="75"/>
        <v>-0.12876809036566494</v>
      </c>
      <c r="L512" s="70">
        <f t="shared" si="67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8"/>
        <v>36647696.340000004</v>
      </c>
      <c r="E513" s="67">
        <f t="shared" si="70"/>
        <v>41835160.439999998</v>
      </c>
      <c r="F513" s="67">
        <f t="shared" si="74"/>
        <v>199569.62000000477</v>
      </c>
      <c r="G513" s="70">
        <f t="shared" si="72"/>
        <v>5.4754424427112171E-3</v>
      </c>
      <c r="H513" s="70"/>
      <c r="I513" s="70"/>
      <c r="J513" s="67">
        <f t="shared" si="71"/>
        <v>-5187464.099999994</v>
      </c>
      <c r="K513" s="70">
        <f t="shared" si="75"/>
        <v>-0.12399771019020878</v>
      </c>
      <c r="L513" s="70">
        <f t="shared" si="67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8"/>
        <v>37795147.189999998</v>
      </c>
      <c r="E514" s="67">
        <f t="shared" si="70"/>
        <v>41835160.439999998</v>
      </c>
      <c r="F514" s="67">
        <f t="shared" si="74"/>
        <v>1147450.849999994</v>
      </c>
      <c r="G514" s="70">
        <f t="shared" si="72"/>
        <v>3.1310313187341642E-2</v>
      </c>
      <c r="H514" s="70"/>
      <c r="I514" s="70"/>
      <c r="J514" s="67">
        <f t="shared" si="71"/>
        <v>-4040013.25</v>
      </c>
      <c r="K514" s="70">
        <f t="shared" si="75"/>
        <v>-9.6569804143435856E-2</v>
      </c>
      <c r="L514" s="70">
        <f t="shared" ref="L514:L577" si="76">1+G514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7">B515</f>
        <v>37620821.590000004</v>
      </c>
      <c r="E515" s="67">
        <f t="shared" si="70"/>
        <v>41835160.439999998</v>
      </c>
      <c r="F515" s="67">
        <f t="shared" si="74"/>
        <v>-174325.59999999404</v>
      </c>
      <c r="G515" s="70">
        <f t="shared" si="72"/>
        <v>-4.6123805028101027E-3</v>
      </c>
      <c r="H515" s="70"/>
      <c r="I515" s="70"/>
      <c r="J515" s="67">
        <f t="shared" si="71"/>
        <v>-4214338.849999994</v>
      </c>
      <c r="K515" s="70">
        <f t="shared" si="75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7"/>
        <v>36614838.630000003</v>
      </c>
      <c r="E516" s="67">
        <f t="shared" si="70"/>
        <v>41835160.439999998</v>
      </c>
      <c r="F516" s="67">
        <f t="shared" si="74"/>
        <v>-1005982.9600000009</v>
      </c>
      <c r="G516" s="70">
        <f t="shared" si="72"/>
        <v>-2.6740058230610288E-2</v>
      </c>
      <c r="H516" s="70"/>
      <c r="I516" s="70"/>
      <c r="J516" s="67">
        <f t="shared" si="71"/>
        <v>-5220321.8099999949</v>
      </c>
      <c r="K516" s="70">
        <f t="shared" si="75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7"/>
        <v>36561090.090000004</v>
      </c>
      <c r="E517" s="67">
        <f t="shared" si="70"/>
        <v>41835160.439999998</v>
      </c>
      <c r="F517" s="67">
        <f t="shared" si="74"/>
        <v>-53748.539999999106</v>
      </c>
      <c r="G517" s="70">
        <f t="shared" si="72"/>
        <v>-1.4679441999769125E-3</v>
      </c>
      <c r="H517" s="70"/>
      <c r="I517" s="70"/>
      <c r="J517" s="67">
        <f t="shared" si="71"/>
        <v>-5274070.349999994</v>
      </c>
      <c r="K517" s="70">
        <f t="shared" si="75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7"/>
        <v>36005260.619999997</v>
      </c>
      <c r="E518" s="80">
        <f t="shared" si="70"/>
        <v>41835160.439999998</v>
      </c>
      <c r="F518" s="80">
        <f t="shared" si="74"/>
        <v>-555829.47000000626</v>
      </c>
      <c r="G518" s="81">
        <f t="shared" si="72"/>
        <v>-1.5202759781827014E-2</v>
      </c>
      <c r="H518" s="81"/>
      <c r="I518" s="81"/>
      <c r="J518" s="80">
        <f t="shared" si="71"/>
        <v>-5829899.8200000003</v>
      </c>
      <c r="K518" s="81">
        <f t="shared" si="75"/>
        <v>-0.13935406865144606</v>
      </c>
      <c r="L518" s="81">
        <f t="shared" si="76"/>
        <v>0.98479724021817294</v>
      </c>
      <c r="M518" s="81">
        <f>PRODUCT($L$2:L518)-1</f>
        <v>-0.15795780239886525</v>
      </c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7"/>
        <v>36443685.659999996</v>
      </c>
      <c r="E519" s="67">
        <f t="shared" si="70"/>
        <v>36005260.619999997</v>
      </c>
      <c r="F519" s="67">
        <f t="shared" si="74"/>
        <v>438425.03999999911</v>
      </c>
      <c r="G519" s="70">
        <f t="shared" si="72"/>
        <v>1.2176693973337475E-2</v>
      </c>
      <c r="H519" s="70"/>
      <c r="I519" s="70"/>
      <c r="J519" s="67">
        <f t="shared" si="71"/>
        <v>438425.03999999911</v>
      </c>
      <c r="K519" s="70">
        <f>G519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7"/>
        <v>36463298.670000002</v>
      </c>
      <c r="E520" s="67">
        <f t="shared" si="70"/>
        <v>36005260.619999997</v>
      </c>
      <c r="F520" s="67">
        <f t="shared" si="74"/>
        <v>19613.010000005364</v>
      </c>
      <c r="G520" s="70">
        <f t="shared" si="72"/>
        <v>5.3817306468352869E-4</v>
      </c>
      <c r="H520" s="70"/>
      <c r="I520" s="70"/>
      <c r="J520" s="67">
        <f t="shared" si="71"/>
        <v>458038.05000000447</v>
      </c>
      <c r="K520" s="70">
        <f t="shared" ref="K520:K539" si="78">(1+K519)*(1+G520)-1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7"/>
        <v>36435168.93</v>
      </c>
      <c r="E521" s="67">
        <f t="shared" si="70"/>
        <v>36005260.619999997</v>
      </c>
      <c r="F521" s="67">
        <f t="shared" si="74"/>
        <v>-28129.740000002086</v>
      </c>
      <c r="G521" s="70">
        <f t="shared" si="72"/>
        <v>-7.7145351698928132E-4</v>
      </c>
      <c r="H521" s="70"/>
      <c r="I521" s="70"/>
      <c r="J521" s="67">
        <f t="shared" si="71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7"/>
        <v>36496897.829999998</v>
      </c>
      <c r="E522" s="67">
        <f t="shared" si="70"/>
        <v>36005260.619999997</v>
      </c>
      <c r="F522" s="67">
        <f t="shared" si="74"/>
        <v>61728.89999999851</v>
      </c>
      <c r="G522" s="70">
        <f t="shared" si="72"/>
        <v>1.6942119883838977E-3</v>
      </c>
      <c r="H522" s="70"/>
      <c r="I522" s="70"/>
      <c r="J522" s="67">
        <f t="shared" si="71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7"/>
        <v>37380864.350000001</v>
      </c>
      <c r="E523" s="67">
        <f t="shared" si="70"/>
        <v>36005260.619999997</v>
      </c>
      <c r="F523" s="67">
        <f t="shared" si="74"/>
        <v>883966.52000000328</v>
      </c>
      <c r="G523" s="70">
        <f t="shared" si="72"/>
        <v>2.4220319330082726E-2</v>
      </c>
      <c r="H523" s="70"/>
      <c r="I523" s="70"/>
      <c r="J523" s="67">
        <f t="shared" si="71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7"/>
        <v>37435186.850000001</v>
      </c>
      <c r="E524" s="67">
        <f t="shared" si="70"/>
        <v>36005260.619999997</v>
      </c>
      <c r="F524" s="67">
        <f t="shared" si="74"/>
        <v>54322.5</v>
      </c>
      <c r="G524" s="70">
        <f t="shared" si="72"/>
        <v>1.4532167980754569E-3</v>
      </c>
      <c r="H524" s="70"/>
      <c r="I524" s="70"/>
      <c r="J524" s="67">
        <f t="shared" si="71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7"/>
        <v>36730459.659999996</v>
      </c>
      <c r="E525" s="67">
        <f t="shared" si="70"/>
        <v>36005260.619999997</v>
      </c>
      <c r="F525" s="67">
        <f t="shared" si="74"/>
        <v>-704727.19000000507</v>
      </c>
      <c r="G525" s="70">
        <f t="shared" si="72"/>
        <v>-1.8825261720311275E-2</v>
      </c>
      <c r="H525" s="70"/>
      <c r="I525" s="70"/>
      <c r="J525" s="67">
        <f t="shared" si="71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7"/>
        <v>36066102.479999997</v>
      </c>
      <c r="E526" s="67">
        <f t="shared" si="70"/>
        <v>36005260.619999997</v>
      </c>
      <c r="F526" s="67">
        <f t="shared" si="74"/>
        <v>-664357.1799999997</v>
      </c>
      <c r="G526" s="70">
        <f t="shared" si="72"/>
        <v>-1.8087363625440667E-2</v>
      </c>
      <c r="H526" s="70"/>
      <c r="I526" s="70"/>
      <c r="J526" s="67">
        <f t="shared" si="71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7"/>
        <v>36033816.990000002</v>
      </c>
      <c r="E527" s="67">
        <f t="shared" si="70"/>
        <v>36005260.619999997</v>
      </c>
      <c r="F527" s="67">
        <f t="shared" si="74"/>
        <v>-32285.489999994636</v>
      </c>
      <c r="G527" s="70">
        <f t="shared" si="72"/>
        <v>-8.9517546338416102E-4</v>
      </c>
      <c r="H527" s="70"/>
      <c r="I527" s="70"/>
      <c r="J527" s="67">
        <f t="shared" si="71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7"/>
        <v>35907116.609999999</v>
      </c>
      <c r="E528" s="67">
        <f t="shared" si="70"/>
        <v>36005260.619999997</v>
      </c>
      <c r="F528" s="67">
        <f t="shared" si="74"/>
        <v>-126700.38000000268</v>
      </c>
      <c r="G528" s="70">
        <f t="shared" si="72"/>
        <v>-3.5161520644666701E-3</v>
      </c>
      <c r="H528" s="70"/>
      <c r="I528" s="70"/>
      <c r="J528" s="67">
        <f t="shared" si="71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7"/>
        <v>36781447.740000002</v>
      </c>
      <c r="E529" s="67">
        <f t="shared" si="70"/>
        <v>36005260.619999997</v>
      </c>
      <c r="F529" s="67">
        <f t="shared" si="74"/>
        <v>874331.13000000268</v>
      </c>
      <c r="G529" s="70">
        <f t="shared" si="72"/>
        <v>2.4349800611851543E-2</v>
      </c>
      <c r="H529" s="70"/>
      <c r="I529" s="70"/>
      <c r="J529" s="67">
        <f t="shared" si="71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7"/>
        <v>36424412.950000003</v>
      </c>
      <c r="E530" s="67">
        <f t="shared" si="70"/>
        <v>36005260.619999997</v>
      </c>
      <c r="F530" s="67">
        <f t="shared" si="74"/>
        <v>-357034.78999999911</v>
      </c>
      <c r="G530" s="70">
        <f t="shared" si="72"/>
        <v>-9.7069259623438382E-3</v>
      </c>
      <c r="H530" s="70"/>
      <c r="I530" s="70"/>
      <c r="J530" s="67">
        <f t="shared" si="71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7"/>
        <v>37813286.619999997</v>
      </c>
      <c r="E531" s="67">
        <f t="shared" si="70"/>
        <v>36005260.619999997</v>
      </c>
      <c r="F531" s="67">
        <f t="shared" si="74"/>
        <v>1388873.6699999943</v>
      </c>
      <c r="G531" s="70">
        <f t="shared" si="72"/>
        <v>3.8130296620195611E-2</v>
      </c>
      <c r="H531" s="70"/>
      <c r="I531" s="70"/>
      <c r="J531" s="67">
        <f t="shared" si="71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7"/>
        <v>38417652.579999998</v>
      </c>
      <c r="E532" s="67">
        <f t="shared" si="70"/>
        <v>36005260.619999997</v>
      </c>
      <c r="F532" s="67">
        <f t="shared" si="74"/>
        <v>604365.96000000089</v>
      </c>
      <c r="G532" s="70">
        <f t="shared" si="72"/>
        <v>1.5982899504967733E-2</v>
      </c>
      <c r="H532" s="70"/>
      <c r="I532" s="70"/>
      <c r="J532" s="67">
        <f t="shared" si="71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7"/>
        <v>39221722.07</v>
      </c>
      <c r="E533" s="67">
        <f t="shared" si="70"/>
        <v>36005260.619999997</v>
      </c>
      <c r="F533" s="67">
        <f t="shared" si="74"/>
        <v>804069.49000000209</v>
      </c>
      <c r="G533" s="70">
        <f t="shared" si="72"/>
        <v>2.0929688203245294E-2</v>
      </c>
      <c r="H533" s="70"/>
      <c r="I533" s="70"/>
      <c r="J533" s="67">
        <f t="shared" si="71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7"/>
        <v>38762840.170000002</v>
      </c>
      <c r="E534" s="67">
        <f t="shared" ref="E534:E597" si="79">IF(MONTH(A534)=MONTH(A533),E533,D533)</f>
        <v>36005260.619999997</v>
      </c>
      <c r="F534" s="67">
        <f t="shared" si="74"/>
        <v>-458881.89999999851</v>
      </c>
      <c r="G534" s="70">
        <f t="shared" si="72"/>
        <v>-1.169968771847958E-2</v>
      </c>
      <c r="H534" s="70"/>
      <c r="I534" s="70"/>
      <c r="J534" s="67">
        <f t="shared" ref="J534:J597" si="80">IF(MONTH(A534)=MONTH(A533),J533+F534,F534)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7"/>
        <v>38581012.07</v>
      </c>
      <c r="E535" s="67">
        <f t="shared" si="79"/>
        <v>36005260.619999997</v>
      </c>
      <c r="F535" s="67">
        <f t="shared" si="74"/>
        <v>-181828.10000000149</v>
      </c>
      <c r="G535" s="70">
        <f t="shared" si="72"/>
        <v>-4.6907837300509524E-3</v>
      </c>
      <c r="H535" s="70"/>
      <c r="I535" s="70"/>
      <c r="J535" s="67">
        <f t="shared" si="80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7"/>
        <v>37880887.649999999</v>
      </c>
      <c r="E536" s="67">
        <f t="shared" si="79"/>
        <v>36005260.619999997</v>
      </c>
      <c r="F536" s="67">
        <f t="shared" si="74"/>
        <v>-700124.42000000179</v>
      </c>
      <c r="G536" s="70">
        <f t="shared" si="72"/>
        <v>-1.814686506226745E-2</v>
      </c>
      <c r="H536" s="70"/>
      <c r="I536" s="70"/>
      <c r="J536" s="67">
        <f t="shared" si="80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7"/>
        <v>40036450.899999999</v>
      </c>
      <c r="E537" s="67">
        <f t="shared" si="79"/>
        <v>36005260.619999997</v>
      </c>
      <c r="F537" s="67">
        <f t="shared" si="74"/>
        <v>2155563.25</v>
      </c>
      <c r="G537" s="70">
        <f t="shared" si="72"/>
        <v>5.690371540171657E-2</v>
      </c>
      <c r="H537" s="70"/>
      <c r="I537" s="70"/>
      <c r="J537" s="67">
        <f t="shared" si="80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7"/>
        <v>40757571.270000003</v>
      </c>
      <c r="E538" s="67">
        <f t="shared" si="79"/>
        <v>36005260.619999997</v>
      </c>
      <c r="F538" s="67">
        <f t="shared" si="74"/>
        <v>721120.37000000477</v>
      </c>
      <c r="G538" s="70">
        <f t="shared" ref="G538:G554" si="81">F538/B537</f>
        <v>1.8011595778086434E-2</v>
      </c>
      <c r="H538" s="70"/>
      <c r="I538" s="70"/>
      <c r="J538" s="67">
        <f t="shared" si="80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7"/>
        <v>41733497.789999999</v>
      </c>
      <c r="E539" s="80">
        <f t="shared" si="79"/>
        <v>36005260.619999997</v>
      </c>
      <c r="F539" s="80">
        <f t="shared" si="74"/>
        <v>975926.51999999583</v>
      </c>
      <c r="G539" s="81">
        <f t="shared" si="81"/>
        <v>2.394466818287418E-2</v>
      </c>
      <c r="H539" s="81"/>
      <c r="I539" s="81"/>
      <c r="J539" s="80">
        <f t="shared" si="80"/>
        <v>5728237.1700000018</v>
      </c>
      <c r="K539" s="81">
        <f t="shared" si="78"/>
        <v>0.1590944509597052</v>
      </c>
      <c r="L539" s="81">
        <f t="shared" si="76"/>
        <v>1.0239446681828741</v>
      </c>
      <c r="M539" s="81">
        <f>PRODUCT($L$2:L539)-1</f>
        <v>-2.3993561286609122E-2</v>
      </c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7"/>
        <v>41733365.299999997</v>
      </c>
      <c r="E540" s="67">
        <f t="shared" si="79"/>
        <v>41733497.789999999</v>
      </c>
      <c r="F540" s="67">
        <f t="shared" si="74"/>
        <v>-132.49000000208616</v>
      </c>
      <c r="G540" s="70">
        <f t="shared" si="81"/>
        <v>-3.1746680009609176E-6</v>
      </c>
      <c r="H540" s="70"/>
      <c r="I540" s="70"/>
      <c r="J540" s="67">
        <f t="shared" si="80"/>
        <v>-132.49000000208616</v>
      </c>
      <c r="K540" s="70">
        <f>G540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7"/>
        <v>41158973.140000001</v>
      </c>
      <c r="E541" s="67">
        <f t="shared" si="79"/>
        <v>41733497.789999999</v>
      </c>
      <c r="F541" s="67">
        <f t="shared" si="74"/>
        <v>-574392.15999999642</v>
      </c>
      <c r="G541" s="70">
        <f t="shared" si="81"/>
        <v>-1.3763379872938176E-2</v>
      </c>
      <c r="H541" s="70"/>
      <c r="I541" s="70"/>
      <c r="J541" s="67">
        <f t="shared" si="80"/>
        <v>-574524.64999999851</v>
      </c>
      <c r="K541" s="70">
        <f t="shared" ref="K541:K562" si="82">(1+K540)*(1+G541)-1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7"/>
        <v>42110320.399999999</v>
      </c>
      <c r="E542" s="67">
        <f t="shared" si="79"/>
        <v>41733497.789999999</v>
      </c>
      <c r="F542" s="67">
        <f t="shared" si="74"/>
        <v>951347.25999999791</v>
      </c>
      <c r="G542" s="70">
        <f t="shared" si="81"/>
        <v>2.3113969747594096E-2</v>
      </c>
      <c r="H542" s="70"/>
      <c r="I542" s="70"/>
      <c r="J542" s="67">
        <f t="shared" si="80"/>
        <v>376822.6099999994</v>
      </c>
      <c r="K542" s="70">
        <f t="shared" si="82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7"/>
        <v>42598961.960000001</v>
      </c>
      <c r="E543" s="67">
        <f t="shared" si="79"/>
        <v>41733497.789999999</v>
      </c>
      <c r="F543" s="67">
        <f t="shared" si="74"/>
        <v>488641.56000000238</v>
      </c>
      <c r="G543" s="70">
        <f t="shared" si="81"/>
        <v>1.1603843318181033E-2</v>
      </c>
      <c r="H543" s="70"/>
      <c r="I543" s="70"/>
      <c r="J543" s="67">
        <f t="shared" si="80"/>
        <v>865464.17000000179</v>
      </c>
      <c r="K543" s="70">
        <f t="shared" si="82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7"/>
        <v>41352022.280000001</v>
      </c>
      <c r="E544" s="67">
        <f t="shared" si="79"/>
        <v>41733497.789999999</v>
      </c>
      <c r="F544" s="67">
        <f t="shared" si="74"/>
        <v>-1246939.6799999997</v>
      </c>
      <c r="G544" s="70">
        <f t="shared" si="81"/>
        <v>-2.9271597772050493E-2</v>
      </c>
      <c r="H544" s="70"/>
      <c r="I544" s="70"/>
      <c r="J544" s="67">
        <f t="shared" si="80"/>
        <v>-381475.50999999791</v>
      </c>
      <c r="K544" s="70">
        <f t="shared" si="82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7"/>
        <v>41548410.549999997</v>
      </c>
      <c r="E545" s="67">
        <f t="shared" si="79"/>
        <v>41733497.789999999</v>
      </c>
      <c r="F545" s="67">
        <f t="shared" si="74"/>
        <v>196388.26999999583</v>
      </c>
      <c r="G545" s="70">
        <f t="shared" si="81"/>
        <v>4.7491817611778437E-3</v>
      </c>
      <c r="H545" s="70"/>
      <c r="I545" s="70"/>
      <c r="J545" s="67">
        <f t="shared" si="80"/>
        <v>-185087.24000000209</v>
      </c>
      <c r="K545" s="70">
        <f t="shared" si="82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7"/>
        <v>41064825.710000001</v>
      </c>
      <c r="E546" s="67">
        <f t="shared" si="79"/>
        <v>41733497.789999999</v>
      </c>
      <c r="F546" s="67">
        <f t="shared" si="74"/>
        <v>-483584.83999999613</v>
      </c>
      <c r="G546" s="70">
        <f t="shared" si="81"/>
        <v>-1.163906954799252E-2</v>
      </c>
      <c r="H546" s="70"/>
      <c r="I546" s="70"/>
      <c r="J546" s="67">
        <f t="shared" si="80"/>
        <v>-668672.07999999821</v>
      </c>
      <c r="K546" s="70">
        <f t="shared" si="82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7"/>
        <v>42539017.219999999</v>
      </c>
      <c r="E547" s="67">
        <f t="shared" si="79"/>
        <v>41733497.789999999</v>
      </c>
      <c r="F547" s="67">
        <f t="shared" si="74"/>
        <v>1474191.5099999979</v>
      </c>
      <c r="G547" s="70">
        <f t="shared" si="81"/>
        <v>3.5899129839506577E-2</v>
      </c>
      <c r="H547" s="70"/>
      <c r="I547" s="70"/>
      <c r="J547" s="67">
        <f t="shared" si="80"/>
        <v>805519.4299999997</v>
      </c>
      <c r="K547" s="70">
        <f t="shared" si="82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7"/>
        <v>41747161.409999996</v>
      </c>
      <c r="E548" s="67">
        <f t="shared" si="79"/>
        <v>41733497.789999999</v>
      </c>
      <c r="F548" s="67">
        <f t="shared" si="74"/>
        <v>-791855.81000000238</v>
      </c>
      <c r="G548" s="70">
        <f t="shared" si="81"/>
        <v>-1.8614812041960062E-2</v>
      </c>
      <c r="H548" s="70"/>
      <c r="I548" s="70"/>
      <c r="J548" s="67">
        <f t="shared" si="80"/>
        <v>13663.619999997318</v>
      </c>
      <c r="K548" s="70">
        <f t="shared" si="82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7"/>
        <v>42900383.07</v>
      </c>
      <c r="E549" s="67">
        <f t="shared" si="79"/>
        <v>41733497.789999999</v>
      </c>
      <c r="F549" s="67">
        <f t="shared" si="74"/>
        <v>1153221.6600000039</v>
      </c>
      <c r="G549" s="70">
        <f t="shared" si="81"/>
        <v>2.7623953846207239E-2</v>
      </c>
      <c r="H549" s="70"/>
      <c r="I549" s="70"/>
      <c r="J549" s="67">
        <f t="shared" si="80"/>
        <v>1166885.2800000012</v>
      </c>
      <c r="K549" s="70">
        <f t="shared" si="82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7"/>
        <v>43467020.130000003</v>
      </c>
      <c r="E550" s="67">
        <f t="shared" si="79"/>
        <v>41733497.789999999</v>
      </c>
      <c r="F550" s="67">
        <f t="shared" si="74"/>
        <v>566637.06000000238</v>
      </c>
      <c r="G550" s="70">
        <f t="shared" si="81"/>
        <v>1.3208205135964124E-2</v>
      </c>
      <c r="H550" s="70"/>
      <c r="I550" s="70"/>
      <c r="J550" s="67">
        <f t="shared" si="80"/>
        <v>1733522.3400000036</v>
      </c>
      <c r="K550" s="70">
        <f t="shared" si="82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7"/>
        <v>43170426.240000002</v>
      </c>
      <c r="E551" s="67">
        <f t="shared" si="79"/>
        <v>41733497.789999999</v>
      </c>
      <c r="F551" s="67">
        <f t="shared" si="74"/>
        <v>-296593.8900000006</v>
      </c>
      <c r="G551" s="70">
        <f t="shared" si="81"/>
        <v>-6.823423577529711E-3</v>
      </c>
      <c r="H551" s="70"/>
      <c r="I551" s="70"/>
      <c r="J551" s="67">
        <f t="shared" si="80"/>
        <v>1436928.450000003</v>
      </c>
      <c r="K551" s="70">
        <f t="shared" si="82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7"/>
        <v>42234573.359999999</v>
      </c>
      <c r="E552" s="67">
        <f t="shared" si="79"/>
        <v>41733497.789999999</v>
      </c>
      <c r="F552" s="67">
        <f t="shared" si="74"/>
        <v>-935852.88000000268</v>
      </c>
      <c r="G552" s="70">
        <f t="shared" si="81"/>
        <v>-2.1678101457633481E-2</v>
      </c>
      <c r="H552" s="70"/>
      <c r="I552" s="70"/>
      <c r="J552" s="67">
        <f t="shared" si="80"/>
        <v>501075.5700000003</v>
      </c>
      <c r="K552" s="70">
        <f t="shared" si="82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7"/>
        <v>42468569.310000002</v>
      </c>
      <c r="E553" s="67">
        <f t="shared" si="79"/>
        <v>41733497.789999999</v>
      </c>
      <c r="F553" s="67">
        <f t="shared" si="74"/>
        <v>233995.95000000298</v>
      </c>
      <c r="G553" s="70">
        <f t="shared" si="81"/>
        <v>5.5403886291324192E-3</v>
      </c>
      <c r="H553" s="70"/>
      <c r="I553" s="70"/>
      <c r="J553" s="67">
        <f t="shared" si="80"/>
        <v>735071.52000000328</v>
      </c>
      <c r="K553" s="70">
        <f t="shared" si="82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79"/>
        <v>41733497.789999999</v>
      </c>
      <c r="F554" s="67">
        <f t="shared" si="74"/>
        <v>-1381054.7899999991</v>
      </c>
      <c r="G554" s="70">
        <f t="shared" si="81"/>
        <v>-3.2519456445988741E-2</v>
      </c>
      <c r="H554" s="70"/>
      <c r="I554" s="70"/>
      <c r="J554" s="67">
        <f t="shared" si="80"/>
        <v>-645983.26999999583</v>
      </c>
      <c r="K554" s="70">
        <f t="shared" si="82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3">B555</f>
        <v>38353524.869999997</v>
      </c>
      <c r="E555" s="67">
        <f t="shared" si="79"/>
        <v>41733497.789999999</v>
      </c>
      <c r="F555" s="67">
        <f t="shared" si="74"/>
        <v>-1563989.650000006</v>
      </c>
      <c r="G555" s="70">
        <f>F555/D554</f>
        <v>-3.9180536884790139E-2</v>
      </c>
      <c r="H555" s="70"/>
      <c r="I555" s="70"/>
      <c r="J555" s="67">
        <f t="shared" si="80"/>
        <v>-2209972.9200000018</v>
      </c>
      <c r="K555" s="70">
        <f t="shared" si="82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3"/>
        <v>38390343.219999999</v>
      </c>
      <c r="E556" s="67">
        <f t="shared" si="79"/>
        <v>41733497.789999999</v>
      </c>
      <c r="F556" s="67">
        <f t="shared" ref="F556:F619" si="84">B556-C556-D555</f>
        <v>36818.35000000149</v>
      </c>
      <c r="G556" s="70">
        <f t="shared" ref="G556:G619" si="85">F556/B555</f>
        <v>9.5997304354157771E-4</v>
      </c>
      <c r="H556" s="70"/>
      <c r="I556" s="70"/>
      <c r="J556" s="67">
        <f t="shared" si="80"/>
        <v>-2173154.5700000003</v>
      </c>
      <c r="K556" s="70">
        <f t="shared" si="82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3"/>
        <v>38546869.140000001</v>
      </c>
      <c r="E557" s="67">
        <f t="shared" si="79"/>
        <v>41733497.789999999</v>
      </c>
      <c r="F557" s="67">
        <f t="shared" si="84"/>
        <v>156525.92000000179</v>
      </c>
      <c r="G557" s="70">
        <f t="shared" si="85"/>
        <v>4.0772211673913185E-3</v>
      </c>
      <c r="H557" s="70"/>
      <c r="I557" s="70"/>
      <c r="J557" s="67">
        <f t="shared" si="80"/>
        <v>-2016628.6499999985</v>
      </c>
      <c r="K557" s="70">
        <f t="shared" si="82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3"/>
        <v>39627132.600000001</v>
      </c>
      <c r="E558" s="67">
        <f t="shared" si="79"/>
        <v>41733497.789999999</v>
      </c>
      <c r="F558" s="67">
        <f t="shared" si="84"/>
        <v>1080263.4600000009</v>
      </c>
      <c r="G558" s="70">
        <f t="shared" si="85"/>
        <v>2.8024674483329539E-2</v>
      </c>
      <c r="H558" s="70"/>
      <c r="I558" s="70"/>
      <c r="J558" s="67">
        <f t="shared" si="80"/>
        <v>-936365.18999999762</v>
      </c>
      <c r="K558" s="70">
        <f t="shared" si="82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3"/>
        <v>37248144.729999997</v>
      </c>
      <c r="E559" s="67">
        <f t="shared" si="79"/>
        <v>41733497.789999999</v>
      </c>
      <c r="F559" s="67">
        <f t="shared" si="84"/>
        <v>-2378987.8700000048</v>
      </c>
      <c r="G559" s="70">
        <f t="shared" si="85"/>
        <v>-6.0034317749248521E-2</v>
      </c>
      <c r="H559" s="70"/>
      <c r="I559" s="70"/>
      <c r="J559" s="67">
        <f t="shared" si="80"/>
        <v>-3315353.0600000024</v>
      </c>
      <c r="K559" s="70">
        <f t="shared" si="82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3"/>
        <v>36734669.07</v>
      </c>
      <c r="E560" s="67">
        <f t="shared" si="79"/>
        <v>41733497.789999999</v>
      </c>
      <c r="F560" s="67">
        <f t="shared" si="84"/>
        <v>-513475.65999999642</v>
      </c>
      <c r="G560" s="70">
        <f t="shared" si="85"/>
        <v>-1.3785268064275921E-2</v>
      </c>
      <c r="H560" s="70"/>
      <c r="I560" s="70"/>
      <c r="J560" s="67">
        <f t="shared" si="80"/>
        <v>-3828828.7199999988</v>
      </c>
      <c r="K560" s="70">
        <f t="shared" si="82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3"/>
        <v>35965681.210000001</v>
      </c>
      <c r="E561" s="67">
        <f t="shared" si="79"/>
        <v>41733497.789999999</v>
      </c>
      <c r="F561" s="67">
        <f t="shared" si="84"/>
        <v>-768987.8599999994</v>
      </c>
      <c r="G561" s="70">
        <f t="shared" si="85"/>
        <v>-2.0933572547901531E-2</v>
      </c>
      <c r="H561" s="70"/>
      <c r="I561" s="70"/>
      <c r="J561" s="67">
        <f t="shared" si="80"/>
        <v>-4597816.5799999982</v>
      </c>
      <c r="K561" s="70">
        <f t="shared" si="82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3"/>
        <v>35506385.530000001</v>
      </c>
      <c r="E562" s="80">
        <f t="shared" si="79"/>
        <v>41733497.789999999</v>
      </c>
      <c r="F562" s="80">
        <f t="shared" si="84"/>
        <v>-459295.6799999997</v>
      </c>
      <c r="G562" s="81">
        <f t="shared" si="85"/>
        <v>-1.2770387340037253E-2</v>
      </c>
      <c r="H562" s="81"/>
      <c r="I562" s="81"/>
      <c r="J562" s="80">
        <f t="shared" si="80"/>
        <v>-5057112.2599999979</v>
      </c>
      <c r="K562" s="81">
        <f t="shared" si="82"/>
        <v>-0.12427437611778924</v>
      </c>
      <c r="L562" s="81">
        <f t="shared" si="76"/>
        <v>0.98722961265996279</v>
      </c>
      <c r="M562" s="81">
        <f>PRODUCT($L$2:L562)-1</f>
        <v>-0.14528615254466126</v>
      </c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3"/>
        <v>35308460.490000002</v>
      </c>
      <c r="E563" s="67">
        <f t="shared" si="79"/>
        <v>35506385.530000001</v>
      </c>
      <c r="F563" s="67">
        <f t="shared" si="84"/>
        <v>-197925.03999999911</v>
      </c>
      <c r="G563" s="70">
        <f t="shared" si="85"/>
        <v>-5.574350558233211E-3</v>
      </c>
      <c r="H563" s="70"/>
      <c r="I563" s="70"/>
      <c r="J563" s="67">
        <f t="shared" si="80"/>
        <v>-197925.03999999911</v>
      </c>
      <c r="K563" s="70">
        <f>G563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3"/>
        <v>34753018.82</v>
      </c>
      <c r="E564" s="67">
        <f t="shared" si="79"/>
        <v>35506385.530000001</v>
      </c>
      <c r="F564" s="67">
        <f t="shared" si="84"/>
        <v>-555441.67000000179</v>
      </c>
      <c r="G564" s="70">
        <f t="shared" si="85"/>
        <v>-1.5731121161663589E-2</v>
      </c>
      <c r="H564" s="70"/>
      <c r="I564" s="70"/>
      <c r="J564" s="67">
        <f t="shared" si="80"/>
        <v>-753366.71000000089</v>
      </c>
      <c r="K564" s="70">
        <f t="shared" ref="K564:K584" si="86">(1+K563)*(1+G564)-1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3"/>
        <v>34763379.390000001</v>
      </c>
      <c r="E565" s="67">
        <f t="shared" si="79"/>
        <v>35506385.530000001</v>
      </c>
      <c r="F565" s="67">
        <f t="shared" si="84"/>
        <v>10360.570000000298</v>
      </c>
      <c r="G565" s="70">
        <f t="shared" si="85"/>
        <v>2.9812000084544879E-4</v>
      </c>
      <c r="H565" s="70"/>
      <c r="I565" s="70"/>
      <c r="J565" s="67">
        <f t="shared" si="80"/>
        <v>-743006.1400000006</v>
      </c>
      <c r="K565" s="70">
        <f t="shared" si="86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3"/>
        <v>34296326.43</v>
      </c>
      <c r="E566" s="67">
        <f t="shared" si="79"/>
        <v>35506385.530000001</v>
      </c>
      <c r="F566" s="67">
        <f t="shared" si="84"/>
        <v>-467052.96000000089</v>
      </c>
      <c r="G566" s="70">
        <f t="shared" si="85"/>
        <v>-1.3435200150142851E-2</v>
      </c>
      <c r="H566" s="70"/>
      <c r="I566" s="70"/>
      <c r="J566" s="67">
        <f t="shared" si="80"/>
        <v>-1210059.1000000015</v>
      </c>
      <c r="K566" s="70">
        <f t="shared" si="86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3"/>
        <v>35241331.740000002</v>
      </c>
      <c r="E567" s="67">
        <f t="shared" si="79"/>
        <v>35506385.530000001</v>
      </c>
      <c r="F567" s="67">
        <f t="shared" si="84"/>
        <v>945005.31000000238</v>
      </c>
      <c r="G567" s="70">
        <f t="shared" si="85"/>
        <v>2.7554126297718539E-2</v>
      </c>
      <c r="H567" s="70"/>
      <c r="I567" s="70"/>
      <c r="J567" s="67">
        <f t="shared" si="80"/>
        <v>-265053.78999999911</v>
      </c>
      <c r="K567" s="70">
        <f t="shared" si="86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3"/>
        <v>35406573.350000001</v>
      </c>
      <c r="E568" s="67">
        <f t="shared" si="79"/>
        <v>35506385.530000001</v>
      </c>
      <c r="F568" s="67">
        <f t="shared" si="84"/>
        <v>165241.6099999994</v>
      </c>
      <c r="G568" s="70">
        <f t="shared" si="85"/>
        <v>4.6888582763870146E-3</v>
      </c>
      <c r="H568" s="70"/>
      <c r="I568" s="70"/>
      <c r="J568" s="67">
        <f t="shared" si="80"/>
        <v>-99812.179999999702</v>
      </c>
      <c r="K568" s="70">
        <f t="shared" si="86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3"/>
        <v>36545044.159999996</v>
      </c>
      <c r="E569" s="67">
        <f t="shared" si="79"/>
        <v>35506385.530000001</v>
      </c>
      <c r="F569" s="67">
        <f t="shared" si="84"/>
        <v>1138470.8099999949</v>
      </c>
      <c r="G569" s="70">
        <f t="shared" si="85"/>
        <v>3.2154221724480854E-2</v>
      </c>
      <c r="H569" s="70"/>
      <c r="I569" s="70"/>
      <c r="J569" s="67">
        <f t="shared" si="80"/>
        <v>1038658.6299999952</v>
      </c>
      <c r="K569" s="70">
        <f t="shared" si="86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3"/>
        <v>37213062.560000002</v>
      </c>
      <c r="E570" s="67">
        <f t="shared" si="79"/>
        <v>35506385.530000001</v>
      </c>
      <c r="F570" s="67">
        <f t="shared" si="84"/>
        <v>668018.40000000596</v>
      </c>
      <c r="G570" s="70">
        <f t="shared" si="85"/>
        <v>1.8279315714473228E-2</v>
      </c>
      <c r="H570" s="70"/>
      <c r="I570" s="70"/>
      <c r="J570" s="67">
        <f t="shared" si="80"/>
        <v>1706677.0300000012</v>
      </c>
      <c r="K570" s="70">
        <f t="shared" si="86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3"/>
        <v>34372380.340000004</v>
      </c>
      <c r="E571" s="67">
        <f t="shared" si="79"/>
        <v>35506385.530000001</v>
      </c>
      <c r="F571" s="67">
        <f t="shared" si="84"/>
        <v>-2840682.2199999988</v>
      </c>
      <c r="G571" s="70">
        <f t="shared" si="85"/>
        <v>-7.6335620467137349E-2</v>
      </c>
      <c r="H571" s="70"/>
      <c r="I571" s="70"/>
      <c r="J571" s="67">
        <f t="shared" si="80"/>
        <v>-1134005.1899999976</v>
      </c>
      <c r="K571" s="70">
        <f t="shared" si="86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3"/>
        <v>34883902.810000002</v>
      </c>
      <c r="E572" s="67">
        <f t="shared" si="79"/>
        <v>35506385.530000001</v>
      </c>
      <c r="F572" s="67">
        <f t="shared" si="84"/>
        <v>511522.46999999881</v>
      </c>
      <c r="G572" s="70">
        <f t="shared" si="85"/>
        <v>1.4881787788340258E-2</v>
      </c>
      <c r="H572" s="70"/>
      <c r="I572" s="70"/>
      <c r="J572" s="67">
        <f t="shared" si="80"/>
        <v>-622482.71999999881</v>
      </c>
      <c r="K572" s="70">
        <f t="shared" si="86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3"/>
        <v>34100843.579999998</v>
      </c>
      <c r="E573" s="67">
        <f t="shared" si="79"/>
        <v>35506385.530000001</v>
      </c>
      <c r="F573" s="67">
        <f t="shared" si="84"/>
        <v>-783059.23000000417</v>
      </c>
      <c r="G573" s="70">
        <f t="shared" si="85"/>
        <v>-2.2447580887524098E-2</v>
      </c>
      <c r="H573" s="70"/>
      <c r="I573" s="70"/>
      <c r="J573" s="67">
        <f t="shared" si="80"/>
        <v>-1405541.950000003</v>
      </c>
      <c r="K573" s="70">
        <f t="shared" si="86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3"/>
        <v>33837711.649999999</v>
      </c>
      <c r="E574" s="67">
        <f t="shared" si="79"/>
        <v>35506385.530000001</v>
      </c>
      <c r="F574" s="67">
        <f t="shared" si="84"/>
        <v>-263131.9299999997</v>
      </c>
      <c r="G574" s="70">
        <f t="shared" si="85"/>
        <v>-7.7162879968847888E-3</v>
      </c>
      <c r="H574" s="70"/>
      <c r="I574" s="70"/>
      <c r="J574" s="67">
        <f t="shared" si="80"/>
        <v>-1668673.8800000027</v>
      </c>
      <c r="K574" s="70">
        <f t="shared" si="86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3"/>
        <v>34025953.32</v>
      </c>
      <c r="E575" s="67">
        <f t="shared" si="79"/>
        <v>35506385.530000001</v>
      </c>
      <c r="F575" s="67">
        <f t="shared" si="84"/>
        <v>188241.67000000179</v>
      </c>
      <c r="G575" s="70">
        <f t="shared" si="85"/>
        <v>5.5630732936989783E-3</v>
      </c>
      <c r="H575" s="70"/>
      <c r="I575" s="70"/>
      <c r="J575" s="67">
        <f t="shared" si="80"/>
        <v>-1480432.2100000009</v>
      </c>
      <c r="K575" s="70">
        <f t="shared" si="86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3"/>
        <v>33766995.030000001</v>
      </c>
      <c r="E576" s="67">
        <f t="shared" si="79"/>
        <v>35506385.530000001</v>
      </c>
      <c r="F576" s="67">
        <f t="shared" si="84"/>
        <v>-258958.28999999911</v>
      </c>
      <c r="G576" s="70">
        <f t="shared" si="85"/>
        <v>-7.6106108641425451E-3</v>
      </c>
      <c r="H576" s="70"/>
      <c r="I576" s="70"/>
      <c r="J576" s="67">
        <f t="shared" si="80"/>
        <v>-1739390.5</v>
      </c>
      <c r="K576" s="70">
        <f t="shared" si="86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3"/>
        <v>33262549.32</v>
      </c>
      <c r="E577" s="67">
        <f t="shared" si="79"/>
        <v>35506385.530000001</v>
      </c>
      <c r="F577" s="67">
        <f t="shared" si="84"/>
        <v>-504445.71000000089</v>
      </c>
      <c r="G577" s="70">
        <f t="shared" si="85"/>
        <v>-1.4939016917313204E-2</v>
      </c>
      <c r="H577" s="70"/>
      <c r="I577" s="70"/>
      <c r="J577" s="67">
        <f t="shared" si="80"/>
        <v>-2243836.2100000009</v>
      </c>
      <c r="K577" s="70">
        <f t="shared" si="86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3"/>
        <v>32899720.149999999</v>
      </c>
      <c r="E578" s="67">
        <f t="shared" si="79"/>
        <v>35506385.530000001</v>
      </c>
      <c r="F578" s="67">
        <f t="shared" si="84"/>
        <v>-362829.17000000179</v>
      </c>
      <c r="G578" s="70">
        <f t="shared" si="85"/>
        <v>-1.0908038542368759E-2</v>
      </c>
      <c r="H578" s="70"/>
      <c r="I578" s="70"/>
      <c r="J578" s="67">
        <f t="shared" si="80"/>
        <v>-2606665.3800000027</v>
      </c>
      <c r="K578" s="70">
        <f t="shared" si="86"/>
        <v>-7.3413988528840846E-2</v>
      </c>
      <c r="L578" s="70">
        <f t="shared" ref="L578:L641" si="87">1+G578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3"/>
        <v>32367803.120000001</v>
      </c>
      <c r="E579" s="67">
        <f t="shared" si="79"/>
        <v>35506385.530000001</v>
      </c>
      <c r="F579" s="67">
        <f t="shared" si="84"/>
        <v>-531917.02999999747</v>
      </c>
      <c r="G579" s="70">
        <f t="shared" si="85"/>
        <v>-1.6167828406285015E-2</v>
      </c>
      <c r="H579" s="70"/>
      <c r="I579" s="70"/>
      <c r="J579" s="67">
        <f t="shared" si="80"/>
        <v>-3138582.41</v>
      </c>
      <c r="K579" s="70">
        <f t="shared" si="86"/>
        <v>-8.8394872165970639E-2</v>
      </c>
      <c r="L579" s="70">
        <f t="shared" si="87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3"/>
        <v>32241071.18</v>
      </c>
      <c r="E580" s="67">
        <f t="shared" si="79"/>
        <v>35506385.530000001</v>
      </c>
      <c r="F580" s="67">
        <f t="shared" si="84"/>
        <v>-126731.94000000134</v>
      </c>
      <c r="G580" s="70">
        <f t="shared" si="85"/>
        <v>-3.9153704540946721E-3</v>
      </c>
      <c r="H580" s="70"/>
      <c r="I580" s="70"/>
      <c r="J580" s="67">
        <f t="shared" si="80"/>
        <v>-3265314.3500000015</v>
      </c>
      <c r="K580" s="70">
        <f t="shared" si="86"/>
        <v>-9.1964143949293198E-2</v>
      </c>
      <c r="L580" s="70">
        <f t="shared" si="87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3"/>
        <v>32241255.690000001</v>
      </c>
      <c r="E581" s="67">
        <f t="shared" si="79"/>
        <v>35506385.530000001</v>
      </c>
      <c r="F581" s="67">
        <f t="shared" si="84"/>
        <v>184.51000000163913</v>
      </c>
      <c r="G581" s="70">
        <f t="shared" si="85"/>
        <v>5.7228247464710675E-6</v>
      </c>
      <c r="H581" s="70"/>
      <c r="I581" s="70"/>
      <c r="J581" s="67">
        <f t="shared" si="80"/>
        <v>-3265129.84</v>
      </c>
      <c r="K581" s="70">
        <f t="shared" si="86"/>
        <v>-9.1958947419225501E-2</v>
      </c>
      <c r="L581" s="70">
        <f t="shared" si="87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3"/>
        <v>32832931.329999998</v>
      </c>
      <c r="E582" s="67">
        <f t="shared" si="79"/>
        <v>35506385.530000001</v>
      </c>
      <c r="F582" s="67">
        <f t="shared" si="84"/>
        <v>591675.63999999687</v>
      </c>
      <c r="G582" s="70">
        <f t="shared" si="85"/>
        <v>1.8351507326171291E-2</v>
      </c>
      <c r="H582" s="70"/>
      <c r="I582" s="70"/>
      <c r="J582" s="67">
        <f t="shared" si="80"/>
        <v>-2673454.200000003</v>
      </c>
      <c r="K582" s="70">
        <f t="shared" si="86"/>
        <v>-7.5295025390325065E-2</v>
      </c>
      <c r="L582" s="70">
        <f t="shared" si="87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3"/>
        <v>31899988.48</v>
      </c>
      <c r="E583" s="67">
        <f t="shared" si="79"/>
        <v>35506385.530000001</v>
      </c>
      <c r="F583" s="67">
        <f t="shared" si="84"/>
        <v>-932942.84999999776</v>
      </c>
      <c r="G583" s="70">
        <f t="shared" si="85"/>
        <v>-2.8414850950196833E-2</v>
      </c>
      <c r="H583" s="70"/>
      <c r="I583" s="70"/>
      <c r="J583" s="67">
        <f t="shared" si="80"/>
        <v>-3606397.0500000007</v>
      </c>
      <c r="K583" s="70">
        <f t="shared" si="86"/>
        <v>-0.1015703794167645</v>
      </c>
      <c r="L583" s="70">
        <f t="shared" si="87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3"/>
        <v>31436821.699999999</v>
      </c>
      <c r="E584" s="80">
        <f t="shared" si="79"/>
        <v>35506385.530000001</v>
      </c>
      <c r="F584" s="80">
        <f t="shared" si="84"/>
        <v>-463166.78000000119</v>
      </c>
      <c r="G584" s="81">
        <f t="shared" si="85"/>
        <v>-1.4519340039586158E-2</v>
      </c>
      <c r="H584" s="81"/>
      <c r="I584" s="81"/>
      <c r="J584" s="80">
        <f t="shared" si="80"/>
        <v>-4069563.8300000019</v>
      </c>
      <c r="K584" s="81">
        <f t="shared" si="86"/>
        <v>-0.1146149845796488</v>
      </c>
      <c r="L584" s="81">
        <f t="shared" si="87"/>
        <v>0.9854806599604139</v>
      </c>
      <c r="M584" s="81">
        <f>PRODUCT($L$2:L584)-1</f>
        <v>-0.24324916699076693</v>
      </c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3"/>
        <v>32100529.039999999</v>
      </c>
      <c r="E585" s="67">
        <f t="shared" si="79"/>
        <v>31436821.699999999</v>
      </c>
      <c r="F585" s="67">
        <f t="shared" si="84"/>
        <v>663707.33999999985</v>
      </c>
      <c r="G585" s="70">
        <f t="shared" si="85"/>
        <v>2.1112418625957974E-2</v>
      </c>
      <c r="H585" s="70"/>
      <c r="I585" s="70"/>
      <c r="J585" s="67">
        <f t="shared" si="80"/>
        <v>663707.33999999985</v>
      </c>
      <c r="K585" s="70">
        <f>G585</f>
        <v>2.1112418625957974E-2</v>
      </c>
      <c r="L585" s="70">
        <f t="shared" si="87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3"/>
        <v>32913974.739999998</v>
      </c>
      <c r="E586" s="67">
        <f t="shared" si="79"/>
        <v>31436821.699999999</v>
      </c>
      <c r="F586" s="67">
        <f t="shared" si="84"/>
        <v>813445.69999999925</v>
      </c>
      <c r="G586" s="70">
        <f t="shared" si="85"/>
        <v>2.5340569901087191E-2</v>
      </c>
      <c r="H586" s="70"/>
      <c r="I586" s="70"/>
      <c r="J586" s="67">
        <f t="shared" si="80"/>
        <v>1477153.0399999991</v>
      </c>
      <c r="K586" s="70">
        <f t="shared" ref="K586:K605" si="88">(1+K585)*(1+G586)-1</f>
        <v>4.6987989247017081E-2</v>
      </c>
      <c r="L586" s="70">
        <f t="shared" si="87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3"/>
        <v>32874929.140000001</v>
      </c>
      <c r="E587" s="67">
        <f t="shared" si="79"/>
        <v>31436821.699999999</v>
      </c>
      <c r="F587" s="67">
        <f t="shared" si="84"/>
        <v>-39045.599999997765</v>
      </c>
      <c r="G587" s="70">
        <f t="shared" si="85"/>
        <v>-1.1862924580951953E-3</v>
      </c>
      <c r="H587" s="70"/>
      <c r="I587" s="70"/>
      <c r="J587" s="67">
        <f t="shared" si="80"/>
        <v>1438107.4400000013</v>
      </c>
      <c r="K587" s="70">
        <f t="shared" si="88"/>
        <v>4.5745955291657037E-2</v>
      </c>
      <c r="L587" s="70">
        <f t="shared" si="87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3"/>
        <v>32700550.510000002</v>
      </c>
      <c r="E588" s="67">
        <f t="shared" si="79"/>
        <v>31436821.699999999</v>
      </c>
      <c r="F588" s="67">
        <f t="shared" si="84"/>
        <v>-174378.62999999896</v>
      </c>
      <c r="G588" s="70">
        <f t="shared" si="85"/>
        <v>-5.3043043608518928E-3</v>
      </c>
      <c r="H588" s="70"/>
      <c r="I588" s="70"/>
      <c r="J588" s="67">
        <f t="shared" si="80"/>
        <v>1263728.8100000024</v>
      </c>
      <c r="K588" s="70">
        <f t="shared" si="88"/>
        <v>4.0199000460660272E-2</v>
      </c>
      <c r="L588" s="70">
        <f t="shared" si="87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3"/>
        <v>31814835.41</v>
      </c>
      <c r="E589" s="67">
        <f t="shared" si="79"/>
        <v>31436821.699999999</v>
      </c>
      <c r="F589" s="67">
        <f t="shared" si="84"/>
        <v>-885715.10000000149</v>
      </c>
      <c r="G589" s="70">
        <f t="shared" si="85"/>
        <v>-2.7085632693833246E-2</v>
      </c>
      <c r="H589" s="70"/>
      <c r="I589" s="70"/>
      <c r="J589" s="67">
        <f t="shared" si="80"/>
        <v>378013.71000000089</v>
      </c>
      <c r="K589" s="70">
        <f t="shared" si="88"/>
        <v>1.2024552405690336E-2</v>
      </c>
      <c r="L589" s="70">
        <f t="shared" si="87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3"/>
        <v>31547707.670000002</v>
      </c>
      <c r="E590" s="67">
        <f t="shared" si="79"/>
        <v>31436821.699999999</v>
      </c>
      <c r="F590" s="67">
        <f t="shared" si="84"/>
        <v>-267127.73999999836</v>
      </c>
      <c r="G590" s="70">
        <f t="shared" si="85"/>
        <v>-8.3963263225317556E-3</v>
      </c>
      <c r="H590" s="70"/>
      <c r="I590" s="70"/>
      <c r="J590" s="67">
        <f t="shared" si="80"/>
        <v>110885.97000000253</v>
      </c>
      <c r="K590" s="70">
        <f t="shared" si="88"/>
        <v>3.5272640172780978E-3</v>
      </c>
      <c r="L590" s="70">
        <f t="shared" si="87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3"/>
        <v>31250778.620000001</v>
      </c>
      <c r="E591" s="67">
        <f t="shared" si="79"/>
        <v>31436821.699999999</v>
      </c>
      <c r="F591" s="67">
        <f t="shared" si="84"/>
        <v>-296929.05000000075</v>
      </c>
      <c r="G591" s="70">
        <f t="shared" si="85"/>
        <v>-9.4120642014938749E-3</v>
      </c>
      <c r="H591" s="70"/>
      <c r="I591" s="70"/>
      <c r="J591" s="67">
        <f t="shared" si="80"/>
        <v>-186043.07999999821</v>
      </c>
      <c r="K591" s="70">
        <f t="shared" si="88"/>
        <v>-5.9179990196019938E-3</v>
      </c>
      <c r="L591" s="70">
        <f t="shared" si="87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3"/>
        <v>31275194.649999999</v>
      </c>
      <c r="E592" s="67">
        <f t="shared" si="79"/>
        <v>31436821.699999999</v>
      </c>
      <c r="F592" s="67">
        <f t="shared" si="84"/>
        <v>24416.029999997467</v>
      </c>
      <c r="G592" s="70">
        <f t="shared" si="85"/>
        <v>7.8129349341624391E-4</v>
      </c>
      <c r="H592" s="70"/>
      <c r="I592" s="70"/>
      <c r="J592" s="67">
        <f t="shared" si="80"/>
        <v>-161627.05000000075</v>
      </c>
      <c r="K592" s="70">
        <f t="shared" si="88"/>
        <v>-5.1413292203138505E-3</v>
      </c>
      <c r="L592" s="70">
        <f t="shared" si="87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3"/>
        <v>31877771.649999999</v>
      </c>
      <c r="E593" s="67">
        <f t="shared" si="79"/>
        <v>31436821.699999999</v>
      </c>
      <c r="F593" s="67">
        <f t="shared" si="84"/>
        <v>602577</v>
      </c>
      <c r="G593" s="70">
        <f t="shared" si="85"/>
        <v>1.926693044578701E-2</v>
      </c>
      <c r="H593" s="70"/>
      <c r="I593" s="70"/>
      <c r="J593" s="67">
        <f t="shared" si="80"/>
        <v>440949.94999999925</v>
      </c>
      <c r="K593" s="70">
        <f t="shared" si="88"/>
        <v>1.4026543592986496E-2</v>
      </c>
      <c r="L593" s="70">
        <f t="shared" si="87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3"/>
        <v>31118426.989999998</v>
      </c>
      <c r="E594" s="67">
        <f t="shared" si="79"/>
        <v>31436821.699999999</v>
      </c>
      <c r="F594" s="67">
        <f t="shared" si="84"/>
        <v>-759344.66000000015</v>
      </c>
      <c r="G594" s="70">
        <f t="shared" si="85"/>
        <v>-2.3820506286862751E-2</v>
      </c>
      <c r="H594" s="70"/>
      <c r="I594" s="70"/>
      <c r="J594" s="67">
        <f t="shared" si="80"/>
        <v>-318394.71000000089</v>
      </c>
      <c r="K594" s="70">
        <f t="shared" si="88"/>
        <v>-1.012808206371596E-2</v>
      </c>
      <c r="L594" s="70">
        <f t="shared" si="87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3"/>
        <v>31756714.460000001</v>
      </c>
      <c r="E595" s="67">
        <f t="shared" si="79"/>
        <v>31436821.699999999</v>
      </c>
      <c r="F595" s="67">
        <f t="shared" si="84"/>
        <v>638287.47000000253</v>
      </c>
      <c r="G595" s="70">
        <f t="shared" si="85"/>
        <v>2.0511559604382258E-2</v>
      </c>
      <c r="H595" s="70"/>
      <c r="I595" s="70"/>
      <c r="J595" s="67">
        <f t="shared" si="80"/>
        <v>319892.76000000164</v>
      </c>
      <c r="K595" s="70">
        <f t="shared" si="88"/>
        <v>1.0175734781738388E-2</v>
      </c>
      <c r="L595" s="70">
        <f t="shared" si="87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3"/>
        <v>31968564.100000001</v>
      </c>
      <c r="E596" s="67">
        <f t="shared" si="79"/>
        <v>31436821.699999999</v>
      </c>
      <c r="F596" s="67">
        <f t="shared" si="84"/>
        <v>211849.6400000006</v>
      </c>
      <c r="G596" s="70">
        <f t="shared" si="85"/>
        <v>6.6710188255413305E-3</v>
      </c>
      <c r="H596" s="70"/>
      <c r="I596" s="70"/>
      <c r="J596" s="67">
        <f t="shared" si="80"/>
        <v>531742.40000000224</v>
      </c>
      <c r="K596" s="70">
        <f t="shared" si="88"/>
        <v>1.6914636125572535E-2</v>
      </c>
      <c r="L596" s="70">
        <f t="shared" si="87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3"/>
        <v>31995109.329999998</v>
      </c>
      <c r="E597" s="67">
        <f t="shared" si="79"/>
        <v>31436821.699999999</v>
      </c>
      <c r="F597" s="67">
        <f t="shared" si="84"/>
        <v>26545.229999996722</v>
      </c>
      <c r="G597" s="70">
        <f t="shared" si="85"/>
        <v>8.3035415406714245E-4</v>
      </c>
      <c r="H597" s="70"/>
      <c r="I597" s="70"/>
      <c r="J597" s="67">
        <f t="shared" si="80"/>
        <v>558287.62999999896</v>
      </c>
      <c r="K597" s="70">
        <f t="shared" si="88"/>
        <v>1.7759035418011049E-2</v>
      </c>
      <c r="L597" s="70">
        <f t="shared" si="87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3"/>
        <v>31855554.079999998</v>
      </c>
      <c r="E598" s="67">
        <f t="shared" ref="E598:E661" si="89">IF(MONTH(A598)=MONTH(A597),E597,D597)</f>
        <v>31436821.699999999</v>
      </c>
      <c r="F598" s="67">
        <f t="shared" si="84"/>
        <v>-139555.25</v>
      </c>
      <c r="G598" s="70">
        <f t="shared" si="85"/>
        <v>-4.3617681865255253E-3</v>
      </c>
      <c r="H598" s="70"/>
      <c r="I598" s="70"/>
      <c r="J598" s="67">
        <f t="shared" ref="J598:J661" si="90">IF(MONTH(A598)=MONTH(A597),J597+F598,F598)</f>
        <v>418732.37999999896</v>
      </c>
      <c r="K598" s="70">
        <f t="shared" si="88"/>
        <v>1.3319806435775794E-2</v>
      </c>
      <c r="L598" s="70">
        <f t="shared" si="87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3"/>
        <v>32547587.129999999</v>
      </c>
      <c r="E599" s="67">
        <f t="shared" si="89"/>
        <v>31436821.699999999</v>
      </c>
      <c r="F599" s="67">
        <f t="shared" si="84"/>
        <v>692033.05000000075</v>
      </c>
      <c r="G599" s="70">
        <f t="shared" si="85"/>
        <v>2.1724093960571938E-2</v>
      </c>
      <c r="H599" s="70"/>
      <c r="I599" s="70"/>
      <c r="J599" s="67">
        <f t="shared" si="90"/>
        <v>1110765.4299999997</v>
      </c>
      <c r="K599" s="70">
        <f t="shared" si="88"/>
        <v>3.5333261122895143E-2</v>
      </c>
      <c r="L599" s="70">
        <f t="shared" si="87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3"/>
        <v>32880346.879999999</v>
      </c>
      <c r="E600" s="67">
        <f t="shared" si="89"/>
        <v>31436821.699999999</v>
      </c>
      <c r="F600" s="67">
        <f t="shared" si="84"/>
        <v>332759.75</v>
      </c>
      <c r="G600" s="70">
        <f t="shared" si="85"/>
        <v>1.0223791664522076E-2</v>
      </c>
      <c r="H600" s="70"/>
      <c r="I600" s="70"/>
      <c r="J600" s="67">
        <f t="shared" si="90"/>
        <v>1443525.1799999997</v>
      </c>
      <c r="K600" s="70">
        <f t="shared" si="88"/>
        <v>4.5918292687965767E-2</v>
      </c>
      <c r="L600" s="70">
        <f t="shared" si="87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3"/>
        <v>33364250.210000001</v>
      </c>
      <c r="E601" s="67">
        <f t="shared" si="89"/>
        <v>31436821.699999999</v>
      </c>
      <c r="F601" s="67">
        <f t="shared" si="84"/>
        <v>483903.33000000194</v>
      </c>
      <c r="G601" s="70">
        <f t="shared" si="85"/>
        <v>1.4717099298436658E-2</v>
      </c>
      <c r="H601" s="70"/>
      <c r="I601" s="70"/>
      <c r="J601" s="67">
        <f t="shared" si="90"/>
        <v>1927428.5100000016</v>
      </c>
      <c r="K601" s="70">
        <f t="shared" si="88"/>
        <v>6.1311176059505978E-2</v>
      </c>
      <c r="L601" s="70">
        <f t="shared" si="87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3"/>
        <v>32785794.010000002</v>
      </c>
      <c r="E602" s="67">
        <f t="shared" si="89"/>
        <v>31436821.699999999</v>
      </c>
      <c r="F602" s="67">
        <f t="shared" si="84"/>
        <v>-578456.19999999925</v>
      </c>
      <c r="G602" s="70">
        <f t="shared" si="85"/>
        <v>-1.7337605261892659E-2</v>
      </c>
      <c r="H602" s="70"/>
      <c r="I602" s="70"/>
      <c r="J602" s="67">
        <f t="shared" si="90"/>
        <v>1348972.3100000024</v>
      </c>
      <c r="K602" s="70">
        <f t="shared" si="88"/>
        <v>4.2910581828951244E-2</v>
      </c>
      <c r="L602" s="70">
        <f t="shared" si="87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3"/>
        <v>32439784.52</v>
      </c>
      <c r="E603" s="67">
        <f t="shared" si="89"/>
        <v>31436821.699999999</v>
      </c>
      <c r="F603" s="67">
        <f t="shared" si="84"/>
        <v>-346009.49000000209</v>
      </c>
      <c r="G603" s="70">
        <f t="shared" si="85"/>
        <v>-1.0553640698604575E-2</v>
      </c>
      <c r="H603" s="70"/>
      <c r="I603" s="70"/>
      <c r="J603" s="67">
        <f t="shared" si="90"/>
        <v>1002962.8200000003</v>
      </c>
      <c r="K603" s="70">
        <f t="shared" si="88"/>
        <v>3.1904078267555924E-2</v>
      </c>
      <c r="L603" s="70">
        <f t="shared" si="87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3"/>
        <v>33348753.600000001</v>
      </c>
      <c r="E604" s="67">
        <f t="shared" si="89"/>
        <v>31436821.699999999</v>
      </c>
      <c r="F604" s="67">
        <f t="shared" si="84"/>
        <v>908969.08000000194</v>
      </c>
      <c r="G604" s="70">
        <f t="shared" si="85"/>
        <v>2.8020194753130931E-2</v>
      </c>
      <c r="H604" s="70"/>
      <c r="I604" s="70"/>
      <c r="J604" s="67">
        <f t="shared" si="90"/>
        <v>1911931.9000000022</v>
      </c>
      <c r="K604" s="70">
        <f t="shared" si="88"/>
        <v>6.0818231507162812E-2</v>
      </c>
      <c r="L604" s="70">
        <f t="shared" si="87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3"/>
        <v>32916994.829999998</v>
      </c>
      <c r="E605" s="80">
        <f t="shared" si="89"/>
        <v>31436821.699999999</v>
      </c>
      <c r="F605" s="80">
        <f t="shared" si="84"/>
        <v>-431758.77000000328</v>
      </c>
      <c r="G605" s="81">
        <f t="shared" si="85"/>
        <v>-1.2946773818857303E-2</v>
      </c>
      <c r="H605" s="81"/>
      <c r="I605" s="81"/>
      <c r="J605" s="80">
        <f t="shared" si="90"/>
        <v>1480173.129999999</v>
      </c>
      <c r="K605" s="81">
        <f t="shared" si="88"/>
        <v>4.7084057800919288E-2</v>
      </c>
      <c r="L605" s="81">
        <f t="shared" si="87"/>
        <v>0.98705322618114266</v>
      </c>
      <c r="M605" s="81">
        <f>PRODUCT($L$2:L605)-1</f>
        <v>-0.20761826702846642</v>
      </c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3"/>
        <v>32619285.949999999</v>
      </c>
      <c r="E606" s="67">
        <f t="shared" si="89"/>
        <v>32916994.829999998</v>
      </c>
      <c r="F606" s="67">
        <f t="shared" si="84"/>
        <v>-297708.87999999896</v>
      </c>
      <c r="G606" s="70">
        <f t="shared" si="85"/>
        <v>-9.0442302384381723E-3</v>
      </c>
      <c r="H606" s="70"/>
      <c r="I606" s="70"/>
      <c r="J606" s="67">
        <f t="shared" si="90"/>
        <v>-297708.87999999896</v>
      </c>
      <c r="K606" s="70">
        <f>G606</f>
        <v>-9.0442302384381723E-3</v>
      </c>
      <c r="L606" s="70">
        <f t="shared" si="87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3"/>
        <v>31735400.239999998</v>
      </c>
      <c r="E607" s="67">
        <f t="shared" si="89"/>
        <v>32916994.829999998</v>
      </c>
      <c r="F607" s="67">
        <f t="shared" si="84"/>
        <v>-883885.71000000089</v>
      </c>
      <c r="G607" s="70">
        <f t="shared" si="85"/>
        <v>-2.7097028161648062E-2</v>
      </c>
      <c r="H607" s="70"/>
      <c r="I607" s="70"/>
      <c r="J607" s="67">
        <f t="shared" si="90"/>
        <v>-1181594.5899999999</v>
      </c>
      <c r="K607" s="70">
        <f t="shared" ref="K607:K627" si="91">(1+K606)*(1+G607)-1</f>
        <v>-3.5896186638614824E-2</v>
      </c>
      <c r="L607" s="70">
        <f t="shared" si="87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3"/>
        <v>31346885.84</v>
      </c>
      <c r="E608" s="67">
        <f t="shared" si="89"/>
        <v>32916994.829999998</v>
      </c>
      <c r="F608" s="67">
        <f t="shared" si="84"/>
        <v>-388514.39999999851</v>
      </c>
      <c r="G608" s="70">
        <f t="shared" si="85"/>
        <v>-1.2242303454875177E-2</v>
      </c>
      <c r="H608" s="70"/>
      <c r="I608" s="70"/>
      <c r="J608" s="67">
        <f t="shared" si="90"/>
        <v>-1570108.9899999984</v>
      </c>
      <c r="K608" s="70">
        <f t="shared" si="91"/>
        <v>-4.7699038083787282E-2</v>
      </c>
      <c r="L608" s="70">
        <f t="shared" si="87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3"/>
        <v>31668901.239999998</v>
      </c>
      <c r="E609" s="67">
        <f t="shared" si="89"/>
        <v>32916994.829999998</v>
      </c>
      <c r="F609" s="67">
        <f t="shared" si="84"/>
        <v>322015.39999999851</v>
      </c>
      <c r="G609" s="70">
        <f t="shared" si="85"/>
        <v>1.0272644040100875E-2</v>
      </c>
      <c r="H609" s="70"/>
      <c r="I609" s="70"/>
      <c r="J609" s="67">
        <f t="shared" si="90"/>
        <v>-1248093.5899999999</v>
      </c>
      <c r="K609" s="70">
        <f t="shared" si="91"/>
        <v>-3.7916389282976359E-2</v>
      </c>
      <c r="L609" s="70">
        <f t="shared" si="87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3"/>
        <v>31875600.620000001</v>
      </c>
      <c r="E610" s="67">
        <f t="shared" si="89"/>
        <v>32916994.829999998</v>
      </c>
      <c r="F610" s="67">
        <f t="shared" si="84"/>
        <v>206699.38000000268</v>
      </c>
      <c r="G610" s="70">
        <f t="shared" si="85"/>
        <v>6.5268882691429525E-3</v>
      </c>
      <c r="H610" s="70"/>
      <c r="I610" s="70"/>
      <c r="J610" s="67">
        <f t="shared" si="90"/>
        <v>-1041394.2099999972</v>
      </c>
      <c r="K610" s="70">
        <f t="shared" si="91"/>
        <v>-3.1636977050252701E-2</v>
      </c>
      <c r="L610" s="70">
        <f t="shared" si="87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3"/>
        <v>32008445.5</v>
      </c>
      <c r="E611" s="67">
        <f t="shared" si="89"/>
        <v>32916994.829999998</v>
      </c>
      <c r="F611" s="67">
        <f t="shared" si="84"/>
        <v>132844.87999999896</v>
      </c>
      <c r="G611" s="70">
        <f t="shared" si="85"/>
        <v>4.1676039797238166E-3</v>
      </c>
      <c r="H611" s="70"/>
      <c r="I611" s="70"/>
      <c r="J611" s="67">
        <f t="shared" si="90"/>
        <v>-908549.32999999821</v>
      </c>
      <c r="K611" s="70">
        <f t="shared" si="91"/>
        <v>-2.7601223461989899E-2</v>
      </c>
      <c r="L611" s="70">
        <f t="shared" si="87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3"/>
        <v>31287161.68</v>
      </c>
      <c r="E612" s="67">
        <f t="shared" si="89"/>
        <v>32916994.829999998</v>
      </c>
      <c r="F612" s="67">
        <f t="shared" si="84"/>
        <v>-721283.8200000003</v>
      </c>
      <c r="G612" s="70">
        <f t="shared" si="85"/>
        <v>-2.2534172114044099E-2</v>
      </c>
      <c r="H612" s="70"/>
      <c r="I612" s="70"/>
      <c r="J612" s="67">
        <f t="shared" si="90"/>
        <v>-1629833.1499999985</v>
      </c>
      <c r="K612" s="70">
        <f t="shared" si="91"/>
        <v>-4.9513424855983312E-2</v>
      </c>
      <c r="L612" s="70">
        <f t="shared" si="87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3"/>
        <v>33095509.710000001</v>
      </c>
      <c r="E613" s="67">
        <f t="shared" si="89"/>
        <v>32916994.829999998</v>
      </c>
      <c r="F613" s="67">
        <f t="shared" si="84"/>
        <v>1808348.0300000012</v>
      </c>
      <c r="G613" s="70">
        <f t="shared" si="85"/>
        <v>5.7798404613863368E-2</v>
      </c>
      <c r="H613" s="70"/>
      <c r="I613" s="70"/>
      <c r="J613" s="67">
        <f t="shared" si="90"/>
        <v>178514.88000000268</v>
      </c>
      <c r="K613" s="70">
        <f t="shared" si="91"/>
        <v>5.4231827942357036E-3</v>
      </c>
      <c r="L613" s="70">
        <f t="shared" si="87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3"/>
        <v>33532721.390000001</v>
      </c>
      <c r="E614" s="67">
        <f t="shared" si="89"/>
        <v>32916994.829999998</v>
      </c>
      <c r="F614" s="67">
        <f t="shared" si="84"/>
        <v>437211.6799999997</v>
      </c>
      <c r="G614" s="70">
        <f t="shared" si="85"/>
        <v>1.3210604212809379E-2</v>
      </c>
      <c r="H614" s="70"/>
      <c r="I614" s="70"/>
      <c r="J614" s="67">
        <f t="shared" si="90"/>
        <v>615726.56000000238</v>
      </c>
      <c r="K614" s="70">
        <f t="shared" si="91"/>
        <v>1.8705430528513256E-2</v>
      </c>
      <c r="L614" s="70">
        <f t="shared" si="87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3"/>
        <v>33188590.559999999</v>
      </c>
      <c r="E615" s="67">
        <f t="shared" si="89"/>
        <v>32916994.829999998</v>
      </c>
      <c r="F615" s="67">
        <f t="shared" si="84"/>
        <v>-344130.83000000194</v>
      </c>
      <c r="G615" s="70">
        <f t="shared" si="85"/>
        <v>-1.0262538074306946E-2</v>
      </c>
      <c r="H615" s="70"/>
      <c r="I615" s="70"/>
      <c r="J615" s="67">
        <f t="shared" si="90"/>
        <v>271595.73000000045</v>
      </c>
      <c r="K615" s="70">
        <f t="shared" si="91"/>
        <v>8.2509272612110163E-3</v>
      </c>
      <c r="L615" s="70">
        <f t="shared" si="87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3"/>
        <v>33662278.579999998</v>
      </c>
      <c r="E616" s="67">
        <f t="shared" si="89"/>
        <v>32916994.829999998</v>
      </c>
      <c r="F616" s="67">
        <f t="shared" si="84"/>
        <v>473688.01999999955</v>
      </c>
      <c r="G616" s="70">
        <f t="shared" si="85"/>
        <v>1.4272616342162606E-2</v>
      </c>
      <c r="H616" s="70"/>
      <c r="I616" s="70"/>
      <c r="J616" s="67">
        <f t="shared" si="90"/>
        <v>745283.75</v>
      </c>
      <c r="K616" s="70">
        <f t="shared" si="91"/>
        <v>2.264130592264002E-2</v>
      </c>
      <c r="L616" s="70">
        <f t="shared" si="87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3"/>
        <v>33223803.280000001</v>
      </c>
      <c r="E617" s="67">
        <f t="shared" si="89"/>
        <v>32916994.829999998</v>
      </c>
      <c r="F617" s="67">
        <f t="shared" si="84"/>
        <v>-438475.29999999702</v>
      </c>
      <c r="G617" s="70">
        <f t="shared" si="85"/>
        <v>-1.3025716573461885E-2</v>
      </c>
      <c r="H617" s="70"/>
      <c r="I617" s="70"/>
      <c r="J617" s="67">
        <f t="shared" si="90"/>
        <v>306808.45000000298</v>
      </c>
      <c r="K617" s="70">
        <f t="shared" si="91"/>
        <v>9.3206701153767391E-3</v>
      </c>
      <c r="L617" s="70">
        <f t="shared" si="87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3"/>
        <v>33068433.52</v>
      </c>
      <c r="E618" s="67">
        <f t="shared" si="89"/>
        <v>32916994.829999998</v>
      </c>
      <c r="F618" s="67">
        <f t="shared" si="84"/>
        <v>-155369.76000000164</v>
      </c>
      <c r="G618" s="70">
        <f t="shared" si="85"/>
        <v>-4.6764591847174471E-3</v>
      </c>
      <c r="H618" s="70"/>
      <c r="I618" s="70"/>
      <c r="J618" s="67">
        <f t="shared" si="90"/>
        <v>151438.69000000134</v>
      </c>
      <c r="K618" s="70">
        <f t="shared" si="91"/>
        <v>4.6006231972903766E-3</v>
      </c>
      <c r="L618" s="70">
        <f t="shared" si="87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2">B619</f>
        <v>33098047.399999999</v>
      </c>
      <c r="E619" s="67">
        <f t="shared" si="89"/>
        <v>32916994.829999998</v>
      </c>
      <c r="F619" s="67">
        <f t="shared" si="84"/>
        <v>29613.879999998957</v>
      </c>
      <c r="G619" s="70">
        <f t="shared" si="85"/>
        <v>8.9553319730395736E-4</v>
      </c>
      <c r="H619" s="70"/>
      <c r="I619" s="70"/>
      <c r="J619" s="67">
        <f t="shared" si="90"/>
        <v>181052.5700000003</v>
      </c>
      <c r="K619" s="70">
        <f t="shared" si="91"/>
        <v>5.5002764053957431E-3</v>
      </c>
      <c r="L619" s="70">
        <f t="shared" si="87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2"/>
        <v>32709841.850000001</v>
      </c>
      <c r="E620" s="67">
        <f t="shared" si="89"/>
        <v>32916994.829999998</v>
      </c>
      <c r="F620" s="67">
        <f t="shared" ref="F620:F683" si="93">B620-C620-D619</f>
        <v>-388205.54999999702</v>
      </c>
      <c r="G620" s="70">
        <f t="shared" ref="G620:G683" si="94">F620/B619</f>
        <v>-1.1728956252567245E-2</v>
      </c>
      <c r="H620" s="70"/>
      <c r="I620" s="70"/>
      <c r="J620" s="67">
        <f t="shared" si="90"/>
        <v>-207152.97999999672</v>
      </c>
      <c r="K620" s="70">
        <f t="shared" si="91"/>
        <v>-6.2931923485073371E-3</v>
      </c>
      <c r="L620" s="70">
        <f t="shared" si="87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2"/>
        <v>33198270.260000002</v>
      </c>
      <c r="E621" s="67">
        <f t="shared" si="89"/>
        <v>32916994.829999998</v>
      </c>
      <c r="F621" s="67">
        <f t="shared" si="93"/>
        <v>488428.41000000015</v>
      </c>
      <c r="G621" s="70">
        <f t="shared" si="94"/>
        <v>1.4932154433513414E-2</v>
      </c>
      <c r="H621" s="70"/>
      <c r="I621" s="70"/>
      <c r="J621" s="67">
        <f t="shared" si="90"/>
        <v>281275.43000000343</v>
      </c>
      <c r="K621" s="70">
        <f t="shared" si="91"/>
        <v>8.5449911649784216E-3</v>
      </c>
      <c r="L621" s="70">
        <f t="shared" si="87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2"/>
        <v>33527921.300000001</v>
      </c>
      <c r="E622" s="67">
        <f t="shared" si="89"/>
        <v>32916994.829999998</v>
      </c>
      <c r="F622" s="67">
        <f t="shared" si="93"/>
        <v>329651.03999999911</v>
      </c>
      <c r="G622" s="70">
        <f t="shared" si="94"/>
        <v>9.929765539537453E-3</v>
      </c>
      <c r="H622" s="70"/>
      <c r="I622" s="70"/>
      <c r="J622" s="67">
        <f t="shared" si="90"/>
        <v>610926.47000000253</v>
      </c>
      <c r="K622" s="70">
        <f t="shared" si="91"/>
        <v>1.8559606463321554E-2</v>
      </c>
      <c r="L622" s="70">
        <f t="shared" si="87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2"/>
        <v>33681205.659999996</v>
      </c>
      <c r="E623" s="67">
        <f t="shared" si="89"/>
        <v>32916994.829999998</v>
      </c>
      <c r="F623" s="67">
        <f t="shared" si="93"/>
        <v>153284.35999999568</v>
      </c>
      <c r="G623" s="70">
        <f t="shared" si="94"/>
        <v>4.571842036625029E-3</v>
      </c>
      <c r="H623" s="70"/>
      <c r="I623" s="70"/>
      <c r="J623" s="67">
        <f t="shared" si="90"/>
        <v>764210.82999999821</v>
      </c>
      <c r="K623" s="70">
        <f t="shared" si="91"/>
        <v>2.3216300088958697E-2</v>
      </c>
      <c r="L623" s="70">
        <f t="shared" si="87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2"/>
        <v>33472422.18</v>
      </c>
      <c r="E624" s="67">
        <f t="shared" si="89"/>
        <v>32916994.829999998</v>
      </c>
      <c r="F624" s="67">
        <f t="shared" si="93"/>
        <v>-208783.47999999672</v>
      </c>
      <c r="G624" s="70">
        <f t="shared" si="94"/>
        <v>-6.1988125397764264E-3</v>
      </c>
      <c r="H624" s="70"/>
      <c r="I624" s="70"/>
      <c r="J624" s="67">
        <f t="shared" si="90"/>
        <v>555427.35000000149</v>
      </c>
      <c r="K624" s="70">
        <f t="shared" si="91"/>
        <v>1.6873574057063578E-2</v>
      </c>
      <c r="L624" s="70">
        <f t="shared" si="87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2"/>
        <v>32887644.649999999</v>
      </c>
      <c r="E625" s="67">
        <f t="shared" si="89"/>
        <v>32916994.829999998</v>
      </c>
      <c r="F625" s="67">
        <f t="shared" si="93"/>
        <v>-584777.53000000119</v>
      </c>
      <c r="G625" s="70">
        <f t="shared" si="94"/>
        <v>-1.7470427651017431E-2</v>
      </c>
      <c r="H625" s="70"/>
      <c r="I625" s="70"/>
      <c r="J625" s="67">
        <f t="shared" si="90"/>
        <v>-29350.179999999702</v>
      </c>
      <c r="K625" s="70">
        <f t="shared" si="91"/>
        <v>-8.9164214873194148E-4</v>
      </c>
      <c r="L625" s="70">
        <f t="shared" si="87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2"/>
        <v>32705656.760000002</v>
      </c>
      <c r="E626" s="67">
        <f t="shared" si="89"/>
        <v>32916994.829999998</v>
      </c>
      <c r="F626" s="67">
        <f t="shared" si="93"/>
        <v>-181987.88999999687</v>
      </c>
      <c r="G626" s="70">
        <f t="shared" si="94"/>
        <v>-5.5336249201414578E-3</v>
      </c>
      <c r="H626" s="70"/>
      <c r="I626" s="70"/>
      <c r="J626" s="67">
        <f t="shared" si="90"/>
        <v>-211338.06999999657</v>
      </c>
      <c r="K626" s="70">
        <f t="shared" si="91"/>
        <v>-6.4203330556592553E-3</v>
      </c>
      <c r="L626" s="70">
        <f t="shared" si="87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2"/>
        <v>34026786.07</v>
      </c>
      <c r="E627" s="80">
        <f t="shared" si="89"/>
        <v>32916994.829999998</v>
      </c>
      <c r="F627" s="80">
        <f t="shared" si="93"/>
        <v>1321129.3099999987</v>
      </c>
      <c r="G627" s="81">
        <f t="shared" si="94"/>
        <v>4.0394520119093877E-2</v>
      </c>
      <c r="H627" s="81"/>
      <c r="I627" s="81"/>
      <c r="J627" s="80">
        <f t="shared" si="90"/>
        <v>1109791.2400000021</v>
      </c>
      <c r="K627" s="81">
        <f t="shared" si="91"/>
        <v>3.3714840790646461E-2</v>
      </c>
      <c r="L627" s="81">
        <f t="shared" si="87"/>
        <v>1.0403945201190938</v>
      </c>
      <c r="M627" s="81">
        <f>PRODUCT($L$2:L627)-1</f>
        <v>-0.18090324305591421</v>
      </c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2"/>
        <v>34331980.990000002</v>
      </c>
      <c r="E628" s="67">
        <f t="shared" si="89"/>
        <v>34026786.07</v>
      </c>
      <c r="F628" s="67">
        <f t="shared" si="93"/>
        <v>305194.92000000179</v>
      </c>
      <c r="G628" s="70">
        <f t="shared" si="94"/>
        <v>8.9692549678995238E-3</v>
      </c>
      <c r="H628" s="70"/>
      <c r="I628" s="70"/>
      <c r="J628" s="67">
        <f t="shared" si="90"/>
        <v>305194.92000000179</v>
      </c>
      <c r="K628" s="70">
        <f>G628</f>
        <v>8.9692549678995238E-3</v>
      </c>
      <c r="L628" s="70">
        <f t="shared" si="87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2"/>
        <v>34396339.380000003</v>
      </c>
      <c r="E629" s="67">
        <f t="shared" si="89"/>
        <v>34026786.07</v>
      </c>
      <c r="F629" s="67">
        <f t="shared" si="93"/>
        <v>64358.390000000596</v>
      </c>
      <c r="G629" s="70">
        <f t="shared" si="94"/>
        <v>1.8745900511463783E-3</v>
      </c>
      <c r="H629" s="70"/>
      <c r="I629" s="70"/>
      <c r="J629" s="67">
        <f t="shared" si="90"/>
        <v>369553.31000000238</v>
      </c>
      <c r="K629" s="70">
        <f t="shared" ref="K629:K636" si="95">(1+K628)*(1+G629)-1</f>
        <v>1.0860658695174719E-2</v>
      </c>
      <c r="L629" s="70">
        <f t="shared" si="87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2"/>
        <v>33711344.520000003</v>
      </c>
      <c r="E630" s="67">
        <f t="shared" si="89"/>
        <v>34026786.07</v>
      </c>
      <c r="F630" s="67">
        <f t="shared" si="93"/>
        <v>-684994.8599999994</v>
      </c>
      <c r="G630" s="70">
        <f t="shared" si="94"/>
        <v>-1.9914760475886414E-2</v>
      </c>
      <c r="H630" s="70"/>
      <c r="I630" s="70"/>
      <c r="J630" s="67">
        <f t="shared" si="90"/>
        <v>-315441.54999999702</v>
      </c>
      <c r="K630" s="70">
        <f t="shared" si="95"/>
        <v>-9.2703891972364394E-3</v>
      </c>
      <c r="L630" s="70">
        <f t="shared" si="87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2"/>
        <v>33296999.859999999</v>
      </c>
      <c r="E631" s="67">
        <f t="shared" si="89"/>
        <v>34026786.07</v>
      </c>
      <c r="F631" s="67">
        <f t="shared" si="93"/>
        <v>-414344.66000000387</v>
      </c>
      <c r="G631" s="70">
        <f t="shared" si="94"/>
        <v>-1.2290956231490105E-2</v>
      </c>
      <c r="H631" s="70"/>
      <c r="I631" s="70"/>
      <c r="J631" s="67">
        <f t="shared" si="90"/>
        <v>-729786.21000000089</v>
      </c>
      <c r="K631" s="70">
        <f t="shared" si="95"/>
        <v>-2.1447403480854499E-2</v>
      </c>
      <c r="L631" s="70">
        <f t="shared" si="87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STDEV(G628:G640)*SQRT(252)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67">
        <f t="shared" si="92"/>
        <v>33379791.850000001</v>
      </c>
      <c r="E632" s="67">
        <f t="shared" si="89"/>
        <v>34026786.07</v>
      </c>
      <c r="F632" s="67">
        <f t="shared" si="93"/>
        <v>82791.990000002086</v>
      </c>
      <c r="G632" s="70">
        <f t="shared" si="94"/>
        <v>2.4864699627025824E-3</v>
      </c>
      <c r="H632" s="70"/>
      <c r="I632" s="70"/>
      <c r="J632" s="67">
        <f t="shared" si="90"/>
        <v>-646994.21999999881</v>
      </c>
      <c r="K632" s="70">
        <f t="shared" si="95"/>
        <v>-1.9014261842685065E-2</v>
      </c>
      <c r="L632" s="70">
        <f t="shared" si="87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2"/>
        <v>33597053.609999999</v>
      </c>
      <c r="E633" s="67">
        <f t="shared" si="89"/>
        <v>34026786.07</v>
      </c>
      <c r="F633" s="67">
        <f t="shared" si="93"/>
        <v>217261.75999999791</v>
      </c>
      <c r="G633" s="70">
        <f t="shared" si="94"/>
        <v>6.5087811504731686E-3</v>
      </c>
      <c r="H633" s="70"/>
      <c r="I633" s="70"/>
      <c r="J633" s="67">
        <f t="shared" si="90"/>
        <v>-429732.46000000089</v>
      </c>
      <c r="K633" s="70">
        <f t="shared" si="95"/>
        <v>-1.2629240361283767E-2</v>
      </c>
      <c r="L633" s="70">
        <f t="shared" si="87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2"/>
        <v>32995664.079999998</v>
      </c>
      <c r="E634" s="67">
        <f t="shared" si="89"/>
        <v>34026786.07</v>
      </c>
      <c r="F634" s="67">
        <f t="shared" si="93"/>
        <v>-601389.53000000119</v>
      </c>
      <c r="G634" s="70">
        <f t="shared" si="94"/>
        <v>-1.7900067576788952E-2</v>
      </c>
      <c r="H634" s="70"/>
      <c r="I634" s="70"/>
      <c r="J634" s="67">
        <f t="shared" si="90"/>
        <v>-1031121.9900000021</v>
      </c>
      <c r="K634" s="70">
        <f t="shared" si="95"/>
        <v>-3.0303243682162195E-2</v>
      </c>
      <c r="L634" s="70">
        <f t="shared" si="87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2"/>
        <v>33333489.649999999</v>
      </c>
      <c r="E635" s="67">
        <f t="shared" si="89"/>
        <v>34026786.07</v>
      </c>
      <c r="F635" s="67">
        <f t="shared" si="93"/>
        <v>337825.5700000003</v>
      </c>
      <c r="G635" s="70">
        <f t="shared" si="94"/>
        <v>1.0238483734739255E-2</v>
      </c>
      <c r="H635" s="70"/>
      <c r="I635" s="70"/>
      <c r="J635" s="67">
        <f t="shared" si="90"/>
        <v>-693296.42000000179</v>
      </c>
      <c r="K635" s="70">
        <f t="shared" si="95"/>
        <v>-2.0375019214972534E-2</v>
      </c>
      <c r="L635" s="70">
        <f t="shared" si="87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2"/>
        <v>33766617.25</v>
      </c>
      <c r="E636" s="67">
        <f t="shared" si="89"/>
        <v>34026786.07</v>
      </c>
      <c r="F636" s="67">
        <f t="shared" si="93"/>
        <v>433127.60000000149</v>
      </c>
      <c r="G636" s="70">
        <f t="shared" si="94"/>
        <v>1.299376706572939E-2</v>
      </c>
      <c r="H636" s="70"/>
      <c r="I636" s="70"/>
      <c r="J636" s="67">
        <f t="shared" si="90"/>
        <v>-260168.8200000003</v>
      </c>
      <c r="K636" s="70">
        <f t="shared" si="95"/>
        <v>-7.6460004028822137E-3</v>
      </c>
      <c r="L636" s="70">
        <f t="shared" si="87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2"/>
        <v>33261696.800000001</v>
      </c>
      <c r="E637" s="67">
        <f t="shared" si="89"/>
        <v>34026786.07</v>
      </c>
      <c r="F637" s="67">
        <f t="shared" si="93"/>
        <v>-404920.44999999925</v>
      </c>
      <c r="G637" s="70">
        <f t="shared" si="94"/>
        <v>-1.1991738674977851E-2</v>
      </c>
      <c r="H637" s="70"/>
      <c r="I637" s="70"/>
      <c r="J637" s="67">
        <f t="shared" si="90"/>
        <v>-665089.26999999955</v>
      </c>
      <c r="K637" s="70">
        <v>-1.9599999999999999E-2</v>
      </c>
      <c r="L637" s="70">
        <f t="shared" si="87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2"/>
        <v>31951809.23</v>
      </c>
      <c r="E638" s="67">
        <f t="shared" si="89"/>
        <v>34026786.07</v>
      </c>
      <c r="F638" s="67">
        <f t="shared" si="93"/>
        <v>-1309887.5700000003</v>
      </c>
      <c r="G638" s="70">
        <f t="shared" si="94"/>
        <v>-3.9381261210943402E-2</v>
      </c>
      <c r="H638" s="70"/>
      <c r="I638" s="70"/>
      <c r="J638" s="67">
        <f t="shared" si="90"/>
        <v>-1974976.8399999999</v>
      </c>
      <c r="K638" s="70">
        <f t="shared" ref="K638:K649" si="96">(1+K637)*(1+G638)-1</f>
        <v>-5.8209388491208935E-2</v>
      </c>
      <c r="L638" s="70">
        <f t="shared" si="87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2"/>
        <v>31318385.23</v>
      </c>
      <c r="E639" s="67">
        <f t="shared" si="89"/>
        <v>34026786.07</v>
      </c>
      <c r="F639" s="67">
        <f t="shared" si="93"/>
        <v>-633424</v>
      </c>
      <c r="G639" s="70">
        <f t="shared" si="94"/>
        <v>-1.982435471620397E-2</v>
      </c>
      <c r="H639" s="70"/>
      <c r="I639" s="70"/>
      <c r="J639" s="67">
        <f t="shared" si="90"/>
        <v>-2608400.84</v>
      </c>
      <c r="K639" s="70">
        <f t="shared" si="96"/>
        <v>-7.6879779642149759E-2</v>
      </c>
      <c r="L639" s="70">
        <f t="shared" si="87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2"/>
        <v>30473279.579999998</v>
      </c>
      <c r="E640" s="67">
        <f t="shared" si="89"/>
        <v>34026786.07</v>
      </c>
      <c r="F640" s="67">
        <f t="shared" si="93"/>
        <v>-845105.65000000224</v>
      </c>
      <c r="G640" s="70">
        <f t="shared" si="94"/>
        <v>-2.698433025181874E-2</v>
      </c>
      <c r="H640" s="70"/>
      <c r="I640" s="70"/>
      <c r="J640" s="67">
        <f t="shared" si="90"/>
        <v>-3453506.4900000021</v>
      </c>
      <c r="K640" s="70">
        <f t="shared" si="96"/>
        <v>-0.10178956053041777</v>
      </c>
      <c r="L640" s="70">
        <f t="shared" si="87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2"/>
        <v>29790685.82</v>
      </c>
      <c r="E641" s="67">
        <f t="shared" si="89"/>
        <v>34026786.07</v>
      </c>
      <c r="F641" s="67">
        <f t="shared" si="93"/>
        <v>-682593.75999999791</v>
      </c>
      <c r="G641" s="70">
        <f t="shared" si="94"/>
        <v>-2.239974723455735E-2</v>
      </c>
      <c r="H641" s="70"/>
      <c r="I641" s="70"/>
      <c r="J641" s="67">
        <f t="shared" si="90"/>
        <v>-4136100.25</v>
      </c>
      <c r="K641" s="70">
        <f t="shared" si="96"/>
        <v>-0.12190924733797714</v>
      </c>
      <c r="L641" s="70">
        <f t="shared" si="87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2"/>
        <v>30255737.199999999</v>
      </c>
      <c r="E642" s="67">
        <f t="shared" si="89"/>
        <v>34026786.07</v>
      </c>
      <c r="F642" s="67">
        <f t="shared" si="93"/>
        <v>465051.37999999896</v>
      </c>
      <c r="G642" s="70">
        <f t="shared" si="94"/>
        <v>1.5610630208713972E-2</v>
      </c>
      <c r="H642" s="70"/>
      <c r="I642" s="70"/>
      <c r="J642" s="67">
        <f t="shared" si="90"/>
        <v>-3671048.870000001</v>
      </c>
      <c r="K642" s="70">
        <f t="shared" si="96"/>
        <v>-0.10820169730847895</v>
      </c>
      <c r="L642" s="70">
        <f t="shared" ref="L642:L705" si="97">1+G642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2"/>
        <v>29477526.16</v>
      </c>
      <c r="E643" s="67">
        <f t="shared" si="89"/>
        <v>34026786.07</v>
      </c>
      <c r="F643" s="67">
        <f t="shared" si="93"/>
        <v>-778211.03999999911</v>
      </c>
      <c r="G643" s="70">
        <f t="shared" si="94"/>
        <v>-2.5721106541076087E-2</v>
      </c>
      <c r="H643" s="70"/>
      <c r="I643" s="70"/>
      <c r="J643" s="67">
        <f t="shared" si="90"/>
        <v>-4449259.91</v>
      </c>
      <c r="K643" s="70">
        <f t="shared" si="96"/>
        <v>-0.13113973646515842</v>
      </c>
      <c r="L643" s="70">
        <f t="shared" si="97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2"/>
        <v>29210239.190000001</v>
      </c>
      <c r="E644" s="67">
        <f t="shared" si="89"/>
        <v>34026786.07</v>
      </c>
      <c r="F644" s="67">
        <f t="shared" si="93"/>
        <v>-267286.96999999881</v>
      </c>
      <c r="G644" s="70">
        <f t="shared" si="94"/>
        <v>-9.0674830903109543E-3</v>
      </c>
      <c r="H644" s="70"/>
      <c r="I644" s="70"/>
      <c r="J644" s="67">
        <f t="shared" si="90"/>
        <v>-4716546.879999999</v>
      </c>
      <c r="K644" s="70">
        <f t="shared" si="96"/>
        <v>-0.13901811221260363</v>
      </c>
      <c r="L644" s="70">
        <f t="shared" si="97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2"/>
        <v>29165038.93</v>
      </c>
      <c r="E645" s="67">
        <f t="shared" si="89"/>
        <v>34026786.07</v>
      </c>
      <c r="F645" s="67">
        <f t="shared" si="93"/>
        <v>-45200.260000001639</v>
      </c>
      <c r="G645" s="70">
        <f t="shared" si="94"/>
        <v>-1.5474114986184623E-3</v>
      </c>
      <c r="H645" s="70"/>
      <c r="I645" s="70"/>
      <c r="J645" s="67">
        <f t="shared" si="90"/>
        <v>-4761747.1400000006</v>
      </c>
      <c r="K645" s="70">
        <f t="shared" si="96"/>
        <v>-0.14035040548586808</v>
      </c>
      <c r="L645" s="70">
        <f t="shared" si="97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2"/>
        <v>28314820.699999999</v>
      </c>
      <c r="E646" s="67">
        <f t="shared" si="89"/>
        <v>34026786.07</v>
      </c>
      <c r="F646" s="67">
        <f t="shared" si="93"/>
        <v>-850218.23000000045</v>
      </c>
      <c r="G646" s="70">
        <f t="shared" si="94"/>
        <v>-2.9151966230548779E-2</v>
      </c>
      <c r="H646" s="70"/>
      <c r="I646" s="70"/>
      <c r="J646" s="67">
        <f t="shared" si="90"/>
        <v>-5611965.370000001</v>
      </c>
      <c r="K646" s="70">
        <f t="shared" si="96"/>
        <v>-0.16541088143524907</v>
      </c>
      <c r="L646" s="70">
        <f t="shared" si="97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2"/>
        <v>27689520.780000001</v>
      </c>
      <c r="E647" s="67">
        <f t="shared" si="89"/>
        <v>34026786.07</v>
      </c>
      <c r="F647" s="67">
        <f t="shared" si="93"/>
        <v>-625299.91999999806</v>
      </c>
      <c r="G647" s="70">
        <f t="shared" si="94"/>
        <v>-2.2083838235288492E-2</v>
      </c>
      <c r="H647" s="70"/>
      <c r="I647" s="70"/>
      <c r="J647" s="67">
        <f t="shared" si="90"/>
        <v>-6237265.2899999991</v>
      </c>
      <c r="K647" s="70">
        <f t="shared" si="96"/>
        <v>-0.18384181252256504</v>
      </c>
      <c r="L647" s="70">
        <f t="shared" si="97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2"/>
        <v>28441569.670000002</v>
      </c>
      <c r="E648" s="67">
        <f t="shared" si="89"/>
        <v>34026786.07</v>
      </c>
      <c r="F648" s="67">
        <f t="shared" si="93"/>
        <v>752048.8900000006</v>
      </c>
      <c r="G648" s="70">
        <f t="shared" si="94"/>
        <v>2.7160054374910009E-2</v>
      </c>
      <c r="H648" s="70"/>
      <c r="I648" s="70"/>
      <c r="J648" s="67">
        <f t="shared" si="90"/>
        <v>-5485216.3999999985</v>
      </c>
      <c r="K648" s="70">
        <f t="shared" si="96"/>
        <v>-0.16167491177214999</v>
      </c>
      <c r="L648" s="70">
        <f t="shared" si="97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2"/>
        <v>28363439.039999999</v>
      </c>
      <c r="E649" s="80">
        <f t="shared" si="89"/>
        <v>34026786.07</v>
      </c>
      <c r="F649" s="80">
        <f t="shared" si="93"/>
        <v>-78130.630000002682</v>
      </c>
      <c r="G649" s="81">
        <f t="shared" si="94"/>
        <v>-2.747057595854648E-3</v>
      </c>
      <c r="H649" s="81"/>
      <c r="I649" s="81"/>
      <c r="J649" s="80">
        <f t="shared" si="90"/>
        <v>-5563347.0300000012</v>
      </c>
      <c r="K649" s="81">
        <f t="shared" si="96"/>
        <v>-0.16397783907356189</v>
      </c>
      <c r="L649" s="81">
        <f t="shared" si="97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2"/>
        <v>28386653.73</v>
      </c>
      <c r="E650" s="67">
        <f t="shared" si="89"/>
        <v>28363439.039999999</v>
      </c>
      <c r="F650" s="67">
        <f t="shared" si="93"/>
        <v>23214.690000001341</v>
      </c>
      <c r="G650" s="70">
        <f t="shared" si="94"/>
        <v>8.1847232866446304E-4</v>
      </c>
      <c r="H650" s="70"/>
      <c r="I650" s="70"/>
      <c r="J650" s="67">
        <f t="shared" si="90"/>
        <v>23214.690000001341</v>
      </c>
      <c r="K650" s="70">
        <f>G650</f>
        <v>8.1847232866446304E-4</v>
      </c>
      <c r="L650" s="70">
        <f t="shared" si="97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2"/>
        <v>28712512.960000001</v>
      </c>
      <c r="E651" s="67">
        <f t="shared" si="89"/>
        <v>28363439.039999999</v>
      </c>
      <c r="F651" s="67">
        <f t="shared" si="93"/>
        <v>325859.23000000045</v>
      </c>
      <c r="G651" s="70">
        <f t="shared" si="94"/>
        <v>1.1479311126257235E-2</v>
      </c>
      <c r="H651" s="70"/>
      <c r="I651" s="70"/>
      <c r="J651" s="67">
        <f t="shared" si="90"/>
        <v>349073.92000000179</v>
      </c>
      <c r="K651" s="70">
        <f t="shared" ref="K651:K670" si="98">(1+K650)*(1+G651)-1</f>
        <v>1.2307178953430586E-2</v>
      </c>
      <c r="L651" s="70">
        <f t="shared" si="97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99">4.5%/252</f>
        <v>1.7857142857142857E-4</v>
      </c>
      <c r="Y651" s="70">
        <f t="shared" ref="Y651:Y714" si="100">G651-X651</f>
        <v>1.1300739697685806E-2</v>
      </c>
      <c r="Z651" s="70">
        <f t="shared" ref="Z651:Z714" si="101">IF(Y651&lt;0,Y651,0)</f>
        <v>0</v>
      </c>
      <c r="AA651" s="70">
        <f t="shared" ref="AA651:AA714" si="102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2"/>
        <v>28525250.670000002</v>
      </c>
      <c r="E652" s="67">
        <f t="shared" si="89"/>
        <v>28363439.039999999</v>
      </c>
      <c r="F652" s="67">
        <f t="shared" si="93"/>
        <v>-187262.28999999911</v>
      </c>
      <c r="G652" s="70">
        <f t="shared" si="94"/>
        <v>-6.5219749403640876E-3</v>
      </c>
      <c r="H652" s="70"/>
      <c r="I652" s="70"/>
      <c r="J652" s="67">
        <f t="shared" si="90"/>
        <v>161811.63000000268</v>
      </c>
      <c r="K652" s="70">
        <f t="shared" si="98"/>
        <v>5.7049369003456807E-3</v>
      </c>
      <c r="L652" s="70">
        <f t="shared" si="97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99"/>
        <v>1.7857142857142857E-4</v>
      </c>
      <c r="Y652" s="70">
        <f t="shared" si="100"/>
        <v>-6.7005463689355166E-3</v>
      </c>
      <c r="Z652" s="70">
        <f t="shared" si="101"/>
        <v>-6.7005463689355166E-3</v>
      </c>
      <c r="AA652" s="70">
        <f t="shared" si="102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2"/>
        <v>29802963.640000001</v>
      </c>
      <c r="E653" s="67">
        <f t="shared" si="89"/>
        <v>28363439.039999999</v>
      </c>
      <c r="F653" s="67">
        <f t="shared" si="93"/>
        <v>1277712.9699999988</v>
      </c>
      <c r="G653" s="70">
        <f t="shared" si="94"/>
        <v>4.479234853293574E-2</v>
      </c>
      <c r="H653" s="70"/>
      <c r="I653" s="70"/>
      <c r="J653" s="67">
        <f t="shared" si="90"/>
        <v>1439524.6000000015</v>
      </c>
      <c r="K653" s="70">
        <f t="shared" si="98"/>
        <v>5.0752822955280052E-2</v>
      </c>
      <c r="L653" s="70">
        <f t="shared" si="97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99"/>
        <v>1.7857142857142857E-4</v>
      </c>
      <c r="Y653" s="70">
        <f t="shared" si="100"/>
        <v>4.4613777104364309E-2</v>
      </c>
      <c r="Z653" s="70">
        <f t="shared" si="101"/>
        <v>0</v>
      </c>
      <c r="AA653" s="70">
        <f t="shared" si="102"/>
        <v>0</v>
      </c>
    </row>
    <row r="654" spans="1:27">
      <c r="A654" s="88">
        <v>44935</v>
      </c>
      <c r="B654" s="76">
        <v>29749847.16</v>
      </c>
      <c r="C654" s="6"/>
      <c r="D654" s="67">
        <f t="shared" si="92"/>
        <v>29749847.16</v>
      </c>
      <c r="E654" s="67">
        <f t="shared" si="89"/>
        <v>28363439.039999999</v>
      </c>
      <c r="F654" s="67">
        <f t="shared" si="93"/>
        <v>-53116.480000000447</v>
      </c>
      <c r="G654" s="70">
        <f t="shared" si="94"/>
        <v>-1.7822549677143601E-3</v>
      </c>
      <c r="H654" s="70"/>
      <c r="I654" s="70"/>
      <c r="J654" s="67">
        <f t="shared" si="90"/>
        <v>1386408.120000001</v>
      </c>
      <c r="K654" s="70">
        <f t="shared" si="98"/>
        <v>4.8880113516728052E-2</v>
      </c>
      <c r="L654" s="70">
        <f t="shared" si="97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99"/>
        <v>1.7857142857142857E-4</v>
      </c>
      <c r="Y654" s="70">
        <f t="shared" si="100"/>
        <v>-1.9608263962857886E-3</v>
      </c>
      <c r="Z654" s="70">
        <f t="shared" si="101"/>
        <v>-1.9608263962857886E-3</v>
      </c>
      <c r="AA654" s="70">
        <f t="shared" si="102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2"/>
        <v>29897270.829999998</v>
      </c>
      <c r="E655" s="67">
        <f t="shared" si="89"/>
        <v>28363439.039999999</v>
      </c>
      <c r="F655" s="67">
        <f t="shared" si="93"/>
        <v>147423.66999999806</v>
      </c>
      <c r="G655" s="70">
        <f t="shared" si="94"/>
        <v>4.9554429374755165E-3</v>
      </c>
      <c r="H655" s="70"/>
      <c r="I655" s="70"/>
      <c r="J655" s="67">
        <f t="shared" si="90"/>
        <v>1533831.7899999991</v>
      </c>
      <c r="K655" s="70">
        <f t="shared" si="98"/>
        <v>5.4077779067512877E-2</v>
      </c>
      <c r="L655" s="70">
        <f t="shared" si="97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99"/>
        <v>1.7857142857142857E-4</v>
      </c>
      <c r="Y655" s="70">
        <f t="shared" si="100"/>
        <v>4.7768715089040875E-3</v>
      </c>
      <c r="Z655" s="70">
        <f t="shared" si="101"/>
        <v>0</v>
      </c>
      <c r="AA655" s="70">
        <f t="shared" si="102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2"/>
        <v>30855301.079999998</v>
      </c>
      <c r="E656" s="67">
        <f t="shared" si="89"/>
        <v>28363439.039999999</v>
      </c>
      <c r="F656" s="67">
        <f t="shared" si="93"/>
        <v>958030.25</v>
      </c>
      <c r="G656" s="70">
        <f t="shared" si="94"/>
        <v>3.2044070358377925E-2</v>
      </c>
      <c r="H656" s="70"/>
      <c r="I656" s="70"/>
      <c r="J656" s="67">
        <f t="shared" si="90"/>
        <v>2491862.0399999991</v>
      </c>
      <c r="K656" s="70">
        <f t="shared" si="98"/>
        <v>8.7854721583155104E-2</v>
      </c>
      <c r="L656" s="70">
        <f t="shared" si="97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99"/>
        <v>1.7857142857142857E-4</v>
      </c>
      <c r="Y656" s="70">
        <f t="shared" si="100"/>
        <v>3.1865498929806495E-2</v>
      </c>
      <c r="Z656" s="70">
        <f t="shared" si="101"/>
        <v>0</v>
      </c>
      <c r="AA656" s="70">
        <f t="shared" si="102"/>
        <v>0</v>
      </c>
    </row>
    <row r="657" spans="1:29">
      <c r="A657" s="88">
        <v>44938</v>
      </c>
      <c r="B657" s="76">
        <v>31477553.09</v>
      </c>
      <c r="C657" s="6"/>
      <c r="D657" s="67">
        <f t="shared" si="92"/>
        <v>31477553.09</v>
      </c>
      <c r="E657" s="67">
        <f t="shared" si="89"/>
        <v>28363439.039999999</v>
      </c>
      <c r="F657" s="67">
        <f t="shared" si="93"/>
        <v>622252.01000000164</v>
      </c>
      <c r="G657" s="70">
        <f t="shared" si="94"/>
        <v>2.016677809711399E-2</v>
      </c>
      <c r="H657" s="70"/>
      <c r="I657" s="70"/>
      <c r="J657" s="67">
        <f t="shared" si="90"/>
        <v>3114114.0500000007</v>
      </c>
      <c r="K657" s="70">
        <f t="shared" si="98"/>
        <v>0.10979324635522025</v>
      </c>
      <c r="L657" s="70">
        <f t="shared" si="97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99"/>
        <v>1.7857142857142857E-4</v>
      </c>
      <c r="Y657" s="70">
        <f t="shared" si="100"/>
        <v>1.9988206668542563E-2</v>
      </c>
      <c r="Z657" s="70">
        <f t="shared" si="101"/>
        <v>0</v>
      </c>
      <c r="AA657" s="70">
        <f t="shared" si="102"/>
        <v>0</v>
      </c>
    </row>
    <row r="658" spans="1:29">
      <c r="A658" s="88">
        <v>44939</v>
      </c>
      <c r="B658" s="76">
        <v>31686232.84</v>
      </c>
      <c r="C658" s="6"/>
      <c r="D658" s="67">
        <f t="shared" si="92"/>
        <v>31686232.84</v>
      </c>
      <c r="E658" s="67">
        <f t="shared" si="89"/>
        <v>28363439.039999999</v>
      </c>
      <c r="F658" s="67">
        <f t="shared" si="93"/>
        <v>208679.75</v>
      </c>
      <c r="G658" s="70">
        <f t="shared" si="94"/>
        <v>6.6294781364786195E-3</v>
      </c>
      <c r="H658" s="70"/>
      <c r="I658" s="70"/>
      <c r="J658" s="67">
        <f t="shared" si="90"/>
        <v>3322793.8000000007</v>
      </c>
      <c r="K658" s="70">
        <f t="shared" si="98"/>
        <v>0.11715059641794379</v>
      </c>
      <c r="L658" s="70">
        <f t="shared" si="97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99"/>
        <v>1.7857142857142857E-4</v>
      </c>
      <c r="Y658" s="70">
        <f t="shared" si="100"/>
        <v>6.4509067079071905E-3</v>
      </c>
      <c r="Z658" s="70">
        <f t="shared" si="101"/>
        <v>0</v>
      </c>
      <c r="AA658" s="70">
        <f t="shared" si="102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2"/>
        <v>31654533.460000001</v>
      </c>
      <c r="E659" s="67">
        <f t="shared" si="89"/>
        <v>28363439.039999999</v>
      </c>
      <c r="F659" s="67">
        <f t="shared" si="93"/>
        <v>-31699.379999998957</v>
      </c>
      <c r="G659" s="70">
        <f t="shared" si="94"/>
        <v>-1.0004149171050198E-3</v>
      </c>
      <c r="H659" s="70"/>
      <c r="I659" s="70"/>
      <c r="J659" s="67">
        <f t="shared" si="90"/>
        <v>3291094.4200000018</v>
      </c>
      <c r="K659" s="70">
        <f t="shared" si="98"/>
        <v>0.11603298229663461</v>
      </c>
      <c r="L659" s="70">
        <f t="shared" si="97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99"/>
        <v>1.7857142857142857E-4</v>
      </c>
      <c r="Y659" s="70">
        <f t="shared" si="100"/>
        <v>-1.1789863456764483E-3</v>
      </c>
      <c r="Z659" s="70">
        <f t="shared" si="101"/>
        <v>-1.1789863456764483E-3</v>
      </c>
      <c r="AA659" s="70">
        <f t="shared" si="102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2"/>
        <v>31509777.969999999</v>
      </c>
      <c r="E660" s="67">
        <f t="shared" si="89"/>
        <v>28363439.039999999</v>
      </c>
      <c r="F660" s="67">
        <f t="shared" si="93"/>
        <v>-144755.49000000209</v>
      </c>
      <c r="G660" s="70">
        <f t="shared" si="94"/>
        <v>-4.5729781543904667E-3</v>
      </c>
      <c r="H660" s="70"/>
      <c r="I660" s="70"/>
      <c r="J660" s="67">
        <f t="shared" si="90"/>
        <v>3146338.9299999997</v>
      </c>
      <c r="K660" s="70">
        <f t="shared" si="98"/>
        <v>0.11092938784901274</v>
      </c>
      <c r="L660" s="70">
        <f t="shared" si="97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99"/>
        <v>1.7857142857142857E-4</v>
      </c>
      <c r="Y660" s="70">
        <f t="shared" si="100"/>
        <v>-4.7515495829618956E-3</v>
      </c>
      <c r="Z660" s="70">
        <f t="shared" si="101"/>
        <v>-4.7515495829618956E-3</v>
      </c>
      <c r="AA660" s="70">
        <f t="shared" si="102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2"/>
        <v>31675584.059999999</v>
      </c>
      <c r="E661" s="67">
        <f t="shared" si="89"/>
        <v>28363439.039999999</v>
      </c>
      <c r="F661" s="67">
        <f t="shared" si="93"/>
        <v>165806.08999999985</v>
      </c>
      <c r="G661" s="70">
        <f t="shared" si="94"/>
        <v>5.2620519940782011E-3</v>
      </c>
      <c r="H661" s="70"/>
      <c r="I661" s="70"/>
      <c r="J661" s="67">
        <f t="shared" si="90"/>
        <v>3312145.0199999996</v>
      </c>
      <c r="K661" s="70">
        <f t="shared" si="98"/>
        <v>0.11677515604962374</v>
      </c>
      <c r="L661" s="70">
        <f t="shared" si="97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99"/>
        <v>1.7857142857142857E-4</v>
      </c>
      <c r="Y661" s="70">
        <f t="shared" si="100"/>
        <v>5.0834805655067721E-3</v>
      </c>
      <c r="Z661" s="70">
        <f t="shared" si="101"/>
        <v>0</v>
      </c>
      <c r="AA661" s="70">
        <f t="shared" si="102"/>
        <v>0</v>
      </c>
    </row>
    <row r="662" spans="1:29">
      <c r="A662" s="88">
        <v>44945</v>
      </c>
      <c r="B662" s="76">
        <v>31521202.66</v>
      </c>
      <c r="C662" s="6"/>
      <c r="D662" s="67">
        <f t="shared" si="92"/>
        <v>31521202.66</v>
      </c>
      <c r="E662" s="67">
        <f t="shared" ref="E662:E725" si="103">IF(MONTH(A662)=MONTH(A661),E661,D661)</f>
        <v>28363439.039999999</v>
      </c>
      <c r="F662" s="67">
        <f t="shared" si="93"/>
        <v>-154381.39999999851</v>
      </c>
      <c r="G662" s="70">
        <f t="shared" si="94"/>
        <v>-4.8738296256059157E-3</v>
      </c>
      <c r="H662" s="70"/>
      <c r="I662" s="70"/>
      <c r="J662" s="67">
        <f t="shared" ref="J662:J725" si="104">IF(MONTH(A662)=MONTH(A661),J661+F662,F662)</f>
        <v>3157763.620000001</v>
      </c>
      <c r="K662" s="70">
        <f t="shared" si="98"/>
        <v>0.11133218420892854</v>
      </c>
      <c r="L662" s="70">
        <f t="shared" si="97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99"/>
        <v>1.7857142857142857E-4</v>
      </c>
      <c r="Y662" s="70">
        <f t="shared" si="100"/>
        <v>-5.0524010541773447E-3</v>
      </c>
      <c r="Z662" s="70">
        <f t="shared" si="101"/>
        <v>-5.0524010541773447E-3</v>
      </c>
      <c r="AA662" s="70">
        <f t="shared" si="102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2"/>
        <v>31987105.25</v>
      </c>
      <c r="E663" s="67">
        <f t="shared" si="103"/>
        <v>28363439.039999999</v>
      </c>
      <c r="F663" s="67">
        <f t="shared" si="93"/>
        <v>465902.58999999985</v>
      </c>
      <c r="G663" s="70">
        <f t="shared" si="94"/>
        <v>1.4780609579698055E-2</v>
      </c>
      <c r="H663" s="70"/>
      <c r="I663" s="70"/>
      <c r="J663" s="67">
        <f t="shared" si="104"/>
        <v>3623666.2100000009</v>
      </c>
      <c r="K663" s="70">
        <f t="shared" si="98"/>
        <v>0.12775835133707392</v>
      </c>
      <c r="L663" s="70">
        <f t="shared" si="97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99"/>
        <v>1.7857142857142857E-4</v>
      </c>
      <c r="Y663" s="70">
        <f t="shared" si="100"/>
        <v>1.4602038151126626E-2</v>
      </c>
      <c r="Z663" s="70">
        <f t="shared" si="101"/>
        <v>0</v>
      </c>
      <c r="AA663" s="70">
        <f t="shared" si="102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2"/>
        <v>32533725.460000001</v>
      </c>
      <c r="E664" s="67">
        <f t="shared" si="103"/>
        <v>28363439.039999999</v>
      </c>
      <c r="F664" s="67">
        <f t="shared" si="93"/>
        <v>546620.21000000089</v>
      </c>
      <c r="G664" s="70">
        <f t="shared" si="94"/>
        <v>1.7088767668340381E-2</v>
      </c>
      <c r="H664" s="70"/>
      <c r="I664" s="70"/>
      <c r="J664" s="67">
        <f t="shared" si="104"/>
        <v>4170286.4200000018</v>
      </c>
      <c r="K664" s="70">
        <f t="shared" si="98"/>
        <v>0.14703035178910384</v>
      </c>
      <c r="L664" s="70">
        <f t="shared" si="97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99"/>
        <v>1.7857142857142857E-4</v>
      </c>
      <c r="Y664" s="70">
        <f t="shared" si="100"/>
        <v>1.6910196239768954E-2</v>
      </c>
      <c r="Z664" s="70">
        <f t="shared" si="101"/>
        <v>0</v>
      </c>
      <c r="AA664" s="70">
        <f t="shared" si="102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2"/>
        <v>32713068.890000001</v>
      </c>
      <c r="E665" s="67">
        <f t="shared" si="103"/>
        <v>28363439.039999999</v>
      </c>
      <c r="F665" s="67">
        <f t="shared" si="93"/>
        <v>179343.4299999997</v>
      </c>
      <c r="G665" s="70">
        <f t="shared" si="94"/>
        <v>5.5125389872887828E-3</v>
      </c>
      <c r="H665" s="70"/>
      <c r="I665" s="70"/>
      <c r="J665" s="67">
        <f t="shared" si="104"/>
        <v>4349629.8500000015</v>
      </c>
      <c r="K665" s="70">
        <f t="shared" si="98"/>
        <v>0.15335340132294473</v>
      </c>
      <c r="L665" s="70">
        <f t="shared" si="97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99"/>
        <v>1.7857142857142857E-4</v>
      </c>
      <c r="Y665" s="70">
        <f t="shared" si="100"/>
        <v>5.3339675587173539E-3</v>
      </c>
      <c r="Z665" s="70">
        <f t="shared" si="101"/>
        <v>0</v>
      </c>
      <c r="AA665" s="70">
        <f t="shared" si="102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2"/>
        <v>32710854.170000002</v>
      </c>
      <c r="E666" s="67">
        <f t="shared" si="103"/>
        <v>28363439.039999999</v>
      </c>
      <c r="F666" s="67">
        <f t="shared" si="93"/>
        <v>-2214.7199999988079</v>
      </c>
      <c r="G666" s="70">
        <f t="shared" si="94"/>
        <v>-6.7701382815716865E-5</v>
      </c>
      <c r="H666" s="70"/>
      <c r="I666" s="70"/>
      <c r="J666" s="67">
        <f t="shared" si="104"/>
        <v>4347415.1300000027</v>
      </c>
      <c r="K666" s="70">
        <f t="shared" si="98"/>
        <v>0.1532753177027999</v>
      </c>
      <c r="L666" s="70">
        <f t="shared" si="97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99"/>
        <v>1.7857142857142857E-4</v>
      </c>
      <c r="Y666" s="70">
        <f t="shared" si="100"/>
        <v>-2.4627281138714542E-4</v>
      </c>
      <c r="Z666" s="70">
        <f t="shared" si="101"/>
        <v>-2.4627281138714542E-4</v>
      </c>
      <c r="AA666" s="70">
        <f t="shared" si="102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2"/>
        <v>33620401.020000003</v>
      </c>
      <c r="E667" s="67">
        <f t="shared" si="103"/>
        <v>28363439.039999999</v>
      </c>
      <c r="F667" s="67">
        <f t="shared" si="93"/>
        <v>909546.85000000149</v>
      </c>
      <c r="G667" s="70">
        <f t="shared" si="94"/>
        <v>2.7805658796711312E-2</v>
      </c>
      <c r="H667" s="70"/>
      <c r="I667" s="70"/>
      <c r="J667" s="67">
        <f t="shared" si="104"/>
        <v>5256961.9800000042</v>
      </c>
      <c r="K667" s="70">
        <f t="shared" si="98"/>
        <v>0.18534289768551271</v>
      </c>
      <c r="L667" s="70">
        <f t="shared" si="97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99"/>
        <v>1.7857142857142857E-4</v>
      </c>
      <c r="Y667" s="70">
        <f t="shared" si="100"/>
        <v>2.7627087368139885E-2</v>
      </c>
      <c r="Z667" s="70">
        <f t="shared" si="101"/>
        <v>0</v>
      </c>
      <c r="AA667" s="70">
        <f t="shared" si="102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2"/>
        <v>33641327.280000001</v>
      </c>
      <c r="E668" s="67">
        <f t="shared" si="103"/>
        <v>28363439.039999999</v>
      </c>
      <c r="F668" s="67">
        <f t="shared" si="93"/>
        <v>20926.259999997914</v>
      </c>
      <c r="G668" s="70">
        <f t="shared" si="94"/>
        <v>6.2242743587589456E-4</v>
      </c>
      <c r="H668" s="70"/>
      <c r="I668" s="70"/>
      <c r="J668" s="67">
        <f t="shared" si="104"/>
        <v>5277888.2400000021</v>
      </c>
      <c r="K668" s="70">
        <f t="shared" si="98"/>
        <v>0.18608068762595287</v>
      </c>
      <c r="L668" s="70">
        <f t="shared" si="97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99"/>
        <v>1.7857142857142857E-4</v>
      </c>
      <c r="Y668" s="70">
        <f t="shared" si="100"/>
        <v>4.4385600730446602E-4</v>
      </c>
      <c r="Z668" s="70">
        <f t="shared" si="101"/>
        <v>0</v>
      </c>
      <c r="AA668" s="70">
        <f t="shared" si="102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2"/>
        <v>32566427.809999999</v>
      </c>
      <c r="E669" s="67">
        <f t="shared" si="103"/>
        <v>28363439.039999999</v>
      </c>
      <c r="F669" s="67">
        <f t="shared" si="93"/>
        <v>-1074899.4700000025</v>
      </c>
      <c r="G669" s="70">
        <f t="shared" si="94"/>
        <v>-3.1951755679956111E-2</v>
      </c>
      <c r="H669" s="70"/>
      <c r="I669" s="70"/>
      <c r="J669" s="67">
        <f t="shared" si="104"/>
        <v>4202988.7699999996</v>
      </c>
      <c r="K669" s="70">
        <f t="shared" si="98"/>
        <v>0.14818332727821404</v>
      </c>
      <c r="L669" s="70">
        <f t="shared" si="97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99"/>
        <v>1.7857142857142857E-4</v>
      </c>
      <c r="Y669" s="70">
        <f t="shared" si="100"/>
        <v>-3.2130327108527541E-2</v>
      </c>
      <c r="Z669" s="70">
        <f t="shared" si="101"/>
        <v>-3.2130327108527541E-2</v>
      </c>
      <c r="AA669" s="70">
        <f t="shared" si="102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2"/>
        <v>33228535.77</v>
      </c>
      <c r="E670" s="80">
        <f t="shared" si="103"/>
        <v>28363439.039999999</v>
      </c>
      <c r="F670" s="80">
        <f t="shared" si="93"/>
        <v>662107.96000000089</v>
      </c>
      <c r="G670" s="81">
        <f t="shared" si="94"/>
        <v>2.0330997426641031E-2</v>
      </c>
      <c r="H670" s="81"/>
      <c r="I670" s="81"/>
      <c r="J670" s="80">
        <f t="shared" si="104"/>
        <v>4865096.7300000004</v>
      </c>
      <c r="K670" s="81">
        <f t="shared" si="98"/>
        <v>0.17152703955041959</v>
      </c>
      <c r="L670" s="81">
        <f t="shared" si="97"/>
        <v>1.020330997426641</v>
      </c>
      <c r="M670" s="81">
        <f>PRODUCT($L$2:L670)-1</f>
        <v>-0.1977140055200467</v>
      </c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>
        <f t="shared" si="99"/>
        <v>1.7857142857142857E-4</v>
      </c>
      <c r="Y670" s="81">
        <f t="shared" si="100"/>
        <v>2.0152425998069604E-2</v>
      </c>
      <c r="Z670" s="81">
        <f t="shared" si="101"/>
        <v>0</v>
      </c>
      <c r="AA670" s="81">
        <f t="shared" si="102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2"/>
        <v>34582746.859999999</v>
      </c>
      <c r="E671" s="67">
        <f t="shared" si="103"/>
        <v>33228535.77</v>
      </c>
      <c r="F671" s="67">
        <f t="shared" si="93"/>
        <v>1354211.0899999999</v>
      </c>
      <c r="G671" s="70">
        <f t="shared" si="94"/>
        <v>4.07544617485864E-2</v>
      </c>
      <c r="H671" s="70"/>
      <c r="I671" s="70"/>
      <c r="J671" s="67">
        <f t="shared" si="104"/>
        <v>1354211.0899999999</v>
      </c>
      <c r="K671" s="70">
        <f>G671</f>
        <v>4.07544617485864E-2</v>
      </c>
      <c r="L671" s="70">
        <f t="shared" si="97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99"/>
        <v>1.7857142857142857E-4</v>
      </c>
      <c r="Y671" s="70">
        <f t="shared" si="100"/>
        <v>4.0575890320014969E-2</v>
      </c>
      <c r="Z671" s="70">
        <f t="shared" si="101"/>
        <v>0</v>
      </c>
      <c r="AA671" s="70">
        <f t="shared" si="102"/>
        <v>0</v>
      </c>
    </row>
    <row r="672" spans="1:29">
      <c r="A672" s="88">
        <v>44959</v>
      </c>
      <c r="B672" s="76">
        <v>35819082.82</v>
      </c>
      <c r="C672" s="6"/>
      <c r="D672" s="67">
        <f t="shared" si="92"/>
        <v>35819082.82</v>
      </c>
      <c r="E672" s="67">
        <f t="shared" si="103"/>
        <v>33228535.77</v>
      </c>
      <c r="F672" s="67">
        <f t="shared" si="93"/>
        <v>1236335.9600000009</v>
      </c>
      <c r="G672" s="70">
        <f t="shared" si="94"/>
        <v>3.57500798014979E-2</v>
      </c>
      <c r="H672" s="70"/>
      <c r="I672" s="70"/>
      <c r="J672" s="67">
        <f t="shared" si="104"/>
        <v>2590547.0500000007</v>
      </c>
      <c r="K672" s="70">
        <f t="shared" ref="K672:K690" si="105">(1+K671)*(1+G672)-1</f>
        <v>7.7961516809863296E-2</v>
      </c>
      <c r="L672" s="70">
        <f t="shared" si="97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99"/>
        <v>1.7857142857142857E-4</v>
      </c>
      <c r="Y672" s="70">
        <f t="shared" si="100"/>
        <v>3.5571508372926469E-2</v>
      </c>
      <c r="Z672" s="70">
        <f t="shared" si="101"/>
        <v>0</v>
      </c>
      <c r="AA672" s="70">
        <f t="shared" si="102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2"/>
        <v>34682592.420000002</v>
      </c>
      <c r="E673" s="67">
        <f t="shared" si="103"/>
        <v>33228535.77</v>
      </c>
      <c r="F673" s="67">
        <f t="shared" si="93"/>
        <v>-1136490.3999999985</v>
      </c>
      <c r="G673" s="70">
        <f t="shared" si="94"/>
        <v>-3.1728629281524368E-2</v>
      </c>
      <c r="H673" s="70"/>
      <c r="I673" s="70"/>
      <c r="J673" s="67">
        <f t="shared" si="104"/>
        <v>1454056.6500000022</v>
      </c>
      <c r="K673" s="70">
        <f t="shared" si="105"/>
        <v>4.3759275463253422E-2</v>
      </c>
      <c r="L673" s="70">
        <f t="shared" si="97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99"/>
        <v>1.7857142857142857E-4</v>
      </c>
      <c r="Y673" s="70">
        <f t="shared" si="100"/>
        <v>-3.1907200710095798E-2</v>
      </c>
      <c r="Z673" s="70">
        <f t="shared" si="101"/>
        <v>-3.1907200710095798E-2</v>
      </c>
      <c r="AA673" s="70">
        <f t="shared" si="102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2"/>
        <v>33954697.359999999</v>
      </c>
      <c r="E674" s="67">
        <f t="shared" si="103"/>
        <v>33228535.77</v>
      </c>
      <c r="F674" s="67">
        <f t="shared" si="93"/>
        <v>-727895.06000000238</v>
      </c>
      <c r="G674" s="70">
        <f t="shared" si="94"/>
        <v>-2.0987331373195035E-2</v>
      </c>
      <c r="H674" s="70"/>
      <c r="I674" s="70"/>
      <c r="J674" s="67">
        <f t="shared" si="104"/>
        <v>726161.58999999985</v>
      </c>
      <c r="K674" s="70">
        <f t="shared" si="105"/>
        <v>2.1853553675260207E-2</v>
      </c>
      <c r="L674" s="70">
        <f t="shared" si="97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99"/>
        <v>1.7857142857142857E-4</v>
      </c>
      <c r="Y674" s="70">
        <f t="shared" si="100"/>
        <v>-2.1165902801766463E-2</v>
      </c>
      <c r="Z674" s="70">
        <f t="shared" si="101"/>
        <v>-2.1165902801766463E-2</v>
      </c>
      <c r="AA674" s="70">
        <f t="shared" si="102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2"/>
        <v>34597484.479999997</v>
      </c>
      <c r="E675" s="67">
        <f t="shared" si="103"/>
        <v>33228535.77</v>
      </c>
      <c r="F675" s="67">
        <f t="shared" si="93"/>
        <v>642787.11999999732</v>
      </c>
      <c r="G675" s="70">
        <f t="shared" si="94"/>
        <v>1.8930727409669876E-2</v>
      </c>
      <c r="H675" s="70"/>
      <c r="I675" s="70"/>
      <c r="J675" s="67">
        <f t="shared" si="104"/>
        <v>1368948.7099999972</v>
      </c>
      <c r="K675" s="70">
        <f t="shared" si="105"/>
        <v>4.1197984752489036E-2</v>
      </c>
      <c r="L675" s="70">
        <f t="shared" si="97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99"/>
        <v>1.7857142857142857E-4</v>
      </c>
      <c r="Y675" s="70">
        <f t="shared" si="100"/>
        <v>1.8752155981098449E-2</v>
      </c>
      <c r="Z675" s="70">
        <f t="shared" si="101"/>
        <v>0</v>
      </c>
      <c r="AA675" s="70">
        <f t="shared" si="102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2"/>
        <v>34045238.390000001</v>
      </c>
      <c r="E676" s="67">
        <f t="shared" si="103"/>
        <v>33228535.77</v>
      </c>
      <c r="F676" s="67">
        <f t="shared" si="93"/>
        <v>-552246.08999999613</v>
      </c>
      <c r="G676" s="70">
        <f t="shared" si="94"/>
        <v>-1.5962030138903214E-2</v>
      </c>
      <c r="H676" s="70"/>
      <c r="I676" s="70"/>
      <c r="J676" s="67">
        <f t="shared" si="104"/>
        <v>816702.62000000104</v>
      </c>
      <c r="K676" s="70">
        <f t="shared" si="105"/>
        <v>2.4578351139304511E-2</v>
      </c>
      <c r="L676" s="70">
        <f t="shared" si="97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99"/>
        <v>1.7857142857142857E-4</v>
      </c>
      <c r="Y676" s="70">
        <f t="shared" si="100"/>
        <v>-1.6140601567474641E-2</v>
      </c>
      <c r="Z676" s="70">
        <f t="shared" si="101"/>
        <v>-1.6140601567474641E-2</v>
      </c>
      <c r="AA676" s="70">
        <f t="shared" si="102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2"/>
        <v>33468018.940000001</v>
      </c>
      <c r="E677" s="67">
        <f t="shared" si="103"/>
        <v>33228535.77</v>
      </c>
      <c r="F677" s="67">
        <f t="shared" si="93"/>
        <v>-577219.44999999925</v>
      </c>
      <c r="G677" s="70">
        <f t="shared" si="94"/>
        <v>-1.6954484012940384E-2</v>
      </c>
      <c r="H677" s="70"/>
      <c r="I677" s="70"/>
      <c r="J677" s="67">
        <f t="shared" si="104"/>
        <v>239483.17000000179</v>
      </c>
      <c r="K677" s="70">
        <f t="shared" si="105"/>
        <v>7.2071538649083333E-3</v>
      </c>
      <c r="L677" s="70">
        <f t="shared" si="97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99"/>
        <v>1.7857142857142857E-4</v>
      </c>
      <c r="Y677" s="70">
        <f t="shared" si="100"/>
        <v>-1.7133055441511811E-2</v>
      </c>
      <c r="Z677" s="70">
        <f t="shared" si="101"/>
        <v>-1.7133055441511811E-2</v>
      </c>
      <c r="AA677" s="70">
        <f t="shared" si="102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2"/>
        <v>33130639.780000001</v>
      </c>
      <c r="E678" s="67">
        <f t="shared" si="103"/>
        <v>33228535.77</v>
      </c>
      <c r="F678" s="67">
        <f t="shared" si="93"/>
        <v>-337379.16000000015</v>
      </c>
      <c r="G678" s="70">
        <f t="shared" si="94"/>
        <v>-1.0080643273354145E-2</v>
      </c>
      <c r="H678" s="70"/>
      <c r="I678" s="70"/>
      <c r="J678" s="67">
        <f t="shared" si="104"/>
        <v>-97895.989999998361</v>
      </c>
      <c r="K678" s="70">
        <f t="shared" si="105"/>
        <v>-2.9461421555740941E-3</v>
      </c>
      <c r="L678" s="70">
        <f t="shared" si="97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99"/>
        <v>1.7857142857142857E-4</v>
      </c>
      <c r="Y678" s="70">
        <f t="shared" si="100"/>
        <v>-1.0259214701925574E-2</v>
      </c>
      <c r="Z678" s="70">
        <f t="shared" si="101"/>
        <v>-1.0259214701925574E-2</v>
      </c>
      <c r="AA678" s="70">
        <f t="shared" si="102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2"/>
        <v>33730061.060000002</v>
      </c>
      <c r="E679" s="67">
        <f t="shared" si="103"/>
        <v>33228535.77</v>
      </c>
      <c r="F679" s="67">
        <f t="shared" si="93"/>
        <v>599421.28000000119</v>
      </c>
      <c r="G679" s="70">
        <f t="shared" si="94"/>
        <v>1.8092656344108823E-2</v>
      </c>
      <c r="H679" s="70"/>
      <c r="I679" s="70"/>
      <c r="J679" s="67">
        <f t="shared" si="104"/>
        <v>501525.29000000283</v>
      </c>
      <c r="K679" s="70">
        <f t="shared" si="105"/>
        <v>1.5093210650973132E-2</v>
      </c>
      <c r="L679" s="70">
        <f t="shared" si="97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99"/>
        <v>1.7857142857142857E-4</v>
      </c>
      <c r="Y679" s="70">
        <f t="shared" si="100"/>
        <v>1.7914084915537396E-2</v>
      </c>
      <c r="Z679" s="70">
        <f t="shared" si="101"/>
        <v>0</v>
      </c>
      <c r="AA679" s="70">
        <f t="shared" si="102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2"/>
        <v>34005955.280000001</v>
      </c>
      <c r="E680" s="67">
        <f t="shared" si="103"/>
        <v>33228535.77</v>
      </c>
      <c r="F680" s="67">
        <f t="shared" si="93"/>
        <v>275894.21999999881</v>
      </c>
      <c r="G680" s="70">
        <f t="shared" si="94"/>
        <v>8.1794758541714543E-3</v>
      </c>
      <c r="H680" s="70"/>
      <c r="I680" s="70"/>
      <c r="J680" s="67">
        <f t="shared" si="104"/>
        <v>777419.51000000164</v>
      </c>
      <c r="K680" s="70">
        <f t="shared" si="105"/>
        <v>2.3396141057226316E-2</v>
      </c>
      <c r="L680" s="70">
        <f t="shared" si="97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99"/>
        <v>1.7857142857142857E-4</v>
      </c>
      <c r="Y680" s="70">
        <f t="shared" si="100"/>
        <v>8.0009044256000254E-3</v>
      </c>
      <c r="Z680" s="70">
        <f t="shared" si="101"/>
        <v>0</v>
      </c>
      <c r="AA680" s="70">
        <f t="shared" si="102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2"/>
        <v>34090614.549999997</v>
      </c>
      <c r="E681" s="67">
        <f t="shared" si="103"/>
        <v>33228535.77</v>
      </c>
      <c r="F681" s="67">
        <f t="shared" si="93"/>
        <v>84659.269999995828</v>
      </c>
      <c r="G681" s="70">
        <f t="shared" si="94"/>
        <v>2.4895424728675884E-3</v>
      </c>
      <c r="H681" s="70"/>
      <c r="I681" s="70"/>
      <c r="J681" s="67">
        <f t="shared" si="104"/>
        <v>862078.77999999747</v>
      </c>
      <c r="K681" s="70">
        <f t="shared" si="105"/>
        <v>2.5943929216956985E-2</v>
      </c>
      <c r="L681" s="70">
        <f t="shared" si="97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99"/>
        <v>1.7857142857142857E-4</v>
      </c>
      <c r="Y681" s="70">
        <f t="shared" si="100"/>
        <v>2.3109710442961598E-3</v>
      </c>
      <c r="Z681" s="70">
        <f t="shared" si="101"/>
        <v>0</v>
      </c>
      <c r="AA681" s="70">
        <f t="shared" si="102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2"/>
        <v>32893981.469999999</v>
      </c>
      <c r="E682" s="67">
        <f t="shared" si="103"/>
        <v>33228535.77</v>
      </c>
      <c r="F682" s="67">
        <f t="shared" si="93"/>
        <v>-1196633.0799999982</v>
      </c>
      <c r="G682" s="70">
        <f t="shared" si="94"/>
        <v>-3.5101540285961151E-2</v>
      </c>
      <c r="H682" s="70"/>
      <c r="I682" s="70"/>
      <c r="J682" s="67">
        <f t="shared" si="104"/>
        <v>-334554.30000000075</v>
      </c>
      <c r="K682" s="70">
        <f t="shared" si="105"/>
        <v>-1.0068282945589258E-2</v>
      </c>
      <c r="L682" s="70">
        <f t="shared" si="97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99"/>
        <v>1.7857142857142857E-4</v>
      </c>
      <c r="Y682" s="70">
        <f t="shared" si="100"/>
        <v>-3.5280111714532582E-2</v>
      </c>
      <c r="Z682" s="70">
        <f t="shared" si="101"/>
        <v>-3.5280111714532582E-2</v>
      </c>
      <c r="AA682" s="70">
        <f t="shared" si="102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6">B683</f>
        <v>32320596.5</v>
      </c>
      <c r="E683" s="67">
        <f t="shared" si="103"/>
        <v>33228535.77</v>
      </c>
      <c r="F683" s="67">
        <f t="shared" si="93"/>
        <v>-573384.96999999881</v>
      </c>
      <c r="G683" s="70">
        <f t="shared" si="94"/>
        <v>-1.743130336845778E-2</v>
      </c>
      <c r="H683" s="70"/>
      <c r="I683" s="70"/>
      <c r="J683" s="67">
        <f t="shared" si="104"/>
        <v>-907939.26999999955</v>
      </c>
      <c r="K683" s="70">
        <f t="shared" si="105"/>
        <v>-2.7324083019622969E-2</v>
      </c>
      <c r="L683" s="70">
        <f t="shared" si="97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99"/>
        <v>1.7857142857142857E-4</v>
      </c>
      <c r="Y683" s="70">
        <f t="shared" si="100"/>
        <v>-1.7609874797029208E-2</v>
      </c>
      <c r="Z683" s="70">
        <f t="shared" si="101"/>
        <v>-1.7609874797029208E-2</v>
      </c>
      <c r="AA683" s="70">
        <f t="shared" si="102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6"/>
        <v>32304984.170000002</v>
      </c>
      <c r="E684" s="67">
        <f t="shared" si="103"/>
        <v>33228535.77</v>
      </c>
      <c r="F684" s="67">
        <f t="shared" ref="F684:F747" si="107">B684-C684-D683</f>
        <v>-15612.329999998212</v>
      </c>
      <c r="G684" s="70">
        <f t="shared" ref="G684:G747" si="108">F684/B683</f>
        <v>-4.8304584972614018E-4</v>
      </c>
      <c r="H684" s="70"/>
      <c r="I684" s="70"/>
      <c r="J684" s="67">
        <f t="shared" si="104"/>
        <v>-923551.59999999776</v>
      </c>
      <c r="K684" s="70">
        <f t="shared" si="105"/>
        <v>-2.7793930084448859E-2</v>
      </c>
      <c r="L684" s="70">
        <f t="shared" si="97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99"/>
        <v>1.7857142857142857E-4</v>
      </c>
      <c r="Y684" s="70">
        <f t="shared" si="100"/>
        <v>-6.6161727829756878E-4</v>
      </c>
      <c r="Z684" s="70">
        <f t="shared" si="101"/>
        <v>-6.6161727829756878E-4</v>
      </c>
      <c r="AA684" s="70">
        <f t="shared" si="102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6"/>
        <v>31138879.870000001</v>
      </c>
      <c r="E685" s="67">
        <f t="shared" si="103"/>
        <v>33228535.77</v>
      </c>
      <c r="F685" s="67">
        <f t="shared" si="107"/>
        <v>-1166104.3000000007</v>
      </c>
      <c r="G685" s="70">
        <f t="shared" si="108"/>
        <v>-3.6096730271203865E-2</v>
      </c>
      <c r="H685" s="70"/>
      <c r="I685" s="70"/>
      <c r="J685" s="67">
        <f t="shared" si="104"/>
        <v>-2089655.8999999985</v>
      </c>
      <c r="K685" s="70">
        <f t="shared" si="105"/>
        <v>-6.2887390358217665E-2</v>
      </c>
      <c r="L685" s="70">
        <f t="shared" si="97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99"/>
        <v>1.7857142857142857E-4</v>
      </c>
      <c r="Y685" s="70">
        <f t="shared" si="100"/>
        <v>-3.6275301699775296E-2</v>
      </c>
      <c r="Z685" s="70">
        <f t="shared" si="101"/>
        <v>-3.6275301699775296E-2</v>
      </c>
      <c r="AA685" s="70">
        <f t="shared" si="102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6"/>
        <v>31118413.120000001</v>
      </c>
      <c r="E686" s="67">
        <f t="shared" si="103"/>
        <v>33228535.77</v>
      </c>
      <c r="F686" s="67">
        <f t="shared" si="107"/>
        <v>-20466.75</v>
      </c>
      <c r="G686" s="70">
        <f t="shared" si="108"/>
        <v>-6.5727316093082053E-4</v>
      </c>
      <c r="H686" s="70"/>
      <c r="I686" s="70"/>
      <c r="J686" s="67">
        <f t="shared" si="104"/>
        <v>-2110122.6499999985</v>
      </c>
      <c r="K686" s="70">
        <f t="shared" si="105"/>
        <v>-6.3503329325305002E-2</v>
      </c>
      <c r="L686" s="70">
        <f t="shared" si="97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99"/>
        <v>1.7857142857142857E-4</v>
      </c>
      <c r="Y686" s="70">
        <f t="shared" si="100"/>
        <v>-8.3584458950224907E-4</v>
      </c>
      <c r="Z686" s="70">
        <f t="shared" si="101"/>
        <v>-8.3584458950224907E-4</v>
      </c>
      <c r="AA686" s="70">
        <f t="shared" si="102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6"/>
        <v>31490875.280000001</v>
      </c>
      <c r="E687" s="67">
        <f t="shared" si="103"/>
        <v>33228535.77</v>
      </c>
      <c r="F687" s="67">
        <f t="shared" si="107"/>
        <v>372462.16000000015</v>
      </c>
      <c r="G687" s="70">
        <f t="shared" si="108"/>
        <v>1.1969188742488169E-2</v>
      </c>
      <c r="H687" s="70"/>
      <c r="I687" s="70"/>
      <c r="J687" s="67">
        <f t="shared" si="104"/>
        <v>-1737660.4899999984</v>
      </c>
      <c r="K687" s="70">
        <f t="shared" si="105"/>
        <v>-5.2294223917287774E-2</v>
      </c>
      <c r="L687" s="70">
        <f t="shared" si="97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99"/>
        <v>1.7857142857142857E-4</v>
      </c>
      <c r="Y687" s="70">
        <f t="shared" si="100"/>
        <v>1.179061731391674E-2</v>
      </c>
      <c r="Z687" s="70">
        <f t="shared" si="101"/>
        <v>0</v>
      </c>
      <c r="AA687" s="70">
        <f t="shared" si="102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6"/>
        <v>30948688.559999999</v>
      </c>
      <c r="E688" s="67">
        <f t="shared" si="103"/>
        <v>33228535.77</v>
      </c>
      <c r="F688" s="67">
        <f t="shared" si="107"/>
        <v>-542186.72000000253</v>
      </c>
      <c r="G688" s="70">
        <f t="shared" si="108"/>
        <v>-1.7217264213178214E-2</v>
      </c>
      <c r="H688" s="70"/>
      <c r="I688" s="70"/>
      <c r="J688" s="67">
        <f t="shared" si="104"/>
        <v>-2279847.2100000009</v>
      </c>
      <c r="K688" s="70">
        <f t="shared" si="105"/>
        <v>-6.8611124660458933E-2</v>
      </c>
      <c r="L688" s="70">
        <f t="shared" si="97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99"/>
        <v>1.7857142857142857E-4</v>
      </c>
      <c r="Y688" s="70">
        <f t="shared" si="100"/>
        <v>-1.7395835641749641E-2</v>
      </c>
      <c r="Z688" s="70">
        <f t="shared" si="101"/>
        <v>-1.7395835641749641E-2</v>
      </c>
      <c r="AA688" s="70">
        <f t="shared" si="102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6"/>
        <v>31163950.370000001</v>
      </c>
      <c r="E689" s="67">
        <f t="shared" si="103"/>
        <v>33228535.77</v>
      </c>
      <c r="F689" s="67">
        <f t="shared" si="107"/>
        <v>215261.81000000238</v>
      </c>
      <c r="G689" s="70">
        <f t="shared" si="108"/>
        <v>6.9554420563790889E-3</v>
      </c>
      <c r="H689" s="70"/>
      <c r="I689" s="70"/>
      <c r="J689" s="67">
        <f t="shared" si="104"/>
        <v>-2064585.3999999985</v>
      </c>
      <c r="K689" s="70">
        <f t="shared" si="105"/>
        <v>-6.213290330607868E-2</v>
      </c>
      <c r="L689" s="70">
        <f t="shared" si="97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99"/>
        <v>1.7857142857142857E-4</v>
      </c>
      <c r="Y689" s="70">
        <f t="shared" si="100"/>
        <v>6.77687062780766E-3</v>
      </c>
      <c r="Z689" s="70">
        <f t="shared" si="101"/>
        <v>0</v>
      </c>
      <c r="AA689" s="70">
        <f t="shared" si="102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6"/>
        <v>31065306.52</v>
      </c>
      <c r="E690" s="80">
        <f t="shared" si="103"/>
        <v>33228535.77</v>
      </c>
      <c r="F690" s="80">
        <f t="shared" si="107"/>
        <v>-98643.85000000149</v>
      </c>
      <c r="G690" s="81">
        <f t="shared" si="108"/>
        <v>-3.1653191854316733E-3</v>
      </c>
      <c r="H690" s="81"/>
      <c r="I690" s="81"/>
      <c r="J690" s="80">
        <f t="shared" si="104"/>
        <v>-2163229.25</v>
      </c>
      <c r="K690" s="81">
        <f t="shared" si="105"/>
        <v>-6.5101552020629061E-2</v>
      </c>
      <c r="L690" s="81">
        <f t="shared" si="97"/>
        <v>0.99683468081456827</v>
      </c>
      <c r="M690" s="81">
        <f>PRODUCT($L$2:L690)-1</f>
        <v>-0.2499440689251059</v>
      </c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>
        <f t="shared" si="99"/>
        <v>1.7857142857142857E-4</v>
      </c>
      <c r="Y690" s="81">
        <f t="shared" si="100"/>
        <v>-3.3438906140031018E-3</v>
      </c>
      <c r="Z690" s="81">
        <f t="shared" si="101"/>
        <v>-3.3438906140031018E-3</v>
      </c>
      <c r="AA690" s="81">
        <f t="shared" si="102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6"/>
        <v>30754660.91</v>
      </c>
      <c r="E691" s="67">
        <f t="shared" si="103"/>
        <v>31065306.52</v>
      </c>
      <c r="F691" s="67">
        <f t="shared" si="107"/>
        <v>-310645.6099999994</v>
      </c>
      <c r="G691" s="70">
        <f t="shared" si="108"/>
        <v>-9.9997600152441513E-3</v>
      </c>
      <c r="H691" s="70"/>
      <c r="I691" s="70"/>
      <c r="J691" s="67">
        <f t="shared" si="104"/>
        <v>-310645.6099999994</v>
      </c>
      <c r="K691" s="70">
        <f>G691</f>
        <v>-9.9997600152441513E-3</v>
      </c>
      <c r="L691" s="70">
        <f t="shared" si="97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99"/>
        <v>1.7857142857142857E-4</v>
      </c>
      <c r="Y691" s="70">
        <f t="shared" si="100"/>
        <v>-1.017833144381558E-2</v>
      </c>
      <c r="Z691" s="70">
        <f t="shared" si="101"/>
        <v>-1.017833144381558E-2</v>
      </c>
      <c r="AA691" s="70">
        <f t="shared" si="102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6"/>
        <v>31136137.59</v>
      </c>
      <c r="E692" s="67">
        <f t="shared" si="103"/>
        <v>31065306.52</v>
      </c>
      <c r="F692" s="67">
        <f t="shared" si="107"/>
        <v>381476.6799999997</v>
      </c>
      <c r="G692" s="70">
        <f t="shared" si="108"/>
        <v>1.2403865583702827E-2</v>
      </c>
      <c r="H692" s="70"/>
      <c r="I692" s="70"/>
      <c r="J692" s="67">
        <f t="shared" si="104"/>
        <v>70831.070000000298</v>
      </c>
      <c r="K692" s="70">
        <f t="shared" ref="K692:K713" si="109">(1+K691)*(1+G692)-1</f>
        <v>2.2800698893603588E-3</v>
      </c>
      <c r="L692" s="70">
        <f t="shared" si="97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99"/>
        <v>1.7857142857142857E-4</v>
      </c>
      <c r="Y692" s="70">
        <f t="shared" si="100"/>
        <v>1.2225294155131398E-2</v>
      </c>
      <c r="Z692" s="70">
        <f t="shared" si="101"/>
        <v>0</v>
      </c>
      <c r="AA692" s="70">
        <f t="shared" si="102"/>
        <v>0</v>
      </c>
    </row>
    <row r="693" spans="1:30">
      <c r="A693" s="88">
        <v>44988</v>
      </c>
      <c r="B693" s="76">
        <v>32045726.23</v>
      </c>
      <c r="C693" s="6"/>
      <c r="D693" s="67">
        <f t="shared" si="106"/>
        <v>32045726.23</v>
      </c>
      <c r="E693" s="67">
        <f t="shared" si="103"/>
        <v>31065306.52</v>
      </c>
      <c r="F693" s="67">
        <f t="shared" si="107"/>
        <v>909588.6400000006</v>
      </c>
      <c r="G693" s="70">
        <f t="shared" si="108"/>
        <v>2.9213277895204746E-2</v>
      </c>
      <c r="H693" s="70"/>
      <c r="I693" s="70"/>
      <c r="J693" s="67">
        <f t="shared" si="104"/>
        <v>980419.71000000089</v>
      </c>
      <c r="K693" s="70">
        <f t="shared" si="109"/>
        <v>3.1559956099863617E-2</v>
      </c>
      <c r="L693" s="70">
        <f t="shared" si="97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99"/>
        <v>1.7857142857142857E-4</v>
      </c>
      <c r="Y693" s="70">
        <f t="shared" si="100"/>
        <v>2.9034706466633319E-2</v>
      </c>
      <c r="Z693" s="70">
        <f t="shared" si="101"/>
        <v>0</v>
      </c>
      <c r="AA693" s="70">
        <f t="shared" si="102"/>
        <v>0</v>
      </c>
    </row>
    <row r="694" spans="1:30">
      <c r="A694" s="88">
        <v>44991</v>
      </c>
      <c r="B694" s="76">
        <v>32132100.52</v>
      </c>
      <c r="C694" s="6"/>
      <c r="D694" s="67">
        <f t="shared" si="106"/>
        <v>32132100.52</v>
      </c>
      <c r="E694" s="67">
        <f t="shared" si="103"/>
        <v>31065306.52</v>
      </c>
      <c r="F694" s="67">
        <f t="shared" si="107"/>
        <v>86374.289999999106</v>
      </c>
      <c r="G694" s="70">
        <f t="shared" si="108"/>
        <v>2.695345063490518E-3</v>
      </c>
      <c r="H694" s="70"/>
      <c r="I694" s="70"/>
      <c r="J694" s="67">
        <f t="shared" si="104"/>
        <v>1066794</v>
      </c>
      <c r="K694" s="70">
        <f t="shared" si="109"/>
        <v>3.4340366135231948E-2</v>
      </c>
      <c r="L694" s="70">
        <f t="shared" si="97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99"/>
        <v>1.7857142857142857E-4</v>
      </c>
      <c r="Y694" s="70">
        <f t="shared" si="100"/>
        <v>2.5167736349190895E-3</v>
      </c>
      <c r="Z694" s="70">
        <f t="shared" si="101"/>
        <v>0</v>
      </c>
      <c r="AA694" s="70">
        <f t="shared" si="102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6"/>
        <v>31467975.460000001</v>
      </c>
      <c r="E695" s="67">
        <f t="shared" si="103"/>
        <v>31065306.52</v>
      </c>
      <c r="F695" s="67">
        <f t="shared" si="107"/>
        <v>-664125.05999999866</v>
      </c>
      <c r="G695" s="70">
        <f t="shared" si="108"/>
        <v>-2.0668585285503728E-2</v>
      </c>
      <c r="H695" s="70"/>
      <c r="I695" s="70"/>
      <c r="J695" s="67">
        <f t="shared" si="104"/>
        <v>402668.94000000134</v>
      </c>
      <c r="K695" s="70">
        <f t="shared" si="109"/>
        <v>1.2962014063526706E-2</v>
      </c>
      <c r="L695" s="70">
        <f t="shared" si="97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99"/>
        <v>1.7857142857142857E-4</v>
      </c>
      <c r="Y695" s="70">
        <f t="shared" si="100"/>
        <v>-2.0847156714075155E-2</v>
      </c>
      <c r="Z695" s="70">
        <f t="shared" si="101"/>
        <v>-2.0847156714075155E-2</v>
      </c>
      <c r="AA695" s="70">
        <f t="shared" si="102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6"/>
        <v>31492549.07</v>
      </c>
      <c r="E696" s="67">
        <f t="shared" si="103"/>
        <v>31065306.52</v>
      </c>
      <c r="F696" s="67">
        <f t="shared" si="107"/>
        <v>24573.609999999404</v>
      </c>
      <c r="G696" s="70">
        <f t="shared" si="108"/>
        <v>7.8090851542819283E-4</v>
      </c>
      <c r="H696" s="70"/>
      <c r="I696" s="70"/>
      <c r="J696" s="67">
        <f t="shared" si="104"/>
        <v>427242.55000000075</v>
      </c>
      <c r="K696" s="70">
        <f t="shared" si="109"/>
        <v>1.3753044726114272E-2</v>
      </c>
      <c r="L696" s="70">
        <f t="shared" si="97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99"/>
        <v>1.7857142857142857E-4</v>
      </c>
      <c r="Y696" s="70">
        <f t="shared" si="100"/>
        <v>6.0233708685676428E-4</v>
      </c>
      <c r="Z696" s="70">
        <f t="shared" si="101"/>
        <v>0</v>
      </c>
      <c r="AA696" s="70">
        <f t="shared" si="102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6"/>
        <v>30710204.129999999</v>
      </c>
      <c r="E697" s="67">
        <f t="shared" si="103"/>
        <v>31065306.52</v>
      </c>
      <c r="F697" s="67">
        <f t="shared" si="107"/>
        <v>-782344.94000000134</v>
      </c>
      <c r="G697" s="70">
        <f t="shared" si="108"/>
        <v>-2.4842223418023283E-2</v>
      </c>
      <c r="H697" s="70"/>
      <c r="I697" s="70"/>
      <c r="J697" s="67">
        <f t="shared" si="104"/>
        <v>-355102.3900000006</v>
      </c>
      <c r="K697" s="70">
        <f t="shared" si="109"/>
        <v>-1.1430834901673292E-2</v>
      </c>
      <c r="L697" s="70">
        <f t="shared" si="97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99"/>
        <v>1.7857142857142857E-4</v>
      </c>
      <c r="Y697" s="70">
        <f t="shared" si="100"/>
        <v>-2.502079484659471E-2</v>
      </c>
      <c r="Z697" s="70">
        <f t="shared" si="101"/>
        <v>-2.502079484659471E-2</v>
      </c>
      <c r="AA697" s="70">
        <f t="shared" si="102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6"/>
        <v>30284840.649999999</v>
      </c>
      <c r="E698" s="67">
        <f t="shared" si="103"/>
        <v>31065306.52</v>
      </c>
      <c r="F698" s="67">
        <f t="shared" si="107"/>
        <v>-425363.48000000045</v>
      </c>
      <c r="G698" s="70">
        <f t="shared" si="108"/>
        <v>-1.3850884162130135E-2</v>
      </c>
      <c r="H698" s="70"/>
      <c r="I698" s="70"/>
      <c r="J698" s="67">
        <f t="shared" si="104"/>
        <v>-780465.87000000104</v>
      </c>
      <c r="K698" s="70">
        <f t="shared" si="109"/>
        <v>-2.5123391893703828E-2</v>
      </c>
      <c r="L698" s="70">
        <f t="shared" si="97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99"/>
        <v>1.7857142857142857E-4</v>
      </c>
      <c r="Y698" s="70">
        <f t="shared" si="100"/>
        <v>-1.4029455590701564E-2</v>
      </c>
      <c r="Z698" s="70">
        <f t="shared" si="101"/>
        <v>-1.4029455590701564E-2</v>
      </c>
      <c r="AA698" s="70">
        <f t="shared" si="102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6"/>
        <v>30312689.32</v>
      </c>
      <c r="E699" s="67">
        <f t="shared" si="103"/>
        <v>31065306.52</v>
      </c>
      <c r="F699" s="67">
        <f t="shared" si="107"/>
        <v>27848.670000001788</v>
      </c>
      <c r="G699" s="70">
        <f t="shared" si="108"/>
        <v>9.1955808260136217E-4</v>
      </c>
      <c r="H699" s="70"/>
      <c r="I699" s="70"/>
      <c r="J699" s="67">
        <f t="shared" si="104"/>
        <v>-752617.19999999925</v>
      </c>
      <c r="K699" s="70">
        <f t="shared" si="109"/>
        <v>-2.4226936229180707E-2</v>
      </c>
      <c r="L699" s="70">
        <f t="shared" si="97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99"/>
        <v>1.7857142857142857E-4</v>
      </c>
      <c r="Y699" s="70">
        <f t="shared" si="100"/>
        <v>7.4098665402993363E-4</v>
      </c>
      <c r="Z699" s="70">
        <f t="shared" si="101"/>
        <v>0</v>
      </c>
      <c r="AA699" s="70">
        <f t="shared" si="102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6"/>
        <v>31058844.579999998</v>
      </c>
      <c r="E700" s="67">
        <f t="shared" si="103"/>
        <v>31065306.52</v>
      </c>
      <c r="F700" s="67">
        <f t="shared" si="107"/>
        <v>746155.25999999791</v>
      </c>
      <c r="G700" s="70">
        <f t="shared" si="108"/>
        <v>2.4615277520351597E-2</v>
      </c>
      <c r="H700" s="70"/>
      <c r="I700" s="70"/>
      <c r="J700" s="67">
        <f t="shared" si="104"/>
        <v>-6461.9400000013411</v>
      </c>
      <c r="K700" s="70">
        <f t="shared" si="109"/>
        <v>-2.0801146757820632E-4</v>
      </c>
      <c r="L700" s="70">
        <f t="shared" si="97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99"/>
        <v>1.7857142857142857E-4</v>
      </c>
      <c r="Y700" s="70">
        <f t="shared" si="100"/>
        <v>2.4436706091780169E-2</v>
      </c>
      <c r="Z700" s="70">
        <f t="shared" si="101"/>
        <v>0</v>
      </c>
      <c r="AA700" s="70">
        <f t="shared" si="102"/>
        <v>0</v>
      </c>
    </row>
    <row r="701" spans="1:30">
      <c r="A701" s="88">
        <v>45000</v>
      </c>
      <c r="B701" s="76">
        <v>31103104.41</v>
      </c>
      <c r="C701" s="6"/>
      <c r="D701" s="67">
        <f t="shared" si="106"/>
        <v>31103104.41</v>
      </c>
      <c r="E701" s="67">
        <f t="shared" si="103"/>
        <v>31065306.52</v>
      </c>
      <c r="F701" s="67">
        <f t="shared" si="107"/>
        <v>44259.830000001937</v>
      </c>
      <c r="G701" s="70">
        <f t="shared" si="108"/>
        <v>1.4250314394664433E-3</v>
      </c>
      <c r="H701" s="70"/>
      <c r="I701" s="70"/>
      <c r="J701" s="67">
        <f t="shared" si="104"/>
        <v>37797.890000000596</v>
      </c>
      <c r="K701" s="70">
        <f t="shared" si="109"/>
        <v>1.2167235490070372E-3</v>
      </c>
      <c r="L701" s="70">
        <f t="shared" si="97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99"/>
        <v>1.7857142857142857E-4</v>
      </c>
      <c r="Y701" s="70">
        <f t="shared" si="100"/>
        <v>1.2464600108950147E-3</v>
      </c>
      <c r="Z701" s="70">
        <f t="shared" si="101"/>
        <v>0</v>
      </c>
      <c r="AA701" s="70">
        <f t="shared" si="102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6"/>
        <v>32182814.579999998</v>
      </c>
      <c r="E702" s="67">
        <f t="shared" si="103"/>
        <v>31065306.52</v>
      </c>
      <c r="F702" s="67">
        <f t="shared" si="107"/>
        <v>1079710.1699999981</v>
      </c>
      <c r="G702" s="70">
        <f t="shared" si="108"/>
        <v>3.4713903659496413E-2</v>
      </c>
      <c r="H702" s="70"/>
      <c r="I702" s="70"/>
      <c r="J702" s="67">
        <f t="shared" si="104"/>
        <v>1117508.0599999987</v>
      </c>
      <c r="K702" s="70">
        <f t="shared" si="109"/>
        <v>3.5972864432563867E-2</v>
      </c>
      <c r="L702" s="70">
        <f t="shared" si="97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99"/>
        <v>1.7857142857142857E-4</v>
      </c>
      <c r="Y702" s="70">
        <f t="shared" si="100"/>
        <v>3.4535332230924982E-2</v>
      </c>
      <c r="Z702" s="70">
        <f t="shared" si="101"/>
        <v>0</v>
      </c>
      <c r="AA702" s="70">
        <f t="shared" si="102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6"/>
        <v>31891607.329999998</v>
      </c>
      <c r="E703" s="67">
        <f t="shared" si="103"/>
        <v>31065306.52</v>
      </c>
      <c r="F703" s="67">
        <f t="shared" si="107"/>
        <v>-291207.25</v>
      </c>
      <c r="G703" s="70">
        <f t="shared" si="108"/>
        <v>-9.0485326967322081E-3</v>
      </c>
      <c r="H703" s="70"/>
      <c r="I703" s="70"/>
      <c r="J703" s="67">
        <f t="shared" si="104"/>
        <v>826300.80999999866</v>
      </c>
      <c r="K703" s="70">
        <f t="shared" si="109"/>
        <v>2.6598830095818426E-2</v>
      </c>
      <c r="L703" s="70">
        <f t="shared" si="97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99"/>
        <v>1.7857142857142857E-4</v>
      </c>
      <c r="Y703" s="70">
        <f t="shared" si="100"/>
        <v>-9.2271041253036371E-3</v>
      </c>
      <c r="Z703" s="70">
        <f t="shared" si="101"/>
        <v>-9.2271041253036371E-3</v>
      </c>
      <c r="AA703" s="70">
        <f t="shared" si="102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6"/>
        <v>31976228.32</v>
      </c>
      <c r="E704" s="67">
        <f t="shared" si="103"/>
        <v>31065306.52</v>
      </c>
      <c r="F704" s="67">
        <f t="shared" si="107"/>
        <v>84620.990000002086</v>
      </c>
      <c r="G704" s="70">
        <f t="shared" si="108"/>
        <v>2.6533937008687636E-3</v>
      </c>
      <c r="H704" s="70"/>
      <c r="I704" s="70"/>
      <c r="J704" s="67">
        <f t="shared" si="104"/>
        <v>910921.80000000075</v>
      </c>
      <c r="K704" s="70">
        <f t="shared" si="109"/>
        <v>2.932280096491402E-2</v>
      </c>
      <c r="L704" s="70">
        <f t="shared" si="97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99"/>
        <v>1.7857142857142857E-4</v>
      </c>
      <c r="Y704" s="70">
        <f t="shared" si="100"/>
        <v>2.4748222722973351E-3</v>
      </c>
      <c r="Z704" s="70">
        <f t="shared" si="101"/>
        <v>0</v>
      </c>
      <c r="AA704" s="70">
        <f t="shared" si="102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6"/>
        <v>32024429.82</v>
      </c>
      <c r="E705" s="67">
        <f t="shared" si="103"/>
        <v>31065306.52</v>
      </c>
      <c r="F705" s="67">
        <f t="shared" si="107"/>
        <v>48201.5</v>
      </c>
      <c r="G705" s="70">
        <f t="shared" si="108"/>
        <v>1.5074166820935435E-3</v>
      </c>
      <c r="H705" s="70"/>
      <c r="I705" s="70"/>
      <c r="J705" s="67">
        <f t="shared" si="104"/>
        <v>959123.30000000075</v>
      </c>
      <c r="K705" s="70">
        <f t="shared" si="109"/>
        <v>3.0874419326347935E-2</v>
      </c>
      <c r="L705" s="70">
        <f t="shared" si="97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99"/>
        <v>1.7857142857142857E-4</v>
      </c>
      <c r="Y705" s="70">
        <f t="shared" si="100"/>
        <v>1.3288452535221149E-3</v>
      </c>
      <c r="Z705" s="70">
        <f t="shared" si="101"/>
        <v>0</v>
      </c>
      <c r="AA705" s="70">
        <f t="shared" si="102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6"/>
        <v>31685502.600000001</v>
      </c>
      <c r="E706" s="67">
        <f t="shared" si="103"/>
        <v>31065306.52</v>
      </c>
      <c r="F706" s="67">
        <f t="shared" si="107"/>
        <v>-338927.21999999881</v>
      </c>
      <c r="G706" s="70">
        <f t="shared" si="108"/>
        <v>-1.0583395923206442E-2</v>
      </c>
      <c r="H706" s="70"/>
      <c r="I706" s="70"/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1+G706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99"/>
        <v>1.7857142857142857E-4</v>
      </c>
      <c r="Y706" s="70">
        <f t="shared" si="100"/>
        <v>-1.0761967351777871E-2</v>
      </c>
      <c r="Z706" s="70">
        <f t="shared" si="101"/>
        <v>-1.0761967351777871E-2</v>
      </c>
      <c r="AA706" s="70">
        <f t="shared" si="102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6"/>
        <v>32446787.420000002</v>
      </c>
      <c r="E707" s="67">
        <f t="shared" si="103"/>
        <v>31065306.52</v>
      </c>
      <c r="F707" s="67">
        <f t="shared" si="107"/>
        <v>761284.8200000003</v>
      </c>
      <c r="G707" s="70">
        <f t="shared" si="108"/>
        <v>2.4026281975404115E-2</v>
      </c>
      <c r="H707" s="70"/>
      <c r="I707" s="70"/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99"/>
        <v>1.7857142857142857E-4</v>
      </c>
      <c r="Y707" s="70">
        <f t="shared" si="100"/>
        <v>2.3847710546832688E-2</v>
      </c>
      <c r="Z707" s="70">
        <f t="shared" si="101"/>
        <v>0</v>
      </c>
      <c r="AA707" s="70">
        <f t="shared" si="102"/>
        <v>0</v>
      </c>
    </row>
    <row r="708" spans="1:27">
      <c r="A708" s="88">
        <v>45009</v>
      </c>
      <c r="B708" s="77">
        <v>32808667.73</v>
      </c>
      <c r="C708" s="6"/>
      <c r="D708" s="67">
        <f t="shared" si="106"/>
        <v>32808667.73</v>
      </c>
      <c r="E708" s="67">
        <f t="shared" si="103"/>
        <v>31065306.52</v>
      </c>
      <c r="F708" s="67">
        <f t="shared" si="107"/>
        <v>361880.30999999866</v>
      </c>
      <c r="G708" s="70">
        <f t="shared" si="108"/>
        <v>1.1153039754466966E-2</v>
      </c>
      <c r="H708" s="70"/>
      <c r="I708" s="70"/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99"/>
        <v>1.7857142857142857E-4</v>
      </c>
      <c r="Y708" s="70">
        <f t="shared" si="100"/>
        <v>1.0974468325895537E-2</v>
      </c>
      <c r="Z708" s="70">
        <f t="shared" si="101"/>
        <v>0</v>
      </c>
      <c r="AA708" s="70">
        <f t="shared" si="102"/>
        <v>0</v>
      </c>
    </row>
    <row r="709" spans="1:27">
      <c r="A709" s="88">
        <v>45012</v>
      </c>
      <c r="B709" s="76">
        <v>32065636.18</v>
      </c>
      <c r="C709" s="6"/>
      <c r="D709" s="67">
        <f t="shared" si="106"/>
        <v>32065636.18</v>
      </c>
      <c r="E709" s="67">
        <f t="shared" si="103"/>
        <v>31065306.52</v>
      </c>
      <c r="F709" s="67">
        <f t="shared" si="107"/>
        <v>-743031.55000000075</v>
      </c>
      <c r="G709" s="70">
        <f t="shared" si="108"/>
        <v>-2.2647416107072774E-2</v>
      </c>
      <c r="H709" s="70"/>
      <c r="I709" s="70"/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99"/>
        <v>1.7857142857142857E-4</v>
      </c>
      <c r="Y709" s="70">
        <f t="shared" si="100"/>
        <v>-2.2825987535644202E-2</v>
      </c>
      <c r="Z709" s="70">
        <f t="shared" si="101"/>
        <v>-2.2825987535644202E-2</v>
      </c>
      <c r="AA709" s="70">
        <f t="shared" si="102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6"/>
        <v>31759735.469999999</v>
      </c>
      <c r="E710" s="67">
        <f t="shared" si="103"/>
        <v>31065306.52</v>
      </c>
      <c r="F710" s="67">
        <f t="shared" si="107"/>
        <v>-305900.71000000089</v>
      </c>
      <c r="G710" s="70">
        <f t="shared" si="108"/>
        <v>-9.5398297505414065E-3</v>
      </c>
      <c r="H710" s="70"/>
      <c r="I710" s="70"/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99"/>
        <v>1.7857142857142857E-4</v>
      </c>
      <c r="Y710" s="70">
        <f t="shared" si="100"/>
        <v>-9.7184011791128355E-3</v>
      </c>
      <c r="Z710" s="70">
        <f t="shared" si="101"/>
        <v>-9.7184011791128355E-3</v>
      </c>
      <c r="AA710" s="70">
        <f t="shared" si="102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6"/>
        <v>32329844.32</v>
      </c>
      <c r="E711" s="67">
        <f t="shared" si="103"/>
        <v>31065306.52</v>
      </c>
      <c r="F711" s="67">
        <f t="shared" si="107"/>
        <v>570108.85000000149</v>
      </c>
      <c r="G711" s="70">
        <f t="shared" si="108"/>
        <v>1.7950680053318513E-2</v>
      </c>
      <c r="H711" s="70"/>
      <c r="I711" s="70"/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99"/>
        <v>1.7857142857142857E-4</v>
      </c>
      <c r="Y711" s="70">
        <f t="shared" si="100"/>
        <v>1.7772108624747086E-2</v>
      </c>
      <c r="Z711" s="70">
        <f t="shared" si="101"/>
        <v>0</v>
      </c>
      <c r="AA711" s="70">
        <f t="shared" si="102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6"/>
        <v>32687407.739999998</v>
      </c>
      <c r="E712" s="67">
        <f t="shared" si="103"/>
        <v>31065306.52</v>
      </c>
      <c r="F712" s="67">
        <f t="shared" si="107"/>
        <v>357563.41999999806</v>
      </c>
      <c r="G712" s="70">
        <f t="shared" si="108"/>
        <v>1.1059855917054353E-2</v>
      </c>
      <c r="H712" s="70"/>
      <c r="I712" s="70"/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99"/>
        <v>1.7857142857142857E-4</v>
      </c>
      <c r="Y712" s="70">
        <f t="shared" si="100"/>
        <v>1.0881284488482924E-2</v>
      </c>
      <c r="Z712" s="70">
        <f t="shared" si="101"/>
        <v>0</v>
      </c>
      <c r="AA712" s="70">
        <f t="shared" si="102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6"/>
        <v>33494639.600000001</v>
      </c>
      <c r="E713" s="80">
        <f t="shared" si="103"/>
        <v>31065306.52</v>
      </c>
      <c r="F713" s="80">
        <f t="shared" si="107"/>
        <v>807231.86000000313</v>
      </c>
      <c r="G713" s="81">
        <f t="shared" si="108"/>
        <v>2.46954994541272E-2</v>
      </c>
      <c r="H713" s="81"/>
      <c r="I713" s="81"/>
      <c r="J713" s="80">
        <f t="shared" si="104"/>
        <v>2429333.0800000019</v>
      </c>
      <c r="K713" s="81">
        <f t="shared" si="109"/>
        <v>7.8200840491819967E-2</v>
      </c>
      <c r="L713" s="81">
        <f t="shared" si="110"/>
        <v>1.0246954994541273</v>
      </c>
      <c r="M713" s="81">
        <f>PRODUCT($L$2:L713)-1</f>
        <v>-0.19128906469917462</v>
      </c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>
        <f t="shared" si="99"/>
        <v>1.7857142857142857E-4</v>
      </c>
      <c r="Y713" s="81">
        <f t="shared" si="100"/>
        <v>2.4516928025555773E-2</v>
      </c>
      <c r="Z713" s="81">
        <f t="shared" si="101"/>
        <v>0</v>
      </c>
      <c r="AA713" s="81">
        <f t="shared" si="102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6"/>
        <v>33714348.659999996</v>
      </c>
      <c r="E714" s="67">
        <f t="shared" si="103"/>
        <v>33494639.600000001</v>
      </c>
      <c r="F714" s="67">
        <f t="shared" si="107"/>
        <v>219709.05999999493</v>
      </c>
      <c r="G714" s="70">
        <f t="shared" si="108"/>
        <v>6.5595290059486094E-3</v>
      </c>
      <c r="H714" s="70"/>
      <c r="I714" s="70"/>
      <c r="J714" s="67">
        <f t="shared" si="104"/>
        <v>219709.05999999493</v>
      </c>
      <c r="K714" s="70">
        <f>G714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99"/>
        <v>1.7857142857142857E-4</v>
      </c>
      <c r="Y714" s="70">
        <f t="shared" si="100"/>
        <v>6.3809575773771804E-3</v>
      </c>
      <c r="Z714" s="70">
        <f t="shared" si="101"/>
        <v>0</v>
      </c>
      <c r="AA714" s="70">
        <f t="shared" si="102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6"/>
        <v>33813155.119999997</v>
      </c>
      <c r="E715" s="67">
        <f t="shared" si="103"/>
        <v>33494639.600000001</v>
      </c>
      <c r="F715" s="67">
        <f t="shared" si="107"/>
        <v>98806.460000000894</v>
      </c>
      <c r="G715" s="70">
        <f t="shared" si="108"/>
        <v>2.9306946130396015E-3</v>
      </c>
      <c r="H715" s="70"/>
      <c r="I715" s="70"/>
      <c r="J715" s="67">
        <f t="shared" si="104"/>
        <v>318515.51999999583</v>
      </c>
      <c r="K715" s="70">
        <f t="shared" ref="K715:K733" si="111">(1+K714)*(1+G715)-1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2">4.5%/252</f>
        <v>1.7857142857142857E-4</v>
      </c>
      <c r="Y715" s="70">
        <f t="shared" ref="Y715:Y778" si="113">G715-X715</f>
        <v>2.7521231844681729E-3</v>
      </c>
      <c r="Z715" s="70">
        <f t="shared" ref="Z715:Z778" si="114">IF(Y715&lt;0,Y715,0)</f>
        <v>0</v>
      </c>
      <c r="AA715" s="70">
        <f t="shared" ref="AA715:AA778" si="115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6"/>
        <v>33742888.710000001</v>
      </c>
      <c r="E716" s="67">
        <f t="shared" si="103"/>
        <v>33494639.600000001</v>
      </c>
      <c r="F716" s="67">
        <f t="shared" si="107"/>
        <v>-70266.409999996424</v>
      </c>
      <c r="G716" s="70">
        <f t="shared" si="108"/>
        <v>-2.078079071610648E-3</v>
      </c>
      <c r="H716" s="70"/>
      <c r="I716" s="70"/>
      <c r="J716" s="67">
        <f t="shared" si="104"/>
        <v>248249.1099999994</v>
      </c>
      <c r="K716" s="70">
        <f t="shared" si="111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2"/>
        <v>1.7857142857142857E-4</v>
      </c>
      <c r="Y716" s="70">
        <f t="shared" si="113"/>
        <v>-2.2566505001820765E-3</v>
      </c>
      <c r="Z716" s="70">
        <f t="shared" si="114"/>
        <v>-2.2566505001820765E-3</v>
      </c>
      <c r="AA716" s="70">
        <f t="shared" si="115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6"/>
        <v>34097411.109999999</v>
      </c>
      <c r="E717" s="67">
        <f t="shared" si="103"/>
        <v>33494639.600000001</v>
      </c>
      <c r="F717" s="67">
        <f t="shared" si="107"/>
        <v>354522.39999999851</v>
      </c>
      <c r="G717" s="70">
        <f t="shared" si="108"/>
        <v>1.0506581195430749E-2</v>
      </c>
      <c r="H717" s="70"/>
      <c r="I717" s="70"/>
      <c r="J717" s="67">
        <f t="shared" si="104"/>
        <v>602771.50999999791</v>
      </c>
      <c r="K717" s="70">
        <f t="shared" si="111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2"/>
        <v>1.7857142857142857E-4</v>
      </c>
      <c r="Y717" s="70">
        <f t="shared" si="113"/>
        <v>1.032800976685932E-2</v>
      </c>
      <c r="Z717" s="70">
        <f t="shared" si="114"/>
        <v>0</v>
      </c>
      <c r="AA717" s="70">
        <f t="shared" si="115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6"/>
        <v>33973450.829999998</v>
      </c>
      <c r="E718" s="67">
        <f t="shared" si="103"/>
        <v>33494639.600000001</v>
      </c>
      <c r="F718" s="67">
        <f t="shared" si="107"/>
        <v>-123960.28000000119</v>
      </c>
      <c r="G718" s="70">
        <f t="shared" si="108"/>
        <v>-3.6354748341479348E-3</v>
      </c>
      <c r="H718" s="70"/>
      <c r="I718" s="70"/>
      <c r="J718" s="67">
        <f t="shared" si="104"/>
        <v>478811.22999999672</v>
      </c>
      <c r="K718" s="70">
        <f t="shared" si="111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2"/>
        <v>1.7857142857142857E-4</v>
      </c>
      <c r="Y718" s="70">
        <f t="shared" si="113"/>
        <v>-3.8140462627193634E-3</v>
      </c>
      <c r="Z718" s="70">
        <f t="shared" si="114"/>
        <v>-3.8140462627193634E-3</v>
      </c>
      <c r="AA718" s="70">
        <f t="shared" si="115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6"/>
        <v>33827710.270000003</v>
      </c>
      <c r="E719" s="67">
        <f t="shared" si="103"/>
        <v>33494639.600000001</v>
      </c>
      <c r="F719" s="67">
        <f t="shared" si="107"/>
        <v>-145740.55999999493</v>
      </c>
      <c r="G719" s="70">
        <f t="shared" si="108"/>
        <v>-4.2898368119643543E-3</v>
      </c>
      <c r="H719" s="70"/>
      <c r="I719" s="70"/>
      <c r="J719" s="67">
        <f t="shared" si="104"/>
        <v>333070.67000000179</v>
      </c>
      <c r="K719" s="70">
        <f t="shared" si="111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2"/>
        <v>1.7857142857142857E-4</v>
      </c>
      <c r="Y719" s="70">
        <f t="shared" si="113"/>
        <v>-4.4684082405357832E-3</v>
      </c>
      <c r="Z719" s="70">
        <f t="shared" si="114"/>
        <v>-4.4684082405357832E-3</v>
      </c>
      <c r="AA719" s="70">
        <f t="shared" si="115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6"/>
        <v>33429616.559999999</v>
      </c>
      <c r="E720" s="67">
        <f t="shared" si="103"/>
        <v>33494639.600000001</v>
      </c>
      <c r="F720" s="67">
        <f t="shared" si="107"/>
        <v>-398093.71000000462</v>
      </c>
      <c r="G720" s="70">
        <f t="shared" si="108"/>
        <v>-1.1768272425847657E-2</v>
      </c>
      <c r="H720" s="70"/>
      <c r="I720" s="70"/>
      <c r="J720" s="67">
        <f t="shared" si="104"/>
        <v>-65023.040000002831</v>
      </c>
      <c r="K720" s="70">
        <f t="shared" si="111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2"/>
        <v>1.7857142857142857E-4</v>
      </c>
      <c r="Y720" s="70">
        <f t="shared" si="113"/>
        <v>-1.1946843854419086E-2</v>
      </c>
      <c r="Z720" s="70">
        <f t="shared" si="114"/>
        <v>-1.1946843854419086E-2</v>
      </c>
      <c r="AA720" s="70">
        <f t="shared" si="115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6"/>
        <v>33094894.449999999</v>
      </c>
      <c r="E721" s="67">
        <f t="shared" si="103"/>
        <v>33494639.600000001</v>
      </c>
      <c r="F721" s="67">
        <f t="shared" si="107"/>
        <v>-334722.1099999994</v>
      </c>
      <c r="G721" s="70">
        <f t="shared" si="108"/>
        <v>-1.0012741528136733E-2</v>
      </c>
      <c r="H721" s="70"/>
      <c r="I721" s="70"/>
      <c r="J721" s="67">
        <f t="shared" si="104"/>
        <v>-399745.15000000224</v>
      </c>
      <c r="K721" s="70">
        <f t="shared" si="111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2"/>
        <v>1.7857142857142857E-4</v>
      </c>
      <c r="Y721" s="70">
        <f t="shared" si="113"/>
        <v>-1.0191312956708162E-2</v>
      </c>
      <c r="Z721" s="70">
        <f t="shared" si="114"/>
        <v>-1.0191312956708162E-2</v>
      </c>
      <c r="AA721" s="70">
        <f t="shared" si="115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6"/>
        <v>33923510.170000002</v>
      </c>
      <c r="E722" s="67">
        <f t="shared" si="103"/>
        <v>33494639.600000001</v>
      </c>
      <c r="F722" s="67">
        <f t="shared" si="107"/>
        <v>828615.72000000253</v>
      </c>
      <c r="G722" s="70">
        <f t="shared" si="108"/>
        <v>2.5037569503413314E-2</v>
      </c>
      <c r="H722" s="70"/>
      <c r="I722" s="70"/>
      <c r="J722" s="67">
        <f t="shared" si="104"/>
        <v>428870.5700000003</v>
      </c>
      <c r="K722" s="70">
        <f t="shared" si="111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2"/>
        <v>1.7857142857142857E-4</v>
      </c>
      <c r="Y722" s="70">
        <f t="shared" si="113"/>
        <v>2.4858998074841886E-2</v>
      </c>
      <c r="Z722" s="70">
        <f t="shared" si="114"/>
        <v>0</v>
      </c>
      <c r="AA722" s="70">
        <f t="shared" si="115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6"/>
        <v>33246349.300000001</v>
      </c>
      <c r="E723" s="67">
        <f t="shared" si="103"/>
        <v>33494639.600000001</v>
      </c>
      <c r="F723" s="67">
        <f t="shared" si="107"/>
        <v>-677160.87000000104</v>
      </c>
      <c r="G723" s="70">
        <f t="shared" si="108"/>
        <v>-1.9961403363229879E-2</v>
      </c>
      <c r="H723" s="70"/>
      <c r="I723" s="70"/>
      <c r="J723" s="67">
        <f t="shared" si="104"/>
        <v>-248290.30000000075</v>
      </c>
      <c r="K723" s="70">
        <f t="shared" si="111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2"/>
        <v>1.7857142857142857E-4</v>
      </c>
      <c r="Y723" s="70">
        <f t="shared" si="113"/>
        <v>-2.0139974791801307E-2</v>
      </c>
      <c r="Z723" s="70">
        <f t="shared" si="114"/>
        <v>-2.0139974791801307E-2</v>
      </c>
      <c r="AA723" s="70">
        <f t="shared" si="115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6"/>
        <v>32821361.620000001</v>
      </c>
      <c r="E724" s="67">
        <f t="shared" si="103"/>
        <v>33494639.600000001</v>
      </c>
      <c r="F724" s="67">
        <f t="shared" si="107"/>
        <v>-424987.6799999997</v>
      </c>
      <c r="G724" s="70">
        <f t="shared" si="108"/>
        <v>-1.2782987875303341E-2</v>
      </c>
      <c r="H724" s="70"/>
      <c r="I724" s="70"/>
      <c r="J724" s="67">
        <f t="shared" si="104"/>
        <v>-673277.98000000045</v>
      </c>
      <c r="K724" s="70">
        <f t="shared" si="111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2"/>
        <v>1.7857142857142857E-4</v>
      </c>
      <c r="Y724" s="70">
        <f t="shared" si="113"/>
        <v>-1.296155930387477E-2</v>
      </c>
      <c r="Z724" s="70">
        <f t="shared" si="114"/>
        <v>-1.296155930387477E-2</v>
      </c>
      <c r="AA724" s="70">
        <f t="shared" si="115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6"/>
        <v>32946413.510000002</v>
      </c>
      <c r="E725" s="67">
        <f t="shared" si="103"/>
        <v>33494639.600000001</v>
      </c>
      <c r="F725" s="67">
        <f t="shared" si="107"/>
        <v>125051.8900000006</v>
      </c>
      <c r="G725" s="70">
        <f t="shared" si="108"/>
        <v>3.8100762377816485E-3</v>
      </c>
      <c r="H725" s="70"/>
      <c r="I725" s="70"/>
      <c r="J725" s="67">
        <f t="shared" si="104"/>
        <v>-548226.08999999985</v>
      </c>
      <c r="K725" s="70">
        <f t="shared" si="111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2"/>
        <v>1.7857142857142857E-4</v>
      </c>
      <c r="Y725" s="70">
        <f t="shared" si="113"/>
        <v>3.6315048092102199E-3</v>
      </c>
      <c r="Z725" s="70">
        <f t="shared" si="114"/>
        <v>0</v>
      </c>
      <c r="AA725" s="70">
        <f t="shared" si="115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6"/>
        <v>32642517.800000001</v>
      </c>
      <c r="E726" s="67">
        <f t="shared" ref="E726:E789" si="116">IF(MONTH(A726)=MONTH(A725),E725,D725)</f>
        <v>33494639.600000001</v>
      </c>
      <c r="F726" s="67">
        <f t="shared" si="107"/>
        <v>-303895.71000000089</v>
      </c>
      <c r="G726" s="70">
        <f t="shared" si="108"/>
        <v>-9.2239390459833044E-3</v>
      </c>
      <c r="H726" s="70"/>
      <c r="I726" s="70"/>
      <c r="J726" s="67">
        <f t="shared" ref="J726:J789" si="117">IF(MONTH(A726)=MONTH(A725),J725+F726,F726)</f>
        <v>-852121.80000000075</v>
      </c>
      <c r="K726" s="70">
        <f t="shared" si="111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2"/>
        <v>1.7857142857142857E-4</v>
      </c>
      <c r="Y726" s="70">
        <f t="shared" si="113"/>
        <v>-9.4025104745547334E-3</v>
      </c>
      <c r="Z726" s="70">
        <f t="shared" si="114"/>
        <v>-9.4025104745547334E-3</v>
      </c>
      <c r="AA726" s="70">
        <f t="shared" si="115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6"/>
        <v>32681566.48</v>
      </c>
      <c r="E727" s="67">
        <f t="shared" si="116"/>
        <v>33494639.600000001</v>
      </c>
      <c r="F727" s="67">
        <f t="shared" si="107"/>
        <v>39048.679999999702</v>
      </c>
      <c r="G727" s="70">
        <f t="shared" si="108"/>
        <v>1.1962520856770339E-3</v>
      </c>
      <c r="H727" s="70"/>
      <c r="I727" s="70"/>
      <c r="J727" s="67">
        <f t="shared" si="117"/>
        <v>-813073.12000000104</v>
      </c>
      <c r="K727" s="70">
        <f t="shared" si="111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2"/>
        <v>1.7857142857142857E-4</v>
      </c>
      <c r="Y727" s="70">
        <f t="shared" si="113"/>
        <v>1.0176806571056054E-3</v>
      </c>
      <c r="Z727" s="70">
        <f t="shared" si="114"/>
        <v>0</v>
      </c>
      <c r="AA727" s="70">
        <f t="shared" si="115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6"/>
        <v>32519473.73</v>
      </c>
      <c r="E728" s="67">
        <f t="shared" si="116"/>
        <v>33494639.600000001</v>
      </c>
      <c r="F728" s="67">
        <f t="shared" si="107"/>
        <v>-62092.75</v>
      </c>
      <c r="G728" s="70">
        <f t="shared" si="108"/>
        <v>-1.8999318786631185E-3</v>
      </c>
      <c r="H728" s="70"/>
      <c r="I728" s="70"/>
      <c r="J728" s="67">
        <f t="shared" si="117"/>
        <v>-875165.87000000104</v>
      </c>
      <c r="K728" s="70">
        <f t="shared" si="111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2"/>
        <v>1.7857142857142857E-4</v>
      </c>
      <c r="Y728" s="70">
        <f t="shared" si="113"/>
        <v>-2.078503307234547E-3</v>
      </c>
      <c r="Z728" s="70">
        <f t="shared" si="114"/>
        <v>-2.078503307234547E-3</v>
      </c>
      <c r="AA728" s="70">
        <f t="shared" si="115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6"/>
        <v>32806350.289999999</v>
      </c>
      <c r="E729" s="67">
        <f t="shared" si="116"/>
        <v>33494639.600000001</v>
      </c>
      <c r="F729" s="67">
        <f t="shared" si="107"/>
        <v>286876.55999999866</v>
      </c>
      <c r="G729" s="70">
        <f t="shared" si="108"/>
        <v>8.8216851964411751E-3</v>
      </c>
      <c r="H729" s="70"/>
      <c r="I729" s="70"/>
      <c r="J729" s="67">
        <f t="shared" si="117"/>
        <v>-588289.31000000238</v>
      </c>
      <c r="K729" s="70">
        <f t="shared" si="111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2"/>
        <v>1.7857142857142857E-4</v>
      </c>
      <c r="Y729" s="70">
        <f t="shared" si="113"/>
        <v>8.6431137678697461E-3</v>
      </c>
      <c r="Z729" s="70">
        <f t="shared" si="114"/>
        <v>0</v>
      </c>
      <c r="AA729" s="70">
        <f t="shared" si="115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6"/>
        <v>32577017.649999999</v>
      </c>
      <c r="E730" s="67">
        <f t="shared" si="116"/>
        <v>33494639.600000001</v>
      </c>
      <c r="F730" s="67">
        <f t="shared" si="107"/>
        <v>-229332.6400000006</v>
      </c>
      <c r="G730" s="70">
        <f t="shared" si="108"/>
        <v>-6.990495375826843E-3</v>
      </c>
      <c r="H730" s="70"/>
      <c r="I730" s="70"/>
      <c r="J730" s="67">
        <f t="shared" si="117"/>
        <v>-817621.95000000298</v>
      </c>
      <c r="K730" s="70">
        <f t="shared" si="111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2"/>
        <v>1.7857142857142857E-4</v>
      </c>
      <c r="Y730" s="70">
        <f t="shared" si="113"/>
        <v>-7.1690668043982719E-3</v>
      </c>
      <c r="Z730" s="70">
        <f t="shared" si="114"/>
        <v>-7.1690668043982719E-3</v>
      </c>
      <c r="AA730" s="70">
        <f t="shared" si="115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6"/>
        <v>32183010.960000001</v>
      </c>
      <c r="E731" s="67">
        <f t="shared" si="116"/>
        <v>33494639.600000001</v>
      </c>
      <c r="F731" s="67">
        <f t="shared" si="107"/>
        <v>-394006.68999999762</v>
      </c>
      <c r="G731" s="70">
        <f t="shared" si="108"/>
        <v>-1.2094621252108313E-2</v>
      </c>
      <c r="H731" s="70"/>
      <c r="I731" s="70"/>
      <c r="J731" s="67">
        <f t="shared" si="117"/>
        <v>-1211628.6400000006</v>
      </c>
      <c r="K731" s="70">
        <f t="shared" si="111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2"/>
        <v>1.7857142857142857E-4</v>
      </c>
      <c r="Y731" s="70">
        <f t="shared" si="113"/>
        <v>-1.2273192680679742E-2</v>
      </c>
      <c r="Z731" s="70">
        <f t="shared" si="114"/>
        <v>-1.2273192680679742E-2</v>
      </c>
      <c r="AA731" s="70">
        <f t="shared" si="115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6"/>
        <v>33298391.190000001</v>
      </c>
      <c r="E732" s="67">
        <f t="shared" si="116"/>
        <v>33494639.600000001</v>
      </c>
      <c r="F732" s="67">
        <f t="shared" si="107"/>
        <v>1115380.2300000004</v>
      </c>
      <c r="G732" s="70">
        <f t="shared" si="108"/>
        <v>3.4657423178530357E-2</v>
      </c>
      <c r="H732" s="70"/>
      <c r="I732" s="70"/>
      <c r="J732" s="67">
        <f t="shared" si="117"/>
        <v>-96248.410000000149</v>
      </c>
      <c r="K732" s="70">
        <f t="shared" si="111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2"/>
        <v>1.7857142857142857E-4</v>
      </c>
      <c r="Y732" s="70">
        <f t="shared" si="113"/>
        <v>3.4478851749958926E-2</v>
      </c>
      <c r="Z732" s="70">
        <f t="shared" si="114"/>
        <v>0</v>
      </c>
      <c r="AA732" s="70">
        <f t="shared" si="115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6"/>
        <v>34143767.259999998</v>
      </c>
      <c r="E733" s="80">
        <f t="shared" si="116"/>
        <v>33494639.600000001</v>
      </c>
      <c r="F733" s="80">
        <f t="shared" si="107"/>
        <v>845376.06999999657</v>
      </c>
      <c r="G733" s="81">
        <f t="shared" si="108"/>
        <v>2.5387895324320519E-2</v>
      </c>
      <c r="H733" s="81"/>
      <c r="I733" s="81"/>
      <c r="J733" s="80">
        <f t="shared" si="117"/>
        <v>749127.65999999642</v>
      </c>
      <c r="K733" s="81">
        <f t="shared" si="111"/>
        <v>2.2514721829802298E-2</v>
      </c>
      <c r="L733" s="81">
        <f t="shared" si="110"/>
        <v>1.0253878953243205</v>
      </c>
      <c r="M733" s="81">
        <f>PRODUCT($L$2:L733)-1</f>
        <v>-0.17308116295015707</v>
      </c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>
        <f t="shared" si="112"/>
        <v>1.7857142857142857E-4</v>
      </c>
      <c r="Y733" s="81">
        <f t="shared" si="113"/>
        <v>2.5209323895749092E-2</v>
      </c>
      <c r="Z733" s="81">
        <f t="shared" si="114"/>
        <v>0</v>
      </c>
      <c r="AA733" s="81">
        <f t="shared" si="115"/>
        <v>0</v>
      </c>
    </row>
    <row r="734" spans="1:30">
      <c r="A734" s="88">
        <v>45047</v>
      </c>
      <c r="B734" s="76">
        <v>33131323.48</v>
      </c>
      <c r="C734" s="6"/>
      <c r="D734" s="67">
        <f t="shared" si="106"/>
        <v>33131323.48</v>
      </c>
      <c r="E734" s="67">
        <f t="shared" si="116"/>
        <v>34143767.259999998</v>
      </c>
      <c r="F734" s="67">
        <f t="shared" si="107"/>
        <v>-1012443.7799999975</v>
      </c>
      <c r="G734" s="70">
        <f t="shared" si="108"/>
        <v>-2.965237468643633E-2</v>
      </c>
      <c r="H734" s="70"/>
      <c r="I734" s="70"/>
      <c r="J734" s="67">
        <f t="shared" si="117"/>
        <v>-1012443.7799999975</v>
      </c>
      <c r="K734" s="70">
        <f>G734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2"/>
        <v>1.7857142857142857E-4</v>
      </c>
      <c r="Y734" s="70">
        <f t="shared" si="113"/>
        <v>-2.9830946115007757E-2</v>
      </c>
      <c r="Z734" s="70">
        <f t="shared" si="114"/>
        <v>-2.9830946115007757E-2</v>
      </c>
      <c r="AA734" s="70">
        <f t="shared" si="115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6"/>
        <v>33588655.18</v>
      </c>
      <c r="E735" s="67">
        <f t="shared" si="116"/>
        <v>34143767.259999998</v>
      </c>
      <c r="F735" s="67">
        <f t="shared" si="107"/>
        <v>457331.69999999925</v>
      </c>
      <c r="G735" s="70">
        <f t="shared" si="108"/>
        <v>1.3803604926198356E-2</v>
      </c>
      <c r="H735" s="70"/>
      <c r="I735" s="70"/>
      <c r="J735" s="67">
        <f t="shared" si="117"/>
        <v>-555112.07999999821</v>
      </c>
      <c r="K735" s="70">
        <f t="shared" ref="K735:K756" si="118">(1+K734)*(1+G735)-1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2"/>
        <v>1.7857142857142857E-4</v>
      </c>
      <c r="Y735" s="70">
        <f t="shared" si="113"/>
        <v>1.3625033497626927E-2</v>
      </c>
      <c r="Z735" s="70">
        <f t="shared" si="114"/>
        <v>0</v>
      </c>
      <c r="AA735" s="70">
        <f t="shared" si="115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6"/>
        <v>33292679.780000001</v>
      </c>
      <c r="E736" s="67">
        <f t="shared" si="116"/>
        <v>34143767.259999998</v>
      </c>
      <c r="F736" s="67">
        <f t="shared" si="107"/>
        <v>-295975.39999999851</v>
      </c>
      <c r="G736" s="70">
        <f t="shared" si="108"/>
        <v>-8.8117669020650116E-3</v>
      </c>
      <c r="H736" s="70"/>
      <c r="I736" s="70"/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2"/>
        <v>1.7857142857142857E-4</v>
      </c>
      <c r="Y736" s="70">
        <f t="shared" si="113"/>
        <v>-8.9903383306364406E-3</v>
      </c>
      <c r="Z736" s="70">
        <f t="shared" si="114"/>
        <v>-8.9903383306364406E-3</v>
      </c>
      <c r="AA736" s="70">
        <f t="shared" si="115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6"/>
        <v>33227342.780000001</v>
      </c>
      <c r="E737" s="67">
        <f t="shared" si="116"/>
        <v>34143767.259999998</v>
      </c>
      <c r="F737" s="67">
        <f t="shared" si="107"/>
        <v>-65337</v>
      </c>
      <c r="G737" s="70">
        <f t="shared" si="108"/>
        <v>-1.9625034821994132E-3</v>
      </c>
      <c r="H737" s="70"/>
      <c r="I737" s="70"/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2"/>
        <v>1.7857142857142857E-4</v>
      </c>
      <c r="Y737" s="70">
        <f t="shared" si="113"/>
        <v>-2.1410749107708417E-3</v>
      </c>
      <c r="Z737" s="70">
        <f t="shared" si="114"/>
        <v>-2.1410749107708417E-3</v>
      </c>
      <c r="AA737" s="70">
        <f t="shared" si="115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6"/>
        <v>33755899.340000004</v>
      </c>
      <c r="E738" s="67">
        <f t="shared" si="116"/>
        <v>34143767.259999998</v>
      </c>
      <c r="F738" s="67">
        <f t="shared" si="107"/>
        <v>528556.56000000238</v>
      </c>
      <c r="G738" s="70">
        <f t="shared" si="108"/>
        <v>1.5907277434118142E-2</v>
      </c>
      <c r="H738" s="70"/>
      <c r="I738" s="70"/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2"/>
        <v>1.7857142857142857E-4</v>
      </c>
      <c r="Y738" s="70">
        <f t="shared" si="113"/>
        <v>1.5728706005546714E-2</v>
      </c>
      <c r="Z738" s="70">
        <f t="shared" si="114"/>
        <v>0</v>
      </c>
      <c r="AA738" s="70">
        <f t="shared" si="115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6"/>
        <v>33384255.199999999</v>
      </c>
      <c r="E739" s="67">
        <f t="shared" si="116"/>
        <v>34143767.259999998</v>
      </c>
      <c r="F739" s="67">
        <f t="shared" si="107"/>
        <v>-371644.14000000432</v>
      </c>
      <c r="G739" s="70">
        <f t="shared" si="108"/>
        <v>-1.1009753769457837E-2</v>
      </c>
      <c r="H739" s="70"/>
      <c r="I739" s="70"/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2"/>
        <v>1.7857142857142857E-4</v>
      </c>
      <c r="Y739" s="70">
        <f t="shared" si="113"/>
        <v>-1.1188325198029266E-2</v>
      </c>
      <c r="Z739" s="70">
        <f t="shared" si="114"/>
        <v>-1.1188325198029266E-2</v>
      </c>
      <c r="AA739" s="70">
        <f t="shared" si="115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6"/>
        <v>33226088</v>
      </c>
      <c r="E740" s="67">
        <f t="shared" si="116"/>
        <v>34143767.259999998</v>
      </c>
      <c r="F740" s="67">
        <f t="shared" si="107"/>
        <v>-158167.19999999925</v>
      </c>
      <c r="G740" s="70">
        <f t="shared" si="108"/>
        <v>-4.7377783045463679E-3</v>
      </c>
      <c r="H740" s="70"/>
      <c r="I740" s="70"/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2"/>
        <v>1.7857142857142857E-4</v>
      </c>
      <c r="Y740" s="70">
        <f t="shared" si="113"/>
        <v>-4.9163497331177969E-3</v>
      </c>
      <c r="Z740" s="70">
        <f t="shared" si="114"/>
        <v>-4.9163497331177969E-3</v>
      </c>
      <c r="AA740" s="70">
        <f t="shared" si="115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6"/>
        <v>34113522.530000001</v>
      </c>
      <c r="E741" s="67">
        <f t="shared" si="116"/>
        <v>34143767.259999998</v>
      </c>
      <c r="F741" s="67">
        <f t="shared" si="107"/>
        <v>887434.53000000119</v>
      </c>
      <c r="G741" s="70">
        <f t="shared" si="108"/>
        <v>2.6708968266140786E-2</v>
      </c>
      <c r="H741" s="70"/>
      <c r="I741" s="70"/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2"/>
        <v>1.7857142857142857E-4</v>
      </c>
      <c r="Y741" s="70">
        <f t="shared" si="113"/>
        <v>2.6530396837569359E-2</v>
      </c>
      <c r="Z741" s="70">
        <f t="shared" si="114"/>
        <v>0</v>
      </c>
      <c r="AA741" s="70">
        <f t="shared" si="115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6"/>
        <v>34417392.829999998</v>
      </c>
      <c r="E742" s="67">
        <f t="shared" si="116"/>
        <v>34143767.259999998</v>
      </c>
      <c r="F742" s="67">
        <f t="shared" si="107"/>
        <v>303870.29999999702</v>
      </c>
      <c r="G742" s="70">
        <f t="shared" si="108"/>
        <v>8.9076201301923133E-3</v>
      </c>
      <c r="H742" s="70"/>
      <c r="I742" s="70"/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2"/>
        <v>1.7857142857142857E-4</v>
      </c>
      <c r="Y742" s="70">
        <f t="shared" si="113"/>
        <v>8.7290487016208843E-3</v>
      </c>
      <c r="Z742" s="70">
        <f t="shared" si="114"/>
        <v>0</v>
      </c>
      <c r="AA742" s="70">
        <f t="shared" si="115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6"/>
        <v>33988185.240000002</v>
      </c>
      <c r="E743" s="67">
        <f t="shared" si="116"/>
        <v>34143767.259999998</v>
      </c>
      <c r="F743" s="67">
        <f t="shared" si="107"/>
        <v>-429207.58999999613</v>
      </c>
      <c r="G743" s="70">
        <f t="shared" si="108"/>
        <v>-1.2470659591213323E-2</v>
      </c>
      <c r="H743" s="70"/>
      <c r="I743" s="70"/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2"/>
        <v>1.7857142857142857E-4</v>
      </c>
      <c r="Y743" s="70">
        <f t="shared" si="113"/>
        <v>-1.2649231019784752E-2</v>
      </c>
      <c r="Z743" s="70">
        <f t="shared" si="114"/>
        <v>-1.2649231019784752E-2</v>
      </c>
      <c r="AA743" s="70">
        <f t="shared" si="115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6"/>
        <v>33886497.609999999</v>
      </c>
      <c r="E744" s="67">
        <f t="shared" si="116"/>
        <v>34143767.259999998</v>
      </c>
      <c r="F744" s="67">
        <f t="shared" si="107"/>
        <v>-101687.63000000268</v>
      </c>
      <c r="G744" s="70">
        <f t="shared" si="108"/>
        <v>-2.9918522946123225E-3</v>
      </c>
      <c r="H744" s="70"/>
      <c r="I744" s="70"/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2"/>
        <v>1.7857142857142857E-4</v>
      </c>
      <c r="Y744" s="70">
        <f t="shared" si="113"/>
        <v>-3.1704237231837511E-3</v>
      </c>
      <c r="Z744" s="70">
        <f t="shared" si="114"/>
        <v>-3.1704237231837511E-3</v>
      </c>
      <c r="AA744" s="70">
        <f t="shared" si="115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6"/>
        <v>33551875.059999999</v>
      </c>
      <c r="E745" s="67">
        <f t="shared" si="116"/>
        <v>34143767.259999998</v>
      </c>
      <c r="F745" s="67">
        <f t="shared" si="107"/>
        <v>-334622.55000000075</v>
      </c>
      <c r="G745" s="70">
        <f t="shared" si="108"/>
        <v>-9.8748048220023976E-3</v>
      </c>
      <c r="H745" s="70"/>
      <c r="I745" s="70"/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2"/>
        <v>1.7857142857142857E-4</v>
      </c>
      <c r="Y745" s="70">
        <f t="shared" si="113"/>
        <v>-1.0053376250573827E-2</v>
      </c>
      <c r="Z745" s="70">
        <f t="shared" si="114"/>
        <v>-1.0053376250573827E-2</v>
      </c>
      <c r="AA745" s="70">
        <f t="shared" si="115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6"/>
        <v>34158670.280000001</v>
      </c>
      <c r="E746" s="67">
        <f t="shared" si="116"/>
        <v>34143767.259999998</v>
      </c>
      <c r="F746" s="67">
        <f t="shared" si="107"/>
        <v>606795.22000000253</v>
      </c>
      <c r="G746" s="70">
        <f t="shared" si="108"/>
        <v>1.8085284918201605E-2</v>
      </c>
      <c r="H746" s="70"/>
      <c r="I746" s="70"/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2"/>
        <v>1.7857142857142857E-4</v>
      </c>
      <c r="Y746" s="70">
        <f t="shared" si="113"/>
        <v>1.7906713489630178E-2</v>
      </c>
      <c r="Z746" s="70">
        <f t="shared" si="114"/>
        <v>0</v>
      </c>
      <c r="AA746" s="70">
        <f t="shared" si="115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19">B747</f>
        <v>34955551.969999999</v>
      </c>
      <c r="E747" s="67">
        <f t="shared" si="116"/>
        <v>34143767.259999998</v>
      </c>
      <c r="F747" s="67">
        <f t="shared" si="107"/>
        <v>796881.68999999762</v>
      </c>
      <c r="G747" s="70">
        <f t="shared" si="108"/>
        <v>2.3328826428778586E-2</v>
      </c>
      <c r="H747" s="70"/>
      <c r="I747" s="70"/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2"/>
        <v>1.7857142857142857E-4</v>
      </c>
      <c r="Y747" s="70">
        <f t="shared" si="113"/>
        <v>2.3150255000207159E-2</v>
      </c>
      <c r="Z747" s="70">
        <f t="shared" si="114"/>
        <v>0</v>
      </c>
      <c r="AA747" s="70">
        <f t="shared" si="115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19"/>
        <v>34712067.920000002</v>
      </c>
      <c r="E748" s="67">
        <f t="shared" si="116"/>
        <v>34143767.259999998</v>
      </c>
      <c r="F748" s="67">
        <f t="shared" ref="F748:F811" si="120">B748-C748-D747</f>
        <v>-243484.04999999702</v>
      </c>
      <c r="G748" s="70">
        <f t="shared" ref="G748:G811" si="121">F748/B747</f>
        <v>-6.9655329776787105E-3</v>
      </c>
      <c r="H748" s="70"/>
      <c r="I748" s="70"/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2"/>
        <v>1.7857142857142857E-4</v>
      </c>
      <c r="Y748" s="70">
        <f t="shared" si="113"/>
        <v>-7.1441044062501395E-3</v>
      </c>
      <c r="Z748" s="70">
        <f t="shared" si="114"/>
        <v>-7.1441044062501395E-3</v>
      </c>
      <c r="AA748" s="70">
        <f t="shared" si="115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19"/>
        <v>34463875.909999996</v>
      </c>
      <c r="E749" s="67">
        <f t="shared" si="116"/>
        <v>34143767.259999998</v>
      </c>
      <c r="F749" s="67">
        <f t="shared" si="120"/>
        <v>-248192.01000000536</v>
      </c>
      <c r="G749" s="70">
        <f t="shared" si="121"/>
        <v>-7.1500208680164781E-3</v>
      </c>
      <c r="H749" s="70"/>
      <c r="I749" s="70"/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2"/>
        <v>1.7857142857142857E-4</v>
      </c>
      <c r="Y749" s="70">
        <f t="shared" si="113"/>
        <v>-7.3285922965879071E-3</v>
      </c>
      <c r="Z749" s="70">
        <f t="shared" si="114"/>
        <v>-7.3285922965879071E-3</v>
      </c>
      <c r="AA749" s="70">
        <f t="shared" si="115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19"/>
        <v>33429267.199999999</v>
      </c>
      <c r="E750" s="67">
        <f t="shared" si="116"/>
        <v>34143767.259999998</v>
      </c>
      <c r="F750" s="67">
        <f t="shared" si="120"/>
        <v>-1034608.7099999972</v>
      </c>
      <c r="G750" s="70">
        <f t="shared" si="121"/>
        <v>-3.0020091550404995E-2</v>
      </c>
      <c r="H750" s="70"/>
      <c r="I750" s="70"/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2"/>
        <v>1.7857142857142857E-4</v>
      </c>
      <c r="Y750" s="70">
        <f t="shared" si="113"/>
        <v>-3.0198662978976422E-2</v>
      </c>
      <c r="Z750" s="70">
        <f t="shared" si="114"/>
        <v>-3.0198662978976422E-2</v>
      </c>
      <c r="AA750" s="70">
        <f t="shared" si="115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19"/>
        <v>32887303.170000002</v>
      </c>
      <c r="E751" s="67">
        <f t="shared" si="116"/>
        <v>34143767.259999998</v>
      </c>
      <c r="F751" s="67">
        <f t="shared" si="120"/>
        <v>-541964.02999999747</v>
      </c>
      <c r="G751" s="70">
        <f t="shared" si="121"/>
        <v>-1.6212261751283541E-2</v>
      </c>
      <c r="H751" s="70"/>
      <c r="I751" s="70"/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2"/>
        <v>1.7857142857142857E-4</v>
      </c>
      <c r="Y751" s="70">
        <f t="shared" si="113"/>
        <v>-1.6390833179854968E-2</v>
      </c>
      <c r="Z751" s="70">
        <f t="shared" si="114"/>
        <v>-1.6390833179854968E-2</v>
      </c>
      <c r="AA751" s="70">
        <f t="shared" si="115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19"/>
        <v>33966539.68</v>
      </c>
      <c r="E752" s="67">
        <f t="shared" si="116"/>
        <v>34143767.259999998</v>
      </c>
      <c r="F752" s="67">
        <f t="shared" si="120"/>
        <v>1079236.5099999979</v>
      </c>
      <c r="G752" s="70">
        <f t="shared" si="121"/>
        <v>3.2816205829381717E-2</v>
      </c>
      <c r="H752" s="70"/>
      <c r="I752" s="70"/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2"/>
        <v>1.7857142857142857E-4</v>
      </c>
      <c r="Y752" s="70">
        <f t="shared" si="113"/>
        <v>3.2637634400810286E-2</v>
      </c>
      <c r="Z752" s="70">
        <f t="shared" si="114"/>
        <v>0</v>
      </c>
      <c r="AA752" s="70">
        <f t="shared" si="115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19"/>
        <v>35458531.020000003</v>
      </c>
      <c r="E753" s="67">
        <f t="shared" si="116"/>
        <v>34143767.259999998</v>
      </c>
      <c r="F753" s="67">
        <f t="shared" si="120"/>
        <v>1491991.3400000036</v>
      </c>
      <c r="G753" s="70">
        <f t="shared" si="121"/>
        <v>4.3925326337510624E-2</v>
      </c>
      <c r="H753" s="70"/>
      <c r="I753" s="70"/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2"/>
        <v>1.7857142857142857E-4</v>
      </c>
      <c r="Y753" s="70">
        <f t="shared" si="113"/>
        <v>4.3746754908939194E-2</v>
      </c>
      <c r="Z753" s="70">
        <f t="shared" si="114"/>
        <v>0</v>
      </c>
      <c r="AA753" s="70">
        <f t="shared" si="115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19"/>
        <v>35517205.990000002</v>
      </c>
      <c r="E754" s="67">
        <f t="shared" si="116"/>
        <v>34143767.259999998</v>
      </c>
      <c r="F754" s="67">
        <f t="shared" si="120"/>
        <v>58674.969999998808</v>
      </c>
      <c r="G754" s="70">
        <f t="shared" si="121"/>
        <v>1.6547490353422656E-3</v>
      </c>
      <c r="H754" s="70"/>
      <c r="I754" s="70"/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2"/>
        <v>1.7857142857142857E-4</v>
      </c>
      <c r="Y754" s="70">
        <f t="shared" si="113"/>
        <v>1.4761776067708371E-3</v>
      </c>
      <c r="Z754" s="70">
        <f t="shared" si="114"/>
        <v>0</v>
      </c>
      <c r="AA754" s="70">
        <f t="shared" si="115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19"/>
        <v>36130667.640000001</v>
      </c>
      <c r="E755" s="67">
        <f t="shared" si="116"/>
        <v>34143767.259999998</v>
      </c>
      <c r="F755" s="67">
        <f t="shared" si="120"/>
        <v>613461.64999999851</v>
      </c>
      <c r="G755" s="70">
        <f t="shared" si="121"/>
        <v>1.7272238423617019E-2</v>
      </c>
      <c r="H755" s="70"/>
      <c r="I755" s="70"/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2"/>
        <v>1.7857142857142857E-4</v>
      </c>
      <c r="Y755" s="70">
        <f t="shared" si="113"/>
        <v>1.7093666995045591E-2</v>
      </c>
      <c r="Z755" s="70">
        <f t="shared" si="114"/>
        <v>0</v>
      </c>
      <c r="AA755" s="70">
        <f t="shared" si="115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19"/>
        <v>35866513.229999997</v>
      </c>
      <c r="E756" s="80">
        <f t="shared" si="116"/>
        <v>34143767.259999998</v>
      </c>
      <c r="F756" s="80">
        <f t="shared" si="120"/>
        <v>-264154.41000000387</v>
      </c>
      <c r="G756" s="81">
        <f t="shared" si="121"/>
        <v>-7.3110857687988147E-3</v>
      </c>
      <c r="H756" s="81"/>
      <c r="I756" s="81"/>
      <c r="J756" s="80">
        <f t="shared" si="117"/>
        <v>1722745.9699999988</v>
      </c>
      <c r="K756" s="81">
        <f t="shared" si="118"/>
        <v>5.0455649983832451E-2</v>
      </c>
      <c r="L756" s="81">
        <f t="shared" si="110"/>
        <v>0.9926889142312012</v>
      </c>
      <c r="M756" s="81">
        <f>PRODUCT($L$2:L756)-1</f>
        <v>-0.13135843554293236</v>
      </c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>
        <f t="shared" si="112"/>
        <v>1.7857142857142857E-4</v>
      </c>
      <c r="Y756" s="81">
        <f t="shared" si="113"/>
        <v>-7.4896571973702437E-3</v>
      </c>
      <c r="Z756" s="81">
        <f t="shared" si="114"/>
        <v>-7.4896571973702437E-3</v>
      </c>
      <c r="AA756" s="81">
        <f t="shared" si="115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19"/>
        <v>36703593.770000003</v>
      </c>
      <c r="E757" s="67">
        <f t="shared" si="116"/>
        <v>35866513.229999997</v>
      </c>
      <c r="F757" s="67">
        <f t="shared" si="120"/>
        <v>837080.54000000656</v>
      </c>
      <c r="G757" s="70">
        <f t="shared" si="121"/>
        <v>2.3338776608478443E-2</v>
      </c>
      <c r="H757" s="70"/>
      <c r="I757" s="70"/>
      <c r="J757" s="67">
        <f t="shared" si="117"/>
        <v>837080.54000000656</v>
      </c>
      <c r="K757" s="70">
        <f>G757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2"/>
        <v>1.7857142857142857E-4</v>
      </c>
      <c r="Y757" s="70">
        <f t="shared" si="113"/>
        <v>2.3160205179907016E-2</v>
      </c>
      <c r="Z757" s="70">
        <f t="shared" si="114"/>
        <v>0</v>
      </c>
      <c r="AA757" s="70">
        <f t="shared" si="115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19"/>
        <v>37136112.609999999</v>
      </c>
      <c r="E758" s="67">
        <f t="shared" si="116"/>
        <v>35866513.229999997</v>
      </c>
      <c r="F758" s="67">
        <f t="shared" si="120"/>
        <v>432518.83999999613</v>
      </c>
      <c r="G758" s="70">
        <f t="shared" si="121"/>
        <v>1.1784100562749774E-2</v>
      </c>
      <c r="H758" s="70"/>
      <c r="I758" s="70"/>
      <c r="J758" s="67">
        <f t="shared" si="117"/>
        <v>1269599.3800000027</v>
      </c>
      <c r="K758" s="70">
        <f t="shared" ref="K758:K778" si="122">(1+K757)*(1+G758)-1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2"/>
        <v>1.7857142857142857E-4</v>
      </c>
      <c r="Y758" s="70">
        <f t="shared" si="113"/>
        <v>1.1605529134178345E-2</v>
      </c>
      <c r="Z758" s="70">
        <f t="shared" si="114"/>
        <v>0</v>
      </c>
      <c r="AA758" s="70">
        <f t="shared" si="115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19"/>
        <v>37182794.030000001</v>
      </c>
      <c r="E759" s="67">
        <f t="shared" si="116"/>
        <v>35866513.229999997</v>
      </c>
      <c r="F759" s="67">
        <f t="shared" si="120"/>
        <v>46681.420000001788</v>
      </c>
      <c r="G759" s="70">
        <f t="shared" si="121"/>
        <v>1.2570357185806096E-3</v>
      </c>
      <c r="H759" s="70"/>
      <c r="I759" s="70"/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2"/>
        <v>1.7857142857142857E-4</v>
      </c>
      <c r="Y759" s="70">
        <f t="shared" si="113"/>
        <v>1.0784642900091811E-3</v>
      </c>
      <c r="Z759" s="70">
        <f t="shared" si="114"/>
        <v>0</v>
      </c>
      <c r="AA759" s="70">
        <f t="shared" si="115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19"/>
        <v>37207250.409999996</v>
      </c>
      <c r="E760" s="67">
        <f t="shared" si="116"/>
        <v>35866513.229999997</v>
      </c>
      <c r="F760" s="67">
        <f t="shared" si="120"/>
        <v>24456.379999995232</v>
      </c>
      <c r="G760" s="70">
        <f t="shared" si="121"/>
        <v>6.577337889203059E-4</v>
      </c>
      <c r="H760" s="70"/>
      <c r="I760" s="70"/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2"/>
        <v>1.7857142857142857E-4</v>
      </c>
      <c r="Y760" s="70">
        <f t="shared" si="113"/>
        <v>4.7916236034887736E-4</v>
      </c>
      <c r="Z760" s="70">
        <f t="shared" si="114"/>
        <v>0</v>
      </c>
      <c r="AA760" s="70">
        <f t="shared" si="115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19"/>
        <v>35889633.659999996</v>
      </c>
      <c r="E761" s="67">
        <f t="shared" si="116"/>
        <v>35866513.229999997</v>
      </c>
      <c r="F761" s="67">
        <f t="shared" si="120"/>
        <v>-1317616.75</v>
      </c>
      <c r="G761" s="70">
        <f t="shared" si="121"/>
        <v>-3.541290300897567E-2</v>
      </c>
      <c r="H761" s="70"/>
      <c r="I761" s="70"/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2"/>
        <v>1.7857142857142857E-4</v>
      </c>
      <c r="Y761" s="70">
        <f t="shared" si="113"/>
        <v>-3.5591474437547101E-2</v>
      </c>
      <c r="Z761" s="70">
        <f t="shared" si="114"/>
        <v>-3.5591474437547101E-2</v>
      </c>
      <c r="AA761" s="70">
        <f t="shared" si="115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19"/>
        <v>36910077.560000002</v>
      </c>
      <c r="E762" s="67">
        <f t="shared" si="116"/>
        <v>35866513.229999997</v>
      </c>
      <c r="F762" s="67">
        <f t="shared" si="120"/>
        <v>1020443.900000006</v>
      </c>
      <c r="G762" s="70">
        <f t="shared" si="121"/>
        <v>2.843283132024051E-2</v>
      </c>
      <c r="H762" s="70"/>
      <c r="I762" s="70"/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2"/>
        <v>1.7857142857142857E-4</v>
      </c>
      <c r="Y762" s="70">
        <f t="shared" si="113"/>
        <v>2.8254259891669083E-2</v>
      </c>
      <c r="Z762" s="70">
        <f t="shared" si="114"/>
        <v>0</v>
      </c>
      <c r="AA762" s="70">
        <f t="shared" si="115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19"/>
        <v>37154050.759999998</v>
      </c>
      <c r="E763" s="67">
        <f t="shared" si="116"/>
        <v>35866513.229999997</v>
      </c>
      <c r="F763" s="67">
        <f t="shared" si="120"/>
        <v>243973.19999999553</v>
      </c>
      <c r="G763" s="70">
        <f t="shared" si="121"/>
        <v>6.6099346337974889E-3</v>
      </c>
      <c r="H763" s="70"/>
      <c r="I763" s="70"/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2"/>
        <v>1.7857142857142857E-4</v>
      </c>
      <c r="Y763" s="70">
        <f t="shared" si="113"/>
        <v>6.4313632052260599E-3</v>
      </c>
      <c r="Z763" s="70">
        <f t="shared" si="114"/>
        <v>0</v>
      </c>
      <c r="AA763" s="70">
        <f t="shared" si="115"/>
        <v>0</v>
      </c>
    </row>
    <row r="764" spans="1:29">
      <c r="A764" s="88">
        <v>45089</v>
      </c>
      <c r="B764" s="76">
        <v>38007328.32</v>
      </c>
      <c r="C764" s="6"/>
      <c r="D764" s="67">
        <f t="shared" si="119"/>
        <v>38007328.32</v>
      </c>
      <c r="E764" s="67">
        <f t="shared" si="116"/>
        <v>35866513.229999997</v>
      </c>
      <c r="F764" s="67">
        <f t="shared" si="120"/>
        <v>853277.56000000238</v>
      </c>
      <c r="G764" s="70">
        <f t="shared" si="121"/>
        <v>2.2965936218148249E-2</v>
      </c>
      <c r="H764" s="70"/>
      <c r="I764" s="70"/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2"/>
        <v>1.7857142857142857E-4</v>
      </c>
      <c r="Y764" s="70">
        <f t="shared" si="113"/>
        <v>2.2787364789576822E-2</v>
      </c>
      <c r="Z764" s="70">
        <f t="shared" si="114"/>
        <v>0</v>
      </c>
      <c r="AA764" s="70">
        <f t="shared" si="115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19"/>
        <v>38338621.869999997</v>
      </c>
      <c r="E765" s="67">
        <f t="shared" si="116"/>
        <v>35866513.229999997</v>
      </c>
      <c r="F765" s="67">
        <f t="shared" si="120"/>
        <v>331293.54999999702</v>
      </c>
      <c r="G765" s="70">
        <f t="shared" si="121"/>
        <v>8.7165703206153952E-3</v>
      </c>
      <c r="H765" s="70"/>
      <c r="I765" s="70"/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2"/>
        <v>1.7857142857142857E-4</v>
      </c>
      <c r="Y765" s="70">
        <f t="shared" si="113"/>
        <v>8.5379988920439662E-3</v>
      </c>
      <c r="Z765" s="70">
        <f t="shared" si="114"/>
        <v>0</v>
      </c>
      <c r="AA765" s="70">
        <f t="shared" si="115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19"/>
        <v>38783197.460000001</v>
      </c>
      <c r="E766" s="67">
        <f t="shared" si="116"/>
        <v>35866513.229999997</v>
      </c>
      <c r="F766" s="67">
        <f t="shared" si="120"/>
        <v>444575.59000000358</v>
      </c>
      <c r="G766" s="70">
        <f t="shared" si="121"/>
        <v>1.1596024278271836E-2</v>
      </c>
      <c r="H766" s="70"/>
      <c r="I766" s="70"/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2"/>
        <v>1.7857142857142857E-4</v>
      </c>
      <c r="Y766" s="70">
        <f t="shared" si="113"/>
        <v>1.1417452849700407E-2</v>
      </c>
      <c r="Z766" s="70">
        <f t="shared" si="114"/>
        <v>0</v>
      </c>
      <c r="AA766" s="70">
        <f t="shared" si="115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19"/>
        <v>39665517.890000001</v>
      </c>
      <c r="E767" s="67">
        <f t="shared" si="116"/>
        <v>35866513.229999997</v>
      </c>
      <c r="F767" s="67">
        <f t="shared" si="120"/>
        <v>882320.4299999997</v>
      </c>
      <c r="G767" s="70">
        <f t="shared" si="121"/>
        <v>2.2750069302821214E-2</v>
      </c>
      <c r="H767" s="70"/>
      <c r="I767" s="70"/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2"/>
        <v>1.7857142857142857E-4</v>
      </c>
      <c r="Y767" s="70">
        <f t="shared" si="113"/>
        <v>2.2571497874249787E-2</v>
      </c>
      <c r="Z767" s="70">
        <f t="shared" si="114"/>
        <v>0</v>
      </c>
      <c r="AA767" s="70">
        <f t="shared" si="115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19"/>
        <v>39337380.159999996</v>
      </c>
      <c r="E768" s="67">
        <f t="shared" si="116"/>
        <v>35866513.229999997</v>
      </c>
      <c r="F768" s="67">
        <f t="shared" si="120"/>
        <v>-328137.73000000417</v>
      </c>
      <c r="G768" s="70">
        <f t="shared" si="121"/>
        <v>-8.2726193292116407E-3</v>
      </c>
      <c r="H768" s="70"/>
      <c r="I768" s="70"/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2"/>
        <v>1.7857142857142857E-4</v>
      </c>
      <c r="Y768" s="70">
        <f t="shared" si="113"/>
        <v>-8.4511907577830697E-3</v>
      </c>
      <c r="Z768" s="70">
        <f t="shared" si="114"/>
        <v>-8.4511907577830697E-3</v>
      </c>
      <c r="AA768" s="70">
        <f t="shared" si="115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19"/>
        <v>39319099.149999999</v>
      </c>
      <c r="E769" s="67">
        <f t="shared" si="116"/>
        <v>35866513.229999997</v>
      </c>
      <c r="F769" s="67">
        <f t="shared" si="120"/>
        <v>-18281.009999997914</v>
      </c>
      <c r="G769" s="70">
        <f t="shared" si="121"/>
        <v>-4.6472362739059223E-4</v>
      </c>
      <c r="H769" s="70"/>
      <c r="I769" s="70"/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2"/>
        <v>1.7857142857142857E-4</v>
      </c>
      <c r="Y769" s="70">
        <f t="shared" si="113"/>
        <v>-6.4329505596202082E-4</v>
      </c>
      <c r="Z769" s="70">
        <f t="shared" si="114"/>
        <v>-6.4329505596202082E-4</v>
      </c>
      <c r="AA769" s="70">
        <f t="shared" si="115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19"/>
        <v>38898289.109999999</v>
      </c>
      <c r="E770" s="67">
        <f t="shared" si="116"/>
        <v>35866513.229999997</v>
      </c>
      <c r="F770" s="67">
        <f t="shared" si="120"/>
        <v>-420810.03999999911</v>
      </c>
      <c r="G770" s="70">
        <f t="shared" si="121"/>
        <v>-1.070243339997781E-2</v>
      </c>
      <c r="H770" s="70"/>
      <c r="I770" s="70"/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1+G770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2"/>
        <v>1.7857142857142857E-4</v>
      </c>
      <c r="Y770" s="70">
        <f t="shared" si="113"/>
        <v>-1.0881004828549239E-2</v>
      </c>
      <c r="Z770" s="70">
        <f t="shared" si="114"/>
        <v>-1.0881004828549239E-2</v>
      </c>
      <c r="AA770" s="70">
        <f t="shared" si="115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19"/>
        <v>38149639.850000001</v>
      </c>
      <c r="E771" s="67">
        <f t="shared" si="116"/>
        <v>35866513.229999997</v>
      </c>
      <c r="F771" s="67">
        <f t="shared" si="120"/>
        <v>-748649.25999999791</v>
      </c>
      <c r="G771" s="70">
        <f t="shared" si="121"/>
        <v>-1.924632874939311E-2</v>
      </c>
      <c r="H771" s="70"/>
      <c r="I771" s="70"/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2"/>
        <v>1.7857142857142857E-4</v>
      </c>
      <c r="Y771" s="70">
        <f t="shared" si="113"/>
        <v>-1.9424900177964537E-2</v>
      </c>
      <c r="Z771" s="70">
        <f t="shared" si="114"/>
        <v>-1.9424900177964537E-2</v>
      </c>
      <c r="AA771" s="70">
        <f t="shared" si="115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19"/>
        <v>38554627.909999996</v>
      </c>
      <c r="E772" s="67">
        <f t="shared" si="116"/>
        <v>35866513.229999997</v>
      </c>
      <c r="F772" s="67">
        <f t="shared" si="120"/>
        <v>404988.05999999493</v>
      </c>
      <c r="G772" s="70">
        <f t="shared" si="121"/>
        <v>1.0615776756801936E-2</v>
      </c>
      <c r="H772" s="70"/>
      <c r="I772" s="70"/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2"/>
        <v>1.7857142857142857E-4</v>
      </c>
      <c r="Y772" s="70">
        <f t="shared" si="113"/>
        <v>1.0437205328230507E-2</v>
      </c>
      <c r="Z772" s="70">
        <f t="shared" si="114"/>
        <v>0</v>
      </c>
      <c r="AA772" s="70">
        <f t="shared" si="115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19"/>
        <v>38029479.549999997</v>
      </c>
      <c r="E773" s="67">
        <f t="shared" si="116"/>
        <v>35866513.229999997</v>
      </c>
      <c r="F773" s="67">
        <f t="shared" si="120"/>
        <v>-525148.3599999994</v>
      </c>
      <c r="G773" s="70">
        <f t="shared" si="121"/>
        <v>-1.3620890369526574E-2</v>
      </c>
      <c r="H773" s="70"/>
      <c r="I773" s="70"/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2"/>
        <v>1.7857142857142857E-4</v>
      </c>
      <c r="Y773" s="70">
        <f t="shared" si="113"/>
        <v>-1.3799461798098003E-2</v>
      </c>
      <c r="Z773" s="70">
        <f t="shared" si="114"/>
        <v>-1.3799461798098003E-2</v>
      </c>
      <c r="AA773" s="70">
        <f t="shared" si="115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19"/>
        <v>37302636.890000001</v>
      </c>
      <c r="E774" s="67">
        <f t="shared" si="116"/>
        <v>35866513.229999997</v>
      </c>
      <c r="F774" s="67">
        <f t="shared" si="120"/>
        <v>-726842.65999999642</v>
      </c>
      <c r="G774" s="70">
        <f t="shared" si="121"/>
        <v>-1.9112611284736777E-2</v>
      </c>
      <c r="H774" s="70"/>
      <c r="I774" s="70"/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2"/>
        <v>1.7857142857142857E-4</v>
      </c>
      <c r="Y774" s="70">
        <f t="shared" si="113"/>
        <v>-1.9291182713308205E-2</v>
      </c>
      <c r="Z774" s="70">
        <f t="shared" si="114"/>
        <v>-1.9291182713308205E-2</v>
      </c>
      <c r="AA774" s="70">
        <f t="shared" si="115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19"/>
        <v>38257163.18</v>
      </c>
      <c r="E775" s="67">
        <f t="shared" si="116"/>
        <v>35866513.229999997</v>
      </c>
      <c r="F775" s="67">
        <f t="shared" si="120"/>
        <v>954526.28999999911</v>
      </c>
      <c r="G775" s="70">
        <f t="shared" si="121"/>
        <v>2.5588708187433425E-2</v>
      </c>
      <c r="H775" s="70"/>
      <c r="I775" s="70"/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2"/>
        <v>1.7857142857142857E-4</v>
      </c>
      <c r="Y775" s="70">
        <f t="shared" si="113"/>
        <v>2.5410136758861997E-2</v>
      </c>
      <c r="Z775" s="70">
        <f t="shared" si="114"/>
        <v>0</v>
      </c>
      <c r="AA775" s="70">
        <f t="shared" si="115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19"/>
        <v>38372307.770000003</v>
      </c>
      <c r="E776" s="67">
        <f t="shared" si="116"/>
        <v>35866513.229999997</v>
      </c>
      <c r="F776" s="67">
        <f t="shared" si="120"/>
        <v>115144.59000000358</v>
      </c>
      <c r="G776" s="70">
        <f t="shared" si="121"/>
        <v>3.009752434027796E-3</v>
      </c>
      <c r="H776" s="70"/>
      <c r="I776" s="70"/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2"/>
        <v>1.7857142857142857E-4</v>
      </c>
      <c r="Y776" s="70">
        <f t="shared" si="113"/>
        <v>2.8311810054563675E-3</v>
      </c>
      <c r="Z776" s="70">
        <f t="shared" si="114"/>
        <v>0</v>
      </c>
      <c r="AA776" s="70">
        <f t="shared" si="115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19"/>
        <v>38066809.340000004</v>
      </c>
      <c r="E777" s="67">
        <f t="shared" si="116"/>
        <v>35866513.229999997</v>
      </c>
      <c r="F777" s="67">
        <f t="shared" si="120"/>
        <v>-305498.4299999997</v>
      </c>
      <c r="G777" s="70">
        <f t="shared" si="121"/>
        <v>-7.9614296807773068E-3</v>
      </c>
      <c r="H777" s="70"/>
      <c r="I777" s="70"/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2"/>
        <v>1.7857142857142857E-4</v>
      </c>
      <c r="Y777" s="70">
        <f t="shared" si="113"/>
        <v>-8.1400011093487358E-3</v>
      </c>
      <c r="Z777" s="70">
        <f t="shared" si="114"/>
        <v>-8.1400011093487358E-3</v>
      </c>
      <c r="AA777" s="70">
        <f t="shared" si="115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19"/>
        <v>39350311.590000004</v>
      </c>
      <c r="E778" s="80">
        <f t="shared" si="116"/>
        <v>35866513.229999997</v>
      </c>
      <c r="F778" s="80">
        <f t="shared" si="120"/>
        <v>1283502.25</v>
      </c>
      <c r="G778" s="81">
        <f t="shared" si="121"/>
        <v>3.3717095607782292E-2</v>
      </c>
      <c r="H778" s="81"/>
      <c r="I778" s="81"/>
      <c r="J778" s="80">
        <f t="shared" si="117"/>
        <v>3483798.3600000069</v>
      </c>
      <c r="K778" s="81">
        <f t="shared" si="122"/>
        <v>9.7132340064939537E-2</v>
      </c>
      <c r="L778" s="81">
        <f t="shared" si="123"/>
        <v>1.0337170956077824</v>
      </c>
      <c r="M778" s="81">
        <f>PRODUCT($L$2:L778)-1</f>
        <v>-4.6985247709547151E-2</v>
      </c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>
        <f t="shared" si="112"/>
        <v>1.7857142857142857E-4</v>
      </c>
      <c r="Y778" s="81">
        <f t="shared" si="113"/>
        <v>3.3538524179210862E-2</v>
      </c>
      <c r="Z778" s="81">
        <f t="shared" si="114"/>
        <v>0</v>
      </c>
      <c r="AA778" s="81">
        <f t="shared" si="115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19"/>
        <v>39499687.079999998</v>
      </c>
      <c r="E779" s="67">
        <f t="shared" si="116"/>
        <v>39350311.590000004</v>
      </c>
      <c r="F779" s="67">
        <f t="shared" si="120"/>
        <v>149375.48999999464</v>
      </c>
      <c r="G779" s="70">
        <f t="shared" si="121"/>
        <v>3.7960433847734781E-3</v>
      </c>
      <c r="H779" s="70"/>
      <c r="I779" s="70"/>
      <c r="J779" s="67">
        <f t="shared" si="117"/>
        <v>149375.48999999464</v>
      </c>
      <c r="K779" s="70">
        <f>G779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4">4.5%/252</f>
        <v>1.7857142857142857E-4</v>
      </c>
      <c r="Y779" s="70">
        <f t="shared" ref="Y779:Y842" si="125">G779-X779</f>
        <v>3.6174719562020495E-3</v>
      </c>
      <c r="Z779" s="70">
        <f t="shared" ref="Z779:Z842" si="126">IF(Y779&lt;0,Y779,0)</f>
        <v>0</v>
      </c>
      <c r="AA779" s="70">
        <f t="shared" ref="AA779:AA842" si="127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19"/>
        <v>39425108.490000002</v>
      </c>
      <c r="E780" s="67">
        <f t="shared" si="116"/>
        <v>39350311.590000004</v>
      </c>
      <c r="F780" s="67">
        <f t="shared" si="120"/>
        <v>-74578.589999996126</v>
      </c>
      <c r="G780" s="70">
        <f t="shared" si="121"/>
        <v>-1.8880805270418898E-3</v>
      </c>
      <c r="H780" s="70"/>
      <c r="I780" s="70"/>
      <c r="J780" s="67">
        <f t="shared" si="117"/>
        <v>74796.89999999851</v>
      </c>
      <c r="K780" s="70">
        <f t="shared" ref="K780:K799" si="128">(1+K779)*(1+G780)-1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4"/>
        <v>1.7857142857142857E-4</v>
      </c>
      <c r="Y780" s="70">
        <f t="shared" si="125"/>
        <v>-2.0666519556133186E-3</v>
      </c>
      <c r="Z780" s="70">
        <f t="shared" si="126"/>
        <v>-2.0666519556133186E-3</v>
      </c>
      <c r="AA780" s="70">
        <f t="shared" si="127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19"/>
        <v>39035788.57</v>
      </c>
      <c r="E781" s="67">
        <f t="shared" si="116"/>
        <v>39350311.590000004</v>
      </c>
      <c r="F781" s="67">
        <f t="shared" si="120"/>
        <v>-389319.92000000179</v>
      </c>
      <c r="G781" s="70">
        <f t="shared" si="121"/>
        <v>-9.8749232382899094E-3</v>
      </c>
      <c r="H781" s="70"/>
      <c r="I781" s="70"/>
      <c r="J781" s="67">
        <f t="shared" si="117"/>
        <v>-314523.02000000328</v>
      </c>
      <c r="K781" s="70">
        <f t="shared" si="128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4"/>
        <v>1.7857142857142857E-4</v>
      </c>
      <c r="Y781" s="70">
        <f t="shared" si="125"/>
        <v>-1.0053494666861338E-2</v>
      </c>
      <c r="Z781" s="70">
        <f t="shared" si="126"/>
        <v>-1.0053494666861338E-2</v>
      </c>
      <c r="AA781" s="70">
        <f t="shared" si="127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19"/>
        <v>37614392.659999996</v>
      </c>
      <c r="E782" s="67">
        <f t="shared" si="116"/>
        <v>39350311.590000004</v>
      </c>
      <c r="F782" s="67">
        <f t="shared" si="120"/>
        <v>-1421395.9100000039</v>
      </c>
      <c r="G782" s="70">
        <f t="shared" si="121"/>
        <v>-3.6412634714708514E-2</v>
      </c>
      <c r="H782" s="70"/>
      <c r="I782" s="70"/>
      <c r="J782" s="67">
        <f t="shared" si="117"/>
        <v>-1735918.9300000072</v>
      </c>
      <c r="K782" s="70">
        <f t="shared" si="128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4"/>
        <v>1.7857142857142857E-4</v>
      </c>
      <c r="Y782" s="70">
        <f t="shared" si="125"/>
        <v>-3.6591206143279945E-2</v>
      </c>
      <c r="Z782" s="70">
        <f t="shared" si="126"/>
        <v>-3.6591206143279945E-2</v>
      </c>
      <c r="AA782" s="70">
        <f t="shared" si="127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19"/>
        <v>37407669.32</v>
      </c>
      <c r="E783" s="67">
        <f t="shared" si="116"/>
        <v>39350311.590000004</v>
      </c>
      <c r="F783" s="67">
        <f t="shared" si="120"/>
        <v>-206723.33999999613</v>
      </c>
      <c r="G783" s="70">
        <f t="shared" si="121"/>
        <v>-5.4958574466052838E-3</v>
      </c>
      <c r="H783" s="70"/>
      <c r="I783" s="70"/>
      <c r="J783" s="67">
        <f t="shared" si="117"/>
        <v>-1942642.2700000033</v>
      </c>
      <c r="K783" s="70">
        <f t="shared" si="128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4"/>
        <v>1.7857142857142857E-4</v>
      </c>
      <c r="Y783" s="70">
        <f t="shared" si="125"/>
        <v>-5.6744288751767128E-3</v>
      </c>
      <c r="Z783" s="70">
        <f t="shared" si="126"/>
        <v>-5.6744288751767128E-3</v>
      </c>
      <c r="AA783" s="70">
        <f t="shared" si="127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19"/>
        <v>37560191.200000003</v>
      </c>
      <c r="E784" s="67">
        <f t="shared" si="116"/>
        <v>39350311.590000004</v>
      </c>
      <c r="F784" s="67">
        <f t="shared" si="120"/>
        <v>152521.88000000268</v>
      </c>
      <c r="G784" s="70">
        <f t="shared" si="121"/>
        <v>4.0772890365146832E-3</v>
      </c>
      <c r="H784" s="70"/>
      <c r="I784" s="70"/>
      <c r="J784" s="67">
        <f t="shared" si="117"/>
        <v>-1790120.3900000006</v>
      </c>
      <c r="K784" s="70">
        <f t="shared" si="128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4"/>
        <v>1.7857142857142857E-4</v>
      </c>
      <c r="Y784" s="70">
        <f t="shared" si="125"/>
        <v>3.8987176079432547E-3</v>
      </c>
      <c r="Z784" s="70">
        <f t="shared" si="126"/>
        <v>0</v>
      </c>
      <c r="AA784" s="70">
        <f t="shared" si="127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19"/>
        <v>38011311.710000001</v>
      </c>
      <c r="E785" s="67">
        <f t="shared" si="116"/>
        <v>39350311.590000004</v>
      </c>
      <c r="F785" s="67">
        <f t="shared" si="120"/>
        <v>451120.50999999791</v>
      </c>
      <c r="G785" s="70">
        <f t="shared" si="121"/>
        <v>1.2010602065305725E-2</v>
      </c>
      <c r="H785" s="70"/>
      <c r="I785" s="70"/>
      <c r="J785" s="67">
        <f t="shared" si="117"/>
        <v>-1338999.8800000027</v>
      </c>
      <c r="K785" s="70">
        <f t="shared" si="128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4"/>
        <v>1.7857142857142857E-4</v>
      </c>
      <c r="Y785" s="70">
        <f t="shared" si="125"/>
        <v>1.1832030636734296E-2</v>
      </c>
      <c r="Z785" s="70">
        <f t="shared" si="126"/>
        <v>0</v>
      </c>
      <c r="AA785" s="70">
        <f t="shared" si="127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19"/>
        <v>39310589.299999997</v>
      </c>
      <c r="E786" s="67">
        <f t="shared" si="116"/>
        <v>39350311.590000004</v>
      </c>
      <c r="F786" s="67">
        <f t="shared" si="120"/>
        <v>1299277.5899999961</v>
      </c>
      <c r="G786" s="70">
        <f t="shared" si="121"/>
        <v>3.4181340541799367E-2</v>
      </c>
      <c r="H786" s="70"/>
      <c r="I786" s="70"/>
      <c r="J786" s="67">
        <f t="shared" si="117"/>
        <v>-39722.290000006557</v>
      </c>
      <c r="K786" s="70">
        <f t="shared" si="128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4"/>
        <v>1.7857142857142857E-4</v>
      </c>
      <c r="Y786" s="70">
        <f t="shared" si="125"/>
        <v>3.4002769113227936E-2</v>
      </c>
      <c r="Z786" s="70">
        <f t="shared" si="126"/>
        <v>0</v>
      </c>
      <c r="AA786" s="70">
        <f t="shared" si="127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19"/>
        <v>40884332.490000002</v>
      </c>
      <c r="E787" s="67">
        <f t="shared" si="116"/>
        <v>39350311.590000004</v>
      </c>
      <c r="F787" s="67">
        <f t="shared" si="120"/>
        <v>1573743.1900000051</v>
      </c>
      <c r="G787" s="70">
        <f t="shared" si="121"/>
        <v>4.0033569021057772E-2</v>
      </c>
      <c r="H787" s="70"/>
      <c r="I787" s="70"/>
      <c r="J787" s="67">
        <f t="shared" si="117"/>
        <v>1534020.8999999985</v>
      </c>
      <c r="K787" s="70">
        <f t="shared" si="128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4"/>
        <v>1.7857142857142857E-4</v>
      </c>
      <c r="Y787" s="70">
        <f t="shared" si="125"/>
        <v>3.9854997592486341E-2</v>
      </c>
      <c r="Z787" s="70">
        <f t="shared" si="126"/>
        <v>0</v>
      </c>
      <c r="AA787" s="70">
        <f t="shared" si="127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19"/>
        <v>40802190.170000002</v>
      </c>
      <c r="E788" s="67">
        <f t="shared" si="116"/>
        <v>39350311.590000004</v>
      </c>
      <c r="F788" s="67">
        <f t="shared" si="120"/>
        <v>-82142.320000000298</v>
      </c>
      <c r="G788" s="70">
        <f t="shared" si="121"/>
        <v>-2.0091393205475885E-3</v>
      </c>
      <c r="H788" s="70"/>
      <c r="I788" s="70"/>
      <c r="J788" s="67">
        <f t="shared" si="117"/>
        <v>1451878.5799999982</v>
      </c>
      <c r="K788" s="70">
        <f t="shared" si="128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4"/>
        <v>1.7857142857142857E-4</v>
      </c>
      <c r="Y788" s="70">
        <f t="shared" si="125"/>
        <v>-2.1877107491190171E-3</v>
      </c>
      <c r="Z788" s="70">
        <f t="shared" si="126"/>
        <v>-2.1877107491190171E-3</v>
      </c>
      <c r="AA788" s="70">
        <f t="shared" si="127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19"/>
        <v>41383404.189999998</v>
      </c>
      <c r="E789" s="67">
        <f t="shared" si="116"/>
        <v>39350311.590000004</v>
      </c>
      <c r="F789" s="67">
        <f t="shared" si="120"/>
        <v>581214.01999999583</v>
      </c>
      <c r="G789" s="70">
        <f t="shared" si="121"/>
        <v>1.4244677003327535E-2</v>
      </c>
      <c r="H789" s="70"/>
      <c r="I789" s="70"/>
      <c r="J789" s="67">
        <f t="shared" si="117"/>
        <v>2033092.599999994</v>
      </c>
      <c r="K789" s="70">
        <f t="shared" si="128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4"/>
        <v>1.7857142857142857E-4</v>
      </c>
      <c r="Y789" s="70">
        <f t="shared" si="125"/>
        <v>1.4066105574756106E-2</v>
      </c>
      <c r="Z789" s="70">
        <f t="shared" si="126"/>
        <v>0</v>
      </c>
      <c r="AA789" s="70">
        <f t="shared" si="127"/>
        <v>0</v>
      </c>
    </row>
    <row r="790" spans="1:27">
      <c r="A790" s="88">
        <v>45125</v>
      </c>
      <c r="B790" s="76">
        <v>42280318.57</v>
      </c>
      <c r="C790" s="6"/>
      <c r="D790" s="67">
        <f t="shared" si="119"/>
        <v>42280318.57</v>
      </c>
      <c r="E790" s="67">
        <f t="shared" ref="E790:E853" si="129">IF(MONTH(A790)=MONTH(A789),E789,D789)</f>
        <v>39350311.590000004</v>
      </c>
      <c r="F790" s="67">
        <f t="shared" si="120"/>
        <v>896914.38000000268</v>
      </c>
      <c r="G790" s="70">
        <f t="shared" si="121"/>
        <v>2.1673286612239009E-2</v>
      </c>
      <c r="H790" s="70"/>
      <c r="I790" s="70"/>
      <c r="J790" s="67">
        <f t="shared" ref="J790:J853" si="130">IF(MONTH(A790)=MONTH(A789),J789+F790,F790)</f>
        <v>2930006.9799999967</v>
      </c>
      <c r="K790" s="70">
        <f t="shared" si="128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4"/>
        <v>1.7857142857142857E-4</v>
      </c>
      <c r="Y790" s="70">
        <f t="shared" si="125"/>
        <v>2.1494715183667582E-2</v>
      </c>
      <c r="Z790" s="70">
        <f t="shared" si="126"/>
        <v>0</v>
      </c>
      <c r="AA790" s="70">
        <f t="shared" si="127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19"/>
        <v>42137576.950000003</v>
      </c>
      <c r="E791" s="67">
        <f t="shared" si="129"/>
        <v>39350311.590000004</v>
      </c>
      <c r="F791" s="67">
        <f t="shared" si="120"/>
        <v>-142741.61999999732</v>
      </c>
      <c r="G791" s="70">
        <f t="shared" si="121"/>
        <v>-3.3760772110473084E-3</v>
      </c>
      <c r="H791" s="70"/>
      <c r="I791" s="70"/>
      <c r="J791" s="67">
        <f t="shared" si="130"/>
        <v>2787265.3599999994</v>
      </c>
      <c r="K791" s="70">
        <f t="shared" si="128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4"/>
        <v>1.7857142857142857E-4</v>
      </c>
      <c r="Y791" s="70">
        <f t="shared" si="125"/>
        <v>-3.554648639618737E-3</v>
      </c>
      <c r="Z791" s="70">
        <f t="shared" si="126"/>
        <v>-3.554648639618737E-3</v>
      </c>
      <c r="AA791" s="70">
        <f t="shared" si="127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19"/>
        <v>40147775.960000001</v>
      </c>
      <c r="E792" s="67">
        <f t="shared" si="129"/>
        <v>39350311.590000004</v>
      </c>
      <c r="F792" s="67">
        <f t="shared" si="120"/>
        <v>-1989800.9900000021</v>
      </c>
      <c r="G792" s="70">
        <f t="shared" si="121"/>
        <v>-4.7221533225820712E-2</v>
      </c>
      <c r="H792" s="70"/>
      <c r="I792" s="70"/>
      <c r="J792" s="67">
        <f t="shared" si="130"/>
        <v>797464.36999999732</v>
      </c>
      <c r="K792" s="70">
        <f t="shared" si="128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4"/>
        <v>1.7857142857142857E-4</v>
      </c>
      <c r="Y792" s="70">
        <f t="shared" si="125"/>
        <v>-4.7400104654392143E-2</v>
      </c>
      <c r="Z792" s="70">
        <f t="shared" si="126"/>
        <v>-4.7400104654392143E-2</v>
      </c>
      <c r="AA792" s="70">
        <f t="shared" si="127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19"/>
        <v>40044335.710000001</v>
      </c>
      <c r="E793" s="67">
        <f t="shared" si="129"/>
        <v>39350311.590000004</v>
      </c>
      <c r="F793" s="67">
        <f t="shared" si="120"/>
        <v>-103440.25</v>
      </c>
      <c r="G793" s="70">
        <f t="shared" si="121"/>
        <v>-2.5764876765044099E-3</v>
      </c>
      <c r="H793" s="70"/>
      <c r="I793" s="70"/>
      <c r="J793" s="67">
        <f t="shared" si="130"/>
        <v>694024.11999999732</v>
      </c>
      <c r="K793" s="70">
        <f t="shared" si="128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4"/>
        <v>1.7857142857142857E-4</v>
      </c>
      <c r="Y793" s="70">
        <f t="shared" si="125"/>
        <v>-2.7550591050758385E-3</v>
      </c>
      <c r="Z793" s="70">
        <f t="shared" si="126"/>
        <v>-2.7550591050758385E-3</v>
      </c>
      <c r="AA793" s="70">
        <f t="shared" si="127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19"/>
        <v>40042935.759999998</v>
      </c>
      <c r="E794" s="67">
        <f t="shared" si="129"/>
        <v>39350311.590000004</v>
      </c>
      <c r="F794" s="67">
        <f t="shared" si="120"/>
        <v>-1399.9500000029802</v>
      </c>
      <c r="G794" s="70">
        <f t="shared" si="121"/>
        <v>-3.4960000588881792E-5</v>
      </c>
      <c r="H794" s="70"/>
      <c r="I794" s="70"/>
      <c r="J794" s="67">
        <f t="shared" si="130"/>
        <v>692624.16999999434</v>
      </c>
      <c r="K794" s="70">
        <f t="shared" si="128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4"/>
        <v>1.7857142857142857E-4</v>
      </c>
      <c r="Y794" s="70">
        <f t="shared" si="125"/>
        <v>-2.1353142916031036E-4</v>
      </c>
      <c r="Z794" s="70">
        <f t="shared" si="126"/>
        <v>-2.1353142916031036E-4</v>
      </c>
      <c r="AA794" s="70">
        <f t="shared" si="127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19"/>
        <v>40427640.93</v>
      </c>
      <c r="E795" s="67">
        <f t="shared" si="129"/>
        <v>39350311.590000004</v>
      </c>
      <c r="F795" s="67">
        <f t="shared" si="120"/>
        <v>384705.17000000179</v>
      </c>
      <c r="G795" s="70">
        <f t="shared" si="121"/>
        <v>9.607316813776039E-3</v>
      </c>
      <c r="H795" s="70"/>
      <c r="I795" s="70"/>
      <c r="J795" s="67">
        <f t="shared" si="130"/>
        <v>1077329.3399999961</v>
      </c>
      <c r="K795" s="70">
        <f t="shared" si="128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4"/>
        <v>1.7857142857142857E-4</v>
      </c>
      <c r="Y795" s="70">
        <f t="shared" si="125"/>
        <v>9.4287453852046101E-3</v>
      </c>
      <c r="Z795" s="70">
        <f t="shared" si="126"/>
        <v>0</v>
      </c>
      <c r="AA795" s="70">
        <f t="shared" si="127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19"/>
        <v>40417906.490000002</v>
      </c>
      <c r="E796" s="67">
        <f t="shared" si="129"/>
        <v>39350311.590000004</v>
      </c>
      <c r="F796" s="67">
        <f t="shared" si="120"/>
        <v>-9734.4399999976158</v>
      </c>
      <c r="G796" s="70">
        <f t="shared" si="121"/>
        <v>-2.4078674332872124E-4</v>
      </c>
      <c r="H796" s="70"/>
      <c r="I796" s="70"/>
      <c r="J796" s="67">
        <f t="shared" si="130"/>
        <v>1067594.8999999985</v>
      </c>
      <c r="K796" s="70">
        <f t="shared" si="128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4"/>
        <v>1.7857142857142857E-4</v>
      </c>
      <c r="Y796" s="70">
        <f t="shared" si="125"/>
        <v>-4.1935817190014981E-4</v>
      </c>
      <c r="Z796" s="70">
        <f t="shared" si="126"/>
        <v>-4.1935817190014981E-4</v>
      </c>
      <c r="AA796" s="70">
        <f t="shared" si="127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19"/>
        <v>39564724.329999998</v>
      </c>
      <c r="E797" s="67">
        <f t="shared" si="129"/>
        <v>39350311.590000004</v>
      </c>
      <c r="F797" s="67">
        <f t="shared" si="120"/>
        <v>-853182.16000000387</v>
      </c>
      <c r="G797" s="70">
        <f t="shared" si="121"/>
        <v>-2.1109014149733211E-2</v>
      </c>
      <c r="H797" s="70"/>
      <c r="I797" s="70"/>
      <c r="J797" s="67">
        <f t="shared" si="130"/>
        <v>214412.73999999464</v>
      </c>
      <c r="K797" s="70">
        <f t="shared" si="128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4"/>
        <v>1.7857142857142857E-4</v>
      </c>
      <c r="Y797" s="70">
        <f t="shared" si="125"/>
        <v>-2.1287585578304638E-2</v>
      </c>
      <c r="Z797" s="70">
        <f t="shared" si="126"/>
        <v>-2.1287585578304638E-2</v>
      </c>
      <c r="AA797" s="70">
        <f t="shared" si="127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19"/>
        <v>40781857.770000003</v>
      </c>
      <c r="E798" s="67">
        <f t="shared" si="129"/>
        <v>39350311.590000004</v>
      </c>
      <c r="F798" s="67">
        <f t="shared" si="120"/>
        <v>1217133.4400000051</v>
      </c>
      <c r="G798" s="70">
        <f t="shared" si="121"/>
        <v>3.0763096688054319E-2</v>
      </c>
      <c r="H798" s="70"/>
      <c r="I798" s="70"/>
      <c r="J798" s="67">
        <f t="shared" si="130"/>
        <v>1431546.1799999997</v>
      </c>
      <c r="K798" s="70">
        <f t="shared" si="128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4"/>
        <v>1.7857142857142857E-4</v>
      </c>
      <c r="Y798" s="70">
        <f t="shared" si="125"/>
        <v>3.0584525259482891E-2</v>
      </c>
      <c r="Z798" s="70">
        <f t="shared" si="126"/>
        <v>0</v>
      </c>
      <c r="AA798" s="70">
        <f t="shared" si="127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19"/>
        <v>40832947.399999999</v>
      </c>
      <c r="E799" s="80">
        <f t="shared" si="129"/>
        <v>39350311.590000004</v>
      </c>
      <c r="F799" s="80">
        <f t="shared" si="120"/>
        <v>51089.629999995232</v>
      </c>
      <c r="G799" s="81">
        <f t="shared" si="121"/>
        <v>1.2527538663914875E-3</v>
      </c>
      <c r="H799" s="81"/>
      <c r="I799" s="81"/>
      <c r="J799" s="80">
        <f t="shared" si="130"/>
        <v>1482635.8099999949</v>
      </c>
      <c r="K799" s="81">
        <f t="shared" si="128"/>
        <v>3.7677867089031425E-2</v>
      </c>
      <c r="L799" s="81">
        <f t="shared" si="123"/>
        <v>1.0012527538663916</v>
      </c>
      <c r="M799" s="81">
        <f>PRODUCT($L$2:L799)-1</f>
        <v>-1.1077684538861376E-2</v>
      </c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>
        <f t="shared" si="124"/>
        <v>1.7857142857142857E-4</v>
      </c>
      <c r="Y799" s="81">
        <f t="shared" si="125"/>
        <v>1.074182437820059E-3</v>
      </c>
      <c r="Z799" s="81">
        <f t="shared" si="126"/>
        <v>0</v>
      </c>
      <c r="AA799" s="81">
        <f t="shared" si="127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19"/>
        <v>40167398.880000003</v>
      </c>
      <c r="E800" s="67">
        <f t="shared" si="129"/>
        <v>40832947.399999999</v>
      </c>
      <c r="F800" s="67">
        <f t="shared" si="120"/>
        <v>-665548.51999999583</v>
      </c>
      <c r="G800" s="70">
        <f t="shared" si="121"/>
        <v>-1.6299301480255032E-2</v>
      </c>
      <c r="H800" s="70"/>
      <c r="I800" s="70"/>
      <c r="J800" s="67">
        <f t="shared" si="130"/>
        <v>-665548.51999999583</v>
      </c>
      <c r="K800" s="70">
        <f>G800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4"/>
        <v>1.7857142857142857E-4</v>
      </c>
      <c r="Y800" s="70">
        <f t="shared" si="125"/>
        <v>-1.647787290882646E-2</v>
      </c>
      <c r="Z800" s="70">
        <f t="shared" si="126"/>
        <v>-1.647787290882646E-2</v>
      </c>
      <c r="AA800" s="70">
        <f t="shared" si="127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19"/>
        <v>38328869.18</v>
      </c>
      <c r="E801" s="67">
        <f t="shared" si="129"/>
        <v>40832947.399999999</v>
      </c>
      <c r="F801" s="67">
        <f t="shared" si="120"/>
        <v>-1838529.700000003</v>
      </c>
      <c r="G801" s="70">
        <f t="shared" si="121"/>
        <v>-4.5771689262045709E-2</v>
      </c>
      <c r="H801" s="70"/>
      <c r="I801" s="70"/>
      <c r="J801" s="67">
        <f t="shared" si="130"/>
        <v>-2504078.2199999988</v>
      </c>
      <c r="K801" s="70">
        <f t="shared" ref="K801:K822" si="131">(1+K800)*(1+G801)-1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4"/>
        <v>1.7857142857142857E-4</v>
      </c>
      <c r="Y801" s="70">
        <f t="shared" si="125"/>
        <v>-4.595026069061714E-2</v>
      </c>
      <c r="Z801" s="70">
        <f t="shared" si="126"/>
        <v>-4.595026069061714E-2</v>
      </c>
      <c r="AA801" s="70">
        <f t="shared" si="127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19"/>
        <v>37752555.439999998</v>
      </c>
      <c r="E802" s="67">
        <f t="shared" si="129"/>
        <v>40832947.399999999</v>
      </c>
      <c r="F802" s="67">
        <f t="shared" si="120"/>
        <v>-576313.74000000209</v>
      </c>
      <c r="G802" s="70">
        <f t="shared" si="121"/>
        <v>-1.5036022515913999E-2</v>
      </c>
      <c r="H802" s="70"/>
      <c r="I802" s="70"/>
      <c r="J802" s="67">
        <f t="shared" si="130"/>
        <v>-3080391.9600000009</v>
      </c>
      <c r="K802" s="70">
        <f t="shared" si="131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4"/>
        <v>1.7857142857142857E-4</v>
      </c>
      <c r="Y802" s="70">
        <f t="shared" si="125"/>
        <v>-1.5214593944485428E-2</v>
      </c>
      <c r="Z802" s="70">
        <f t="shared" si="126"/>
        <v>-1.5214593944485428E-2</v>
      </c>
      <c r="AA802" s="70">
        <f t="shared" si="127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19"/>
        <v>37802480.859999999</v>
      </c>
      <c r="E803" s="67">
        <f t="shared" si="129"/>
        <v>40832947.399999999</v>
      </c>
      <c r="F803" s="67">
        <f t="shared" si="120"/>
        <v>49925.420000001788</v>
      </c>
      <c r="G803" s="70">
        <f t="shared" si="121"/>
        <v>1.32243816128813E-3</v>
      </c>
      <c r="H803" s="70"/>
      <c r="I803" s="70"/>
      <c r="J803" s="67">
        <f t="shared" si="130"/>
        <v>-3030466.5399999991</v>
      </c>
      <c r="K803" s="70">
        <f t="shared" si="131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4"/>
        <v>1.7857142857142857E-4</v>
      </c>
      <c r="Y803" s="70">
        <f t="shared" si="125"/>
        <v>1.1438667327167014E-3</v>
      </c>
      <c r="Z803" s="70">
        <f t="shared" si="126"/>
        <v>0</v>
      </c>
      <c r="AA803" s="70">
        <f t="shared" si="127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19"/>
        <v>37993712.399999999</v>
      </c>
      <c r="E804" s="67">
        <f t="shared" si="129"/>
        <v>40832947.399999999</v>
      </c>
      <c r="F804" s="67">
        <f t="shared" si="120"/>
        <v>191231.53999999911</v>
      </c>
      <c r="G804" s="70">
        <f t="shared" si="121"/>
        <v>5.0587034408725072E-3</v>
      </c>
      <c r="H804" s="70"/>
      <c r="I804" s="70"/>
      <c r="J804" s="67">
        <f t="shared" si="130"/>
        <v>-2839235</v>
      </c>
      <c r="K804" s="70">
        <f t="shared" si="131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4"/>
        <v>1.7857142857142857E-4</v>
      </c>
      <c r="Y804" s="70">
        <f t="shared" si="125"/>
        <v>4.8801320123010783E-3</v>
      </c>
      <c r="Z804" s="70">
        <f t="shared" si="126"/>
        <v>0</v>
      </c>
      <c r="AA804" s="70">
        <f t="shared" si="127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19"/>
        <v>37770609.659999996</v>
      </c>
      <c r="E805" s="67">
        <f t="shared" si="129"/>
        <v>40832947.399999999</v>
      </c>
      <c r="F805" s="67">
        <f t="shared" si="120"/>
        <v>-223102.74000000209</v>
      </c>
      <c r="G805" s="70">
        <f t="shared" si="121"/>
        <v>-5.8720963524480987E-3</v>
      </c>
      <c r="H805" s="70"/>
      <c r="I805" s="70"/>
      <c r="J805" s="67">
        <f t="shared" si="130"/>
        <v>-3062337.7400000021</v>
      </c>
      <c r="K805" s="70">
        <f t="shared" si="131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4"/>
        <v>1.7857142857142857E-4</v>
      </c>
      <c r="Y805" s="70">
        <f t="shared" si="125"/>
        <v>-6.0506677810195277E-3</v>
      </c>
      <c r="Z805" s="70">
        <f t="shared" si="126"/>
        <v>-6.0506677810195277E-3</v>
      </c>
      <c r="AA805" s="70">
        <f t="shared" si="127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19"/>
        <v>37139780.710000001</v>
      </c>
      <c r="E806" s="67">
        <f t="shared" si="129"/>
        <v>40832947.399999999</v>
      </c>
      <c r="F806" s="67">
        <f t="shared" si="120"/>
        <v>-630828.94999999553</v>
      </c>
      <c r="G806" s="70">
        <f t="shared" si="121"/>
        <v>-1.6701582412318297E-2</v>
      </c>
      <c r="H806" s="70"/>
      <c r="I806" s="70"/>
      <c r="J806" s="67">
        <f t="shared" si="130"/>
        <v>-3693166.6899999976</v>
      </c>
      <c r="K806" s="70">
        <f t="shared" si="131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4"/>
        <v>1.7857142857142857E-4</v>
      </c>
      <c r="Y806" s="70">
        <f t="shared" si="125"/>
        <v>-1.6880153840889724E-2</v>
      </c>
      <c r="Z806" s="70">
        <f t="shared" si="126"/>
        <v>-1.6880153840889724E-2</v>
      </c>
      <c r="AA806" s="70">
        <f t="shared" si="127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19"/>
        <v>37059871.32</v>
      </c>
      <c r="E807" s="67">
        <f t="shared" si="129"/>
        <v>40832947.399999999</v>
      </c>
      <c r="F807" s="67">
        <f t="shared" si="120"/>
        <v>-79909.390000000596</v>
      </c>
      <c r="G807" s="70">
        <f t="shared" si="121"/>
        <v>-2.1515848632483914E-3</v>
      </c>
      <c r="H807" s="70"/>
      <c r="I807" s="70"/>
      <c r="J807" s="67">
        <f t="shared" si="130"/>
        <v>-3773076.0799999982</v>
      </c>
      <c r="K807" s="70">
        <f t="shared" si="131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4"/>
        <v>1.7857142857142857E-4</v>
      </c>
      <c r="Y807" s="70">
        <f t="shared" si="125"/>
        <v>-2.3301562918198199E-3</v>
      </c>
      <c r="Z807" s="70">
        <f t="shared" si="126"/>
        <v>-2.3301562918198199E-3</v>
      </c>
      <c r="AA807" s="70">
        <f t="shared" si="127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19"/>
        <v>36509694.07</v>
      </c>
      <c r="E808" s="67">
        <f t="shared" si="129"/>
        <v>40832947.399999999</v>
      </c>
      <c r="F808" s="67">
        <f t="shared" si="120"/>
        <v>-550177.25</v>
      </c>
      <c r="G808" s="70">
        <f t="shared" si="121"/>
        <v>-1.4845633036590911E-2</v>
      </c>
      <c r="H808" s="70"/>
      <c r="I808" s="70"/>
      <c r="J808" s="67">
        <f t="shared" si="130"/>
        <v>-4323253.3299999982</v>
      </c>
      <c r="K808" s="70">
        <f t="shared" si="131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4"/>
        <v>1.7857142857142857E-4</v>
      </c>
      <c r="Y808" s="70">
        <f t="shared" si="125"/>
        <v>-1.502420446516234E-2</v>
      </c>
      <c r="Z808" s="70">
        <f t="shared" si="126"/>
        <v>-1.502420446516234E-2</v>
      </c>
      <c r="AA808" s="70">
        <f t="shared" si="127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19"/>
        <v>37075263.310000002</v>
      </c>
      <c r="E809" s="67">
        <f t="shared" si="129"/>
        <v>40832947.399999999</v>
      </c>
      <c r="F809" s="67">
        <f t="shared" si="120"/>
        <v>565569.24000000209</v>
      </c>
      <c r="G809" s="70">
        <f t="shared" si="121"/>
        <v>1.5490933419371763E-2</v>
      </c>
      <c r="H809" s="70"/>
      <c r="I809" s="70"/>
      <c r="J809" s="67">
        <f t="shared" si="130"/>
        <v>-3757684.0899999961</v>
      </c>
      <c r="K809" s="70">
        <f t="shared" si="131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4"/>
        <v>1.7857142857142857E-4</v>
      </c>
      <c r="Y809" s="70">
        <f t="shared" si="125"/>
        <v>1.5312361990800334E-2</v>
      </c>
      <c r="Z809" s="70">
        <f t="shared" si="126"/>
        <v>0</v>
      </c>
      <c r="AA809" s="70">
        <f t="shared" si="127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19"/>
        <v>36295471.159999996</v>
      </c>
      <c r="E810" s="67">
        <f t="shared" si="129"/>
        <v>40832947.399999999</v>
      </c>
      <c r="F810" s="67">
        <f t="shared" si="120"/>
        <v>-779792.15000000596</v>
      </c>
      <c r="G810" s="70">
        <f t="shared" si="121"/>
        <v>-2.1032680023871309E-2</v>
      </c>
      <c r="H810" s="70"/>
      <c r="I810" s="70"/>
      <c r="J810" s="67">
        <f t="shared" si="130"/>
        <v>-4537476.2400000021</v>
      </c>
      <c r="K810" s="70">
        <f t="shared" si="131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4"/>
        <v>1.7857142857142857E-4</v>
      </c>
      <c r="Y810" s="70">
        <f t="shared" si="125"/>
        <v>-2.1211251452442736E-2</v>
      </c>
      <c r="Z810" s="70">
        <f t="shared" si="126"/>
        <v>-2.1211251452442736E-2</v>
      </c>
      <c r="AA810" s="70">
        <f t="shared" si="127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2">B811</f>
        <v>35533364.659999996</v>
      </c>
      <c r="E811" s="67">
        <f t="shared" si="129"/>
        <v>40832947.399999999</v>
      </c>
      <c r="F811" s="67">
        <f t="shared" si="120"/>
        <v>-762106.5</v>
      </c>
      <c r="G811" s="70">
        <f t="shared" si="121"/>
        <v>-2.0997289073351157E-2</v>
      </c>
      <c r="H811" s="70"/>
      <c r="I811" s="70"/>
      <c r="J811" s="67">
        <f t="shared" si="130"/>
        <v>-5299582.7400000021</v>
      </c>
      <c r="K811" s="70">
        <f t="shared" si="131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4"/>
        <v>1.7857142857142857E-4</v>
      </c>
      <c r="Y811" s="70">
        <f t="shared" si="125"/>
        <v>-2.1175860501922585E-2</v>
      </c>
      <c r="Z811" s="70">
        <f t="shared" si="126"/>
        <v>-2.1175860501922585E-2</v>
      </c>
      <c r="AA811" s="70">
        <f t="shared" si="127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2"/>
        <v>34553049.789999999</v>
      </c>
      <c r="E812" s="67">
        <f t="shared" si="129"/>
        <v>40832947.399999999</v>
      </c>
      <c r="F812" s="67">
        <f t="shared" ref="F812:F875" si="133">B812-C812-D811</f>
        <v>-980314.86999999732</v>
      </c>
      <c r="G812" s="70">
        <f t="shared" ref="G812:G875" si="134">F812/B811</f>
        <v>-2.7588574270410716E-2</v>
      </c>
      <c r="H812" s="70"/>
      <c r="I812" s="70"/>
      <c r="J812" s="67">
        <f t="shared" si="130"/>
        <v>-6279897.6099999994</v>
      </c>
      <c r="K812" s="70">
        <f t="shared" si="131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4"/>
        <v>1.7857142857142857E-4</v>
      </c>
      <c r="Y812" s="70">
        <f t="shared" si="125"/>
        <v>-2.7767145698982143E-2</v>
      </c>
      <c r="Z812" s="70">
        <f t="shared" si="126"/>
        <v>-2.7767145698982143E-2</v>
      </c>
      <c r="AA812" s="70">
        <f t="shared" si="127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2"/>
        <v>34538286.840000004</v>
      </c>
      <c r="E813" s="67">
        <f t="shared" si="129"/>
        <v>40832947.399999999</v>
      </c>
      <c r="F813" s="67">
        <f t="shared" si="133"/>
        <v>-14762.94999999553</v>
      </c>
      <c r="G813" s="70">
        <f t="shared" si="134"/>
        <v>-4.272546154310256E-4</v>
      </c>
      <c r="H813" s="70"/>
      <c r="I813" s="70"/>
      <c r="J813" s="67">
        <f t="shared" si="130"/>
        <v>-6294660.5599999949</v>
      </c>
      <c r="K813" s="70">
        <f t="shared" si="131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4"/>
        <v>1.7857142857142857E-4</v>
      </c>
      <c r="Y813" s="70">
        <f t="shared" si="125"/>
        <v>-6.058260440024542E-4</v>
      </c>
      <c r="Z813" s="70">
        <f t="shared" si="126"/>
        <v>-6.058260440024542E-4</v>
      </c>
      <c r="AA813" s="70">
        <f t="shared" si="127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2"/>
        <v>35283365.799999997</v>
      </c>
      <c r="E814" s="67">
        <f t="shared" si="129"/>
        <v>40832947.399999999</v>
      </c>
      <c r="F814" s="67">
        <f t="shared" si="133"/>
        <v>745078.95999999344</v>
      </c>
      <c r="G814" s="70">
        <f t="shared" si="134"/>
        <v>2.157255116478711E-2</v>
      </c>
      <c r="H814" s="70"/>
      <c r="I814" s="70"/>
      <c r="J814" s="67">
        <f t="shared" si="130"/>
        <v>-5549581.6000000015</v>
      </c>
      <c r="K814" s="70">
        <f t="shared" si="131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4"/>
        <v>1.7857142857142857E-4</v>
      </c>
      <c r="Y814" s="70">
        <f t="shared" si="125"/>
        <v>2.1393979736215683E-2</v>
      </c>
      <c r="Z814" s="70">
        <f t="shared" si="126"/>
        <v>0</v>
      </c>
      <c r="AA814" s="70">
        <f t="shared" si="127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2"/>
        <v>35247069.990000002</v>
      </c>
      <c r="E815" s="67">
        <f t="shared" si="129"/>
        <v>40832947.399999999</v>
      </c>
      <c r="F815" s="67">
        <f t="shared" si="133"/>
        <v>-36295.809999994934</v>
      </c>
      <c r="G815" s="70">
        <f t="shared" si="134"/>
        <v>-1.0286946604168624E-3</v>
      </c>
      <c r="H815" s="70"/>
      <c r="I815" s="70"/>
      <c r="J815" s="67">
        <f t="shared" si="130"/>
        <v>-5585877.4099999964</v>
      </c>
      <c r="K815" s="70">
        <f t="shared" si="131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4"/>
        <v>1.7857142857142857E-4</v>
      </c>
      <c r="Y815" s="70">
        <f t="shared" si="125"/>
        <v>-1.2072660889882909E-3</v>
      </c>
      <c r="Z815" s="70">
        <f t="shared" si="126"/>
        <v>-1.2072660889882909E-3</v>
      </c>
      <c r="AA815" s="70">
        <f t="shared" si="127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2"/>
        <v>36370235.539999999</v>
      </c>
      <c r="E816" s="67">
        <f t="shared" si="129"/>
        <v>40832947.399999999</v>
      </c>
      <c r="F816" s="67">
        <f t="shared" si="133"/>
        <v>1123165.549999997</v>
      </c>
      <c r="G816" s="70">
        <f t="shared" si="134"/>
        <v>3.1865501169846232E-2</v>
      </c>
      <c r="H816" s="70"/>
      <c r="I816" s="70"/>
      <c r="J816" s="67">
        <f t="shared" si="130"/>
        <v>-4462711.8599999994</v>
      </c>
      <c r="K816" s="70">
        <f t="shared" si="131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4"/>
        <v>1.7857142857142857E-4</v>
      </c>
      <c r="Y816" s="70">
        <f t="shared" si="125"/>
        <v>3.1686929741274801E-2</v>
      </c>
      <c r="Z816" s="70">
        <f t="shared" si="126"/>
        <v>0</v>
      </c>
      <c r="AA816" s="70">
        <f t="shared" si="127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2"/>
        <v>34962016.630000003</v>
      </c>
      <c r="E817" s="67">
        <f t="shared" si="129"/>
        <v>40832947.399999999</v>
      </c>
      <c r="F817" s="67">
        <f t="shared" si="133"/>
        <v>-1408218.9099999964</v>
      </c>
      <c r="G817" s="70">
        <f t="shared" si="134"/>
        <v>-3.8718993404682156E-2</v>
      </c>
      <c r="H817" s="70"/>
      <c r="I817" s="70"/>
      <c r="J817" s="67">
        <f t="shared" si="130"/>
        <v>-5870930.7699999958</v>
      </c>
      <c r="K817" s="70">
        <f t="shared" si="131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4"/>
        <v>1.7857142857142857E-4</v>
      </c>
      <c r="Y817" s="70">
        <f t="shared" si="125"/>
        <v>-3.8897564833253587E-2</v>
      </c>
      <c r="Z817" s="70">
        <f t="shared" si="126"/>
        <v>-3.8897564833253587E-2</v>
      </c>
      <c r="AA817" s="70">
        <f t="shared" si="127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2"/>
        <v>35420054.43</v>
      </c>
      <c r="E818" s="67">
        <f t="shared" si="129"/>
        <v>40832947.399999999</v>
      </c>
      <c r="F818" s="67">
        <f t="shared" si="133"/>
        <v>458037.79999999702</v>
      </c>
      <c r="G818" s="70">
        <f t="shared" si="134"/>
        <v>1.3101012016765836E-2</v>
      </c>
      <c r="H818" s="70"/>
      <c r="I818" s="70"/>
      <c r="J818" s="67">
        <f t="shared" si="130"/>
        <v>-5412892.9699999988</v>
      </c>
      <c r="K818" s="70">
        <f t="shared" si="131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4"/>
        <v>1.7857142857142857E-4</v>
      </c>
      <c r="Y818" s="70">
        <f t="shared" si="125"/>
        <v>1.2922440588194407E-2</v>
      </c>
      <c r="Z818" s="70">
        <f t="shared" si="126"/>
        <v>0</v>
      </c>
      <c r="AA818" s="70">
        <f t="shared" si="127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2"/>
        <v>35821945.140000001</v>
      </c>
      <c r="E819" s="67">
        <f t="shared" si="129"/>
        <v>40832947.399999999</v>
      </c>
      <c r="F819" s="67">
        <f t="shared" si="133"/>
        <v>401890.71000000089</v>
      </c>
      <c r="G819" s="70">
        <f t="shared" si="134"/>
        <v>1.13464170642157E-2</v>
      </c>
      <c r="H819" s="70"/>
      <c r="I819" s="70"/>
      <c r="J819" s="67">
        <f t="shared" si="130"/>
        <v>-5011002.2599999979</v>
      </c>
      <c r="K819" s="70">
        <f t="shared" si="131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4"/>
        <v>1.7857142857142857E-4</v>
      </c>
      <c r="Y819" s="70">
        <f t="shared" si="125"/>
        <v>1.1167845635644271E-2</v>
      </c>
      <c r="Z819" s="70">
        <f t="shared" si="126"/>
        <v>0</v>
      </c>
      <c r="AA819" s="70">
        <f t="shared" si="127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2"/>
        <v>37058477.649999999</v>
      </c>
      <c r="E820" s="67">
        <f t="shared" si="129"/>
        <v>40832947.399999999</v>
      </c>
      <c r="F820" s="67">
        <f t="shared" si="133"/>
        <v>1236532.5099999979</v>
      </c>
      <c r="G820" s="70">
        <f t="shared" si="134"/>
        <v>3.451885443873464E-2</v>
      </c>
      <c r="H820" s="70"/>
      <c r="I820" s="70"/>
      <c r="J820" s="67">
        <f t="shared" si="130"/>
        <v>-3774469.75</v>
      </c>
      <c r="K820" s="70">
        <f t="shared" si="131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4"/>
        <v>1.7857142857142857E-4</v>
      </c>
      <c r="Y820" s="70">
        <f t="shared" si="125"/>
        <v>3.434028301016321E-2</v>
      </c>
      <c r="Z820" s="70">
        <f t="shared" si="126"/>
        <v>0</v>
      </c>
      <c r="AA820" s="70">
        <f t="shared" si="127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2"/>
        <v>37273081.189999998</v>
      </c>
      <c r="E821" s="67">
        <f t="shared" si="129"/>
        <v>40832947.399999999</v>
      </c>
      <c r="F821" s="67">
        <f t="shared" si="133"/>
        <v>214603.53999999911</v>
      </c>
      <c r="G821" s="70">
        <f t="shared" si="134"/>
        <v>5.7909432229469662E-3</v>
      </c>
      <c r="H821" s="70"/>
      <c r="I821" s="70"/>
      <c r="J821" s="67">
        <f t="shared" si="130"/>
        <v>-3559866.2100000009</v>
      </c>
      <c r="K821" s="70">
        <f t="shared" si="131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4"/>
        <v>1.7857142857142857E-4</v>
      </c>
      <c r="Y821" s="70">
        <f t="shared" si="125"/>
        <v>5.6123717943755373E-3</v>
      </c>
      <c r="Z821" s="70">
        <f t="shared" si="126"/>
        <v>0</v>
      </c>
      <c r="AA821" s="70">
        <f t="shared" si="127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2"/>
        <v>37415302.899999999</v>
      </c>
      <c r="E822" s="80">
        <f t="shared" si="129"/>
        <v>40832947.399999999</v>
      </c>
      <c r="F822" s="80">
        <f t="shared" si="133"/>
        <v>142221.71000000089</v>
      </c>
      <c r="G822" s="81">
        <f t="shared" si="134"/>
        <v>3.8156681835618566E-3</v>
      </c>
      <c r="H822" s="81"/>
      <c r="I822" s="81"/>
      <c r="J822" s="80">
        <f t="shared" si="130"/>
        <v>-3417644.5</v>
      </c>
      <c r="K822" s="81">
        <f t="shared" si="131"/>
        <v>-8.3698207394159341E-2</v>
      </c>
      <c r="L822" s="81">
        <f t="shared" si="123"/>
        <v>1.0038156681835619</v>
      </c>
      <c r="M822" s="81">
        <f>PRODUCT($L$2:L822)-1</f>
        <v>-9.384870959503977E-2</v>
      </c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>
        <f t="shared" si="124"/>
        <v>1.7857142857142857E-4</v>
      </c>
      <c r="Y822" s="81">
        <f t="shared" si="125"/>
        <v>3.6370967549904281E-3</v>
      </c>
      <c r="Z822" s="81">
        <f t="shared" si="126"/>
        <v>0</v>
      </c>
      <c r="AA822" s="81">
        <f t="shared" si="127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2"/>
        <v>37399973.619999997</v>
      </c>
      <c r="E823" s="67">
        <f t="shared" si="129"/>
        <v>37415302.899999999</v>
      </c>
      <c r="F823" s="67">
        <f t="shared" si="133"/>
        <v>-15329.280000001192</v>
      </c>
      <c r="G823" s="70">
        <f t="shared" si="134"/>
        <v>-4.0970615795819716E-4</v>
      </c>
      <c r="H823" s="70"/>
      <c r="I823" s="70"/>
      <c r="J823" s="67">
        <f t="shared" si="130"/>
        <v>-15329.280000001192</v>
      </c>
      <c r="K823" s="70">
        <f>G823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4"/>
        <v>1.7857142857142857E-4</v>
      </c>
      <c r="Y823" s="70">
        <f t="shared" si="125"/>
        <v>-5.8827758652962576E-4</v>
      </c>
      <c r="Z823" s="70">
        <f t="shared" si="126"/>
        <v>-5.8827758652962576E-4</v>
      </c>
      <c r="AA823" s="70">
        <f t="shared" si="127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2"/>
        <v>37362875.890000001</v>
      </c>
      <c r="E824" s="67">
        <f t="shared" si="129"/>
        <v>37415302.899999999</v>
      </c>
      <c r="F824" s="67">
        <f t="shared" si="133"/>
        <v>-37097.729999996722</v>
      </c>
      <c r="G824" s="70">
        <f t="shared" si="134"/>
        <v>-9.9191861408582261E-4</v>
      </c>
      <c r="H824" s="70"/>
      <c r="I824" s="70"/>
      <c r="J824" s="67">
        <f t="shared" si="130"/>
        <v>-52427.009999997914</v>
      </c>
      <c r="K824" s="70">
        <f t="shared" ref="K824:K843" si="135">(1+K823)*(1+G824)-1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4"/>
        <v>1.7857142857142857E-4</v>
      </c>
      <c r="Y824" s="70">
        <f t="shared" si="125"/>
        <v>-1.1704900426572512E-3</v>
      </c>
      <c r="Z824" s="70">
        <f t="shared" si="126"/>
        <v>-1.1704900426572512E-3</v>
      </c>
      <c r="AA824" s="70">
        <f t="shared" si="127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2"/>
        <v>37259332.490000002</v>
      </c>
      <c r="E825" s="67">
        <f t="shared" si="129"/>
        <v>37415302.899999999</v>
      </c>
      <c r="F825" s="67">
        <f t="shared" si="133"/>
        <v>-103543.39999999851</v>
      </c>
      <c r="G825" s="70">
        <f t="shared" si="134"/>
        <v>-2.7712909548194445E-3</v>
      </c>
      <c r="H825" s="70"/>
      <c r="I825" s="70"/>
      <c r="J825" s="67">
        <f t="shared" si="130"/>
        <v>-155970.40999999642</v>
      </c>
      <c r="K825" s="70">
        <f t="shared" si="135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4"/>
        <v>1.7857142857142857E-4</v>
      </c>
      <c r="Y825" s="70">
        <f t="shared" si="125"/>
        <v>-2.949862383390873E-3</v>
      </c>
      <c r="Z825" s="70">
        <f t="shared" si="126"/>
        <v>-2.949862383390873E-3</v>
      </c>
      <c r="AA825" s="70">
        <f t="shared" si="127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2"/>
        <v>36700729.82</v>
      </c>
      <c r="E826" s="67">
        <f t="shared" si="129"/>
        <v>37415302.899999999</v>
      </c>
      <c r="F826" s="67">
        <f t="shared" si="133"/>
        <v>-558602.67000000179</v>
      </c>
      <c r="G826" s="70">
        <f t="shared" si="134"/>
        <v>-1.4992288714509973E-2</v>
      </c>
      <c r="H826" s="70"/>
      <c r="I826" s="70"/>
      <c r="J826" s="67">
        <f t="shared" si="130"/>
        <v>-714573.07999999821</v>
      </c>
      <c r="K826" s="70">
        <f t="shared" si="135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4"/>
        <v>1.7857142857142857E-4</v>
      </c>
      <c r="Y826" s="70">
        <f t="shared" si="125"/>
        <v>-1.5170860143081402E-2</v>
      </c>
      <c r="Z826" s="70">
        <f t="shared" si="126"/>
        <v>-1.5170860143081402E-2</v>
      </c>
      <c r="AA826" s="70">
        <f t="shared" si="127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2"/>
        <v>36420899.32</v>
      </c>
      <c r="E827" s="67">
        <f t="shared" si="129"/>
        <v>37415302.899999999</v>
      </c>
      <c r="F827" s="67">
        <f t="shared" si="133"/>
        <v>-279830.5</v>
      </c>
      <c r="G827" s="70">
        <f t="shared" si="134"/>
        <v>-7.6246576395738825E-3</v>
      </c>
      <c r="H827" s="70"/>
      <c r="I827" s="70"/>
      <c r="J827" s="67">
        <f t="shared" si="130"/>
        <v>-994403.57999999821</v>
      </c>
      <c r="K827" s="70">
        <f t="shared" si="135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4"/>
        <v>1.7857142857142857E-4</v>
      </c>
      <c r="Y827" s="70">
        <f t="shared" si="125"/>
        <v>-7.8032290681453115E-3</v>
      </c>
      <c r="Z827" s="70">
        <f t="shared" si="126"/>
        <v>-7.8032290681453115E-3</v>
      </c>
      <c r="AA827" s="70">
        <f t="shared" si="127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2"/>
        <v>36587448.170000002</v>
      </c>
      <c r="E828" s="67">
        <f t="shared" si="129"/>
        <v>37415302.899999999</v>
      </c>
      <c r="F828" s="67">
        <f t="shared" si="133"/>
        <v>166548.85000000149</v>
      </c>
      <c r="G828" s="70">
        <f t="shared" si="134"/>
        <v>4.5728922983662747E-3</v>
      </c>
      <c r="H828" s="70"/>
      <c r="I828" s="70"/>
      <c r="J828" s="67">
        <f t="shared" si="130"/>
        <v>-827854.72999999672</v>
      </c>
      <c r="K828" s="70">
        <f t="shared" si="135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4"/>
        <v>1.7857142857142857E-4</v>
      </c>
      <c r="Y828" s="70">
        <f t="shared" si="125"/>
        <v>4.3943208697948457E-3</v>
      </c>
      <c r="Z828" s="70">
        <f t="shared" si="126"/>
        <v>0</v>
      </c>
      <c r="AA828" s="70">
        <f t="shared" si="127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2"/>
        <v>37295364.140000001</v>
      </c>
      <c r="E829" s="67">
        <f t="shared" si="129"/>
        <v>37415302.899999999</v>
      </c>
      <c r="F829" s="67">
        <f t="shared" si="133"/>
        <v>707915.96999999881</v>
      </c>
      <c r="G829" s="70">
        <f t="shared" si="134"/>
        <v>1.9348601922460851E-2</v>
      </c>
      <c r="H829" s="70"/>
      <c r="I829" s="70"/>
      <c r="J829" s="67">
        <f t="shared" si="130"/>
        <v>-119938.75999999791</v>
      </c>
      <c r="K829" s="70">
        <f t="shared" si="135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4"/>
        <v>1.7857142857142857E-4</v>
      </c>
      <c r="Y829" s="70">
        <f t="shared" si="125"/>
        <v>1.9170030493889424E-2</v>
      </c>
      <c r="Z829" s="70">
        <f t="shared" si="126"/>
        <v>0</v>
      </c>
      <c r="AA829" s="70">
        <f t="shared" si="127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2"/>
        <v>36577928.909999996</v>
      </c>
      <c r="E830" s="67">
        <f t="shared" si="129"/>
        <v>37415302.899999999</v>
      </c>
      <c r="F830" s="67">
        <f t="shared" si="133"/>
        <v>-717435.23000000417</v>
      </c>
      <c r="G830" s="70">
        <f t="shared" si="134"/>
        <v>-1.9236579305322857E-2</v>
      </c>
      <c r="H830" s="70"/>
      <c r="I830" s="70"/>
      <c r="J830" s="67">
        <f t="shared" si="130"/>
        <v>-837373.99000000209</v>
      </c>
      <c r="K830" s="70">
        <f t="shared" si="135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4"/>
        <v>1.7857142857142857E-4</v>
      </c>
      <c r="Y830" s="70">
        <f t="shared" si="125"/>
        <v>-1.9415150733894285E-2</v>
      </c>
      <c r="Z830" s="70">
        <f t="shared" si="126"/>
        <v>-1.9415150733894285E-2</v>
      </c>
      <c r="AA830" s="70">
        <f t="shared" si="127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2"/>
        <v>36780790.390000001</v>
      </c>
      <c r="E831" s="67">
        <f t="shared" si="129"/>
        <v>37415302.899999999</v>
      </c>
      <c r="F831" s="67">
        <f t="shared" si="133"/>
        <v>202861.48000000417</v>
      </c>
      <c r="G831" s="70">
        <f t="shared" si="134"/>
        <v>5.546007826171484E-3</v>
      </c>
      <c r="H831" s="70"/>
      <c r="I831" s="70"/>
      <c r="J831" s="67">
        <f t="shared" si="130"/>
        <v>-634512.50999999791</v>
      </c>
      <c r="K831" s="70">
        <f t="shared" si="135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4"/>
        <v>1.7857142857142857E-4</v>
      </c>
      <c r="Y831" s="70">
        <f t="shared" si="125"/>
        <v>5.367436397600055E-3</v>
      </c>
      <c r="Z831" s="70">
        <f t="shared" si="126"/>
        <v>0</v>
      </c>
      <c r="AA831" s="70">
        <f t="shared" si="127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2"/>
        <v>37479882.950000003</v>
      </c>
      <c r="E832" s="67">
        <f t="shared" si="129"/>
        <v>37415302.899999999</v>
      </c>
      <c r="F832" s="67">
        <f t="shared" si="133"/>
        <v>699092.56000000238</v>
      </c>
      <c r="G832" s="70">
        <f t="shared" si="134"/>
        <v>1.900700209504123E-2</v>
      </c>
      <c r="H832" s="70"/>
      <c r="I832" s="70"/>
      <c r="J832" s="67">
        <f t="shared" si="130"/>
        <v>64580.05000000447</v>
      </c>
      <c r="K832" s="70">
        <f t="shared" si="135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4"/>
        <v>1.7857142857142857E-4</v>
      </c>
      <c r="Y832" s="70">
        <f t="shared" si="125"/>
        <v>1.8828430666469803E-2</v>
      </c>
      <c r="Z832" s="70">
        <f t="shared" si="126"/>
        <v>0</v>
      </c>
      <c r="AA832" s="70">
        <f t="shared" si="127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2"/>
        <v>36247106.350000001</v>
      </c>
      <c r="E833" s="67">
        <f t="shared" si="129"/>
        <v>37415302.899999999</v>
      </c>
      <c r="F833" s="67">
        <f t="shared" si="133"/>
        <v>-1232776.6000000015</v>
      </c>
      <c r="G833" s="70">
        <f t="shared" si="134"/>
        <v>-3.2891687565956E-2</v>
      </c>
      <c r="H833" s="70"/>
      <c r="I833" s="70"/>
      <c r="J833" s="67">
        <f t="shared" si="130"/>
        <v>-1168196.549999997</v>
      </c>
      <c r="K833" s="70">
        <f t="shared" si="135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4"/>
        <v>1.7857142857142857E-4</v>
      </c>
      <c r="Y833" s="70">
        <f t="shared" si="125"/>
        <v>-3.3070258994527431E-2</v>
      </c>
      <c r="Z833" s="70">
        <f t="shared" si="126"/>
        <v>-3.3070258994527431E-2</v>
      </c>
      <c r="AA833" s="70">
        <f t="shared" si="127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2"/>
        <v>36112396.079999998</v>
      </c>
      <c r="E834" s="67">
        <f t="shared" si="129"/>
        <v>37415302.899999999</v>
      </c>
      <c r="F834" s="67">
        <f t="shared" si="133"/>
        <v>-134710.27000000328</v>
      </c>
      <c r="G834" s="70">
        <f t="shared" si="134"/>
        <v>-3.7164420436558042E-3</v>
      </c>
      <c r="H834" s="70"/>
      <c r="I834" s="70"/>
      <c r="J834" s="67">
        <f t="shared" si="130"/>
        <v>-1302906.8200000003</v>
      </c>
      <c r="K834" s="70">
        <f t="shared" si="135"/>
        <v>-3.4822832344355681E-2</v>
      </c>
      <c r="L834" s="70">
        <f t="shared" ref="L834:L897" si="136">1+G834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4"/>
        <v>1.7857142857142857E-4</v>
      </c>
      <c r="Y834" s="70">
        <f t="shared" si="125"/>
        <v>-3.8950134722272327E-3</v>
      </c>
      <c r="Z834" s="70">
        <f t="shared" si="126"/>
        <v>-3.8950134722272327E-3</v>
      </c>
      <c r="AA834" s="70">
        <f t="shared" si="127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2"/>
        <v>35938288.780000001</v>
      </c>
      <c r="E835" s="67">
        <f t="shared" si="129"/>
        <v>37415302.899999999</v>
      </c>
      <c r="F835" s="67">
        <f t="shared" si="133"/>
        <v>-174107.29999999702</v>
      </c>
      <c r="G835" s="70">
        <f t="shared" si="134"/>
        <v>-4.8212613644992184E-3</v>
      </c>
      <c r="H835" s="70"/>
      <c r="I835" s="70"/>
      <c r="J835" s="67">
        <f t="shared" si="130"/>
        <v>-1477014.1199999973</v>
      </c>
      <c r="K835" s="70">
        <f t="shared" si="135"/>
        <v>-3.9476203732670689E-2</v>
      </c>
      <c r="L835" s="70">
        <f t="shared" si="136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4"/>
        <v>1.7857142857142857E-4</v>
      </c>
      <c r="Y835" s="70">
        <f t="shared" si="125"/>
        <v>-4.9998327930706474E-3</v>
      </c>
      <c r="Z835" s="70">
        <f t="shared" si="126"/>
        <v>-4.9998327930706474E-3</v>
      </c>
      <c r="AA835" s="70">
        <f t="shared" si="127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2"/>
        <v>35018269.920000002</v>
      </c>
      <c r="E836" s="67">
        <f t="shared" si="129"/>
        <v>37415302.899999999</v>
      </c>
      <c r="F836" s="67">
        <f t="shared" si="133"/>
        <v>-920018.8599999994</v>
      </c>
      <c r="G836" s="70">
        <f t="shared" si="134"/>
        <v>-2.5599962915095687E-2</v>
      </c>
      <c r="H836" s="70"/>
      <c r="I836" s="70"/>
      <c r="J836" s="67">
        <f t="shared" si="130"/>
        <v>-2397032.9799999967</v>
      </c>
      <c r="K836" s="70">
        <f t="shared" si="135"/>
        <v>-6.4065577296181231E-2</v>
      </c>
      <c r="L836" s="70">
        <f t="shared" si="136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4"/>
        <v>1.7857142857142857E-4</v>
      </c>
      <c r="Y836" s="70">
        <f t="shared" si="125"/>
        <v>-2.5778534343667114E-2</v>
      </c>
      <c r="Z836" s="70">
        <f t="shared" si="126"/>
        <v>-2.5778534343667114E-2</v>
      </c>
      <c r="AA836" s="70">
        <f t="shared" si="127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2"/>
        <v>33662396.439999998</v>
      </c>
      <c r="E837" s="67">
        <f t="shared" si="129"/>
        <v>37415302.899999999</v>
      </c>
      <c r="F837" s="67">
        <f t="shared" si="133"/>
        <v>-1355873.4800000042</v>
      </c>
      <c r="G837" s="70">
        <f t="shared" si="134"/>
        <v>-3.8719031040012161E-2</v>
      </c>
      <c r="H837" s="70"/>
      <c r="I837" s="70"/>
      <c r="J837" s="67">
        <f t="shared" si="130"/>
        <v>-3752906.4600000009</v>
      </c>
      <c r="K837" s="70">
        <f t="shared" si="135"/>
        <v>-0.10030405126026631</v>
      </c>
      <c r="L837" s="70">
        <f t="shared" si="136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4"/>
        <v>1.7857142857142857E-4</v>
      </c>
      <c r="Y837" s="70">
        <f t="shared" si="125"/>
        <v>-3.8897602468583592E-2</v>
      </c>
      <c r="Z837" s="70">
        <f t="shared" si="126"/>
        <v>-3.8897602468583592E-2</v>
      </c>
      <c r="AA837" s="70">
        <f t="shared" si="127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2"/>
        <v>33821012.450000003</v>
      </c>
      <c r="E838" s="67">
        <f t="shared" si="129"/>
        <v>37415302.899999999</v>
      </c>
      <c r="F838" s="67">
        <f t="shared" si="133"/>
        <v>158616.01000000536</v>
      </c>
      <c r="G838" s="70">
        <f t="shared" si="134"/>
        <v>4.7119642917497935E-3</v>
      </c>
      <c r="H838" s="70"/>
      <c r="I838" s="70"/>
      <c r="J838" s="67">
        <f t="shared" si="130"/>
        <v>-3594290.4499999955</v>
      </c>
      <c r="K838" s="70">
        <f t="shared" si="135"/>
        <v>-9.6064716076372791E-2</v>
      </c>
      <c r="L838" s="70">
        <f t="shared" si="136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4"/>
        <v>1.7857142857142857E-4</v>
      </c>
      <c r="Y838" s="70">
        <f t="shared" si="125"/>
        <v>4.5333928631783645E-3</v>
      </c>
      <c r="Z838" s="70">
        <f t="shared" si="126"/>
        <v>0</v>
      </c>
      <c r="AA838" s="70">
        <f t="shared" si="127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2"/>
        <v>33891403.340000004</v>
      </c>
      <c r="E839" s="67">
        <f t="shared" si="129"/>
        <v>37415302.899999999</v>
      </c>
      <c r="F839" s="67">
        <f t="shared" si="133"/>
        <v>70390.890000000596</v>
      </c>
      <c r="G839" s="70">
        <f t="shared" si="134"/>
        <v>2.0812768424382454E-3</v>
      </c>
      <c r="H839" s="70"/>
      <c r="I839" s="70"/>
      <c r="J839" s="67">
        <f t="shared" si="130"/>
        <v>-3523899.5599999949</v>
      </c>
      <c r="K839" s="70">
        <f t="shared" si="135"/>
        <v>-9.4183376502879668E-2</v>
      </c>
      <c r="L839" s="70">
        <f t="shared" si="136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4"/>
        <v>1.7857142857142857E-4</v>
      </c>
      <c r="Y839" s="70">
        <f t="shared" si="125"/>
        <v>1.9027054138668169E-3</v>
      </c>
      <c r="Z839" s="70">
        <f t="shared" si="126"/>
        <v>0</v>
      </c>
      <c r="AA839" s="70">
        <f t="shared" si="127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2"/>
        <v>33065531.489999998</v>
      </c>
      <c r="E840" s="67">
        <f t="shared" si="129"/>
        <v>37415302.899999999</v>
      </c>
      <c r="F840" s="67">
        <f t="shared" si="133"/>
        <v>-825871.85000000522</v>
      </c>
      <c r="G840" s="70">
        <f t="shared" si="134"/>
        <v>-2.436818097246737E-2</v>
      </c>
      <c r="H840" s="70"/>
      <c r="I840" s="70"/>
      <c r="J840" s="67">
        <f t="shared" si="130"/>
        <v>-4349771.41</v>
      </c>
      <c r="K840" s="70">
        <f t="shared" si="135"/>
        <v>-0.11625647991212684</v>
      </c>
      <c r="L840" s="70">
        <f t="shared" si="136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4"/>
        <v>1.7857142857142857E-4</v>
      </c>
      <c r="Y840" s="70">
        <f t="shared" si="125"/>
        <v>-2.4546752401038797E-2</v>
      </c>
      <c r="Z840" s="70">
        <f t="shared" si="126"/>
        <v>-2.4546752401038797E-2</v>
      </c>
      <c r="AA840" s="70">
        <f t="shared" si="127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2"/>
        <v>33292196.699999999</v>
      </c>
      <c r="E841" s="67">
        <f t="shared" si="129"/>
        <v>37415302.899999999</v>
      </c>
      <c r="F841" s="67">
        <f t="shared" si="133"/>
        <v>226665.21000000089</v>
      </c>
      <c r="G841" s="70">
        <f t="shared" si="134"/>
        <v>6.8550299900230309E-3</v>
      </c>
      <c r="H841" s="70"/>
      <c r="I841" s="70"/>
      <c r="J841" s="67">
        <f t="shared" si="130"/>
        <v>-4123106.1999999993</v>
      </c>
      <c r="K841" s="70">
        <f t="shared" si="135"/>
        <v>-0.11019839157843603</v>
      </c>
      <c r="L841" s="70">
        <f t="shared" si="136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4"/>
        <v>1.7857142857142857E-4</v>
      </c>
      <c r="Y841" s="70">
        <f t="shared" si="125"/>
        <v>6.6764585614516019E-3</v>
      </c>
      <c r="Z841" s="70">
        <f t="shared" si="126"/>
        <v>0</v>
      </c>
      <c r="AA841" s="70">
        <f t="shared" si="127"/>
        <v>0</v>
      </c>
    </row>
    <row r="842" spans="1:27">
      <c r="A842" s="88">
        <v>45197</v>
      </c>
      <c r="B842" s="76">
        <v>33568674.93</v>
      </c>
      <c r="C842" s="6"/>
      <c r="D842" s="67">
        <f t="shared" si="132"/>
        <v>33568674.93</v>
      </c>
      <c r="E842" s="67">
        <f t="shared" si="129"/>
        <v>37415302.899999999</v>
      </c>
      <c r="F842" s="67">
        <f t="shared" si="133"/>
        <v>276478.23000000045</v>
      </c>
      <c r="G842" s="70">
        <f t="shared" si="134"/>
        <v>8.3045955931168834E-3</v>
      </c>
      <c r="H842" s="70"/>
      <c r="I842" s="70"/>
      <c r="J842" s="67">
        <f t="shared" si="130"/>
        <v>-3846627.9699999988</v>
      </c>
      <c r="K842" s="70">
        <f t="shared" si="135"/>
        <v>-0.10280894906239002</v>
      </c>
      <c r="L842" s="70">
        <f t="shared" si="136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4"/>
        <v>1.7857142857142857E-4</v>
      </c>
      <c r="Y842" s="70">
        <f t="shared" si="125"/>
        <v>8.1260241645454544E-3</v>
      </c>
      <c r="Z842" s="70">
        <f t="shared" si="126"/>
        <v>0</v>
      </c>
      <c r="AA842" s="70">
        <f t="shared" si="127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2"/>
        <v>33459347.530000001</v>
      </c>
      <c r="E843" s="80">
        <f t="shared" si="129"/>
        <v>37415302.899999999</v>
      </c>
      <c r="F843" s="80">
        <f t="shared" si="133"/>
        <v>-109327.39999999851</v>
      </c>
      <c r="G843" s="81">
        <f t="shared" si="134"/>
        <v>-3.2568279870437682E-3</v>
      </c>
      <c r="H843" s="81"/>
      <c r="I843" s="81"/>
      <c r="J843" s="80">
        <f t="shared" si="130"/>
        <v>-3955955.3699999973</v>
      </c>
      <c r="K843" s="81">
        <f t="shared" si="135"/>
        <v>-0.10573094598680877</v>
      </c>
      <c r="L843" s="81">
        <f t="shared" si="136"/>
        <v>0.99674317201295626</v>
      </c>
      <c r="M843" s="81">
        <f>PRODUCT($L$2:L843)-1</f>
        <v>-0.18965694273672362</v>
      </c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>
        <f t="shared" ref="X843:X906" si="137">4.5%/252</f>
        <v>1.7857142857142857E-4</v>
      </c>
      <c r="Y843" s="81">
        <f t="shared" ref="Y843:Y906" si="138">G843-X843</f>
        <v>-3.4353994156151968E-3</v>
      </c>
      <c r="Z843" s="81">
        <f t="shared" ref="Z843:Z906" si="139">IF(Y843&lt;0,Y843,0)</f>
        <v>-3.4353994156151968E-3</v>
      </c>
      <c r="AA843" s="81">
        <f t="shared" ref="AA843:AA906" si="140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2"/>
        <v>33582101.109999999</v>
      </c>
      <c r="E844" s="67">
        <f t="shared" si="129"/>
        <v>33459347.530000001</v>
      </c>
      <c r="F844" s="67">
        <f t="shared" si="133"/>
        <v>122753.57999999821</v>
      </c>
      <c r="G844" s="70">
        <f t="shared" si="134"/>
        <v>3.6687380078148884E-3</v>
      </c>
      <c r="H844" s="70"/>
      <c r="I844" s="70"/>
      <c r="J844" s="67">
        <f t="shared" si="130"/>
        <v>122753.57999999821</v>
      </c>
      <c r="K844" s="70">
        <f>G844</f>
        <v>3.6687380078148884E-3</v>
      </c>
      <c r="L844" s="70">
        <f t="shared" si="136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37"/>
        <v>1.7857142857142857E-4</v>
      </c>
      <c r="Y844" s="70">
        <f t="shared" si="138"/>
        <v>3.4901665792434599E-3</v>
      </c>
      <c r="Z844" s="70">
        <f t="shared" si="139"/>
        <v>0</v>
      </c>
      <c r="AA844" s="70">
        <f t="shared" si="140"/>
        <v>0</v>
      </c>
    </row>
    <row r="845" spans="1:27">
      <c r="A845" s="88">
        <v>45202</v>
      </c>
      <c r="B845" s="76">
        <v>32417340</v>
      </c>
      <c r="C845" s="6"/>
      <c r="D845" s="67">
        <f t="shared" si="132"/>
        <v>32417340</v>
      </c>
      <c r="E845" s="67">
        <f t="shared" si="129"/>
        <v>33459347.530000001</v>
      </c>
      <c r="F845" s="67">
        <f t="shared" si="133"/>
        <v>-1164761.1099999994</v>
      </c>
      <c r="G845" s="70">
        <f t="shared" si="134"/>
        <v>-3.4683985560783136E-2</v>
      </c>
      <c r="H845" s="70"/>
      <c r="I845" s="70"/>
      <c r="J845" s="67">
        <f t="shared" si="130"/>
        <v>-1042007.5300000012</v>
      </c>
      <c r="K845" s="70">
        <f t="shared" ref="K845:K865" si="141">(1+K844)*(1+G845)-1</f>
        <v>-3.1142494009057553E-2</v>
      </c>
      <c r="L845" s="70">
        <f t="shared" si="136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37"/>
        <v>1.7857142857142857E-4</v>
      </c>
      <c r="Y845" s="70">
        <f t="shared" si="138"/>
        <v>-3.4862556989354566E-2</v>
      </c>
      <c r="Z845" s="70">
        <f t="shared" si="139"/>
        <v>-3.4862556989354566E-2</v>
      </c>
      <c r="AA845" s="70">
        <f t="shared" si="140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2"/>
        <v>33251791.859999999</v>
      </c>
      <c r="E846" s="67">
        <f t="shared" si="129"/>
        <v>33459347.530000001</v>
      </c>
      <c r="F846" s="67">
        <f t="shared" si="133"/>
        <v>834451.8599999994</v>
      </c>
      <c r="G846" s="70">
        <f t="shared" si="134"/>
        <v>2.5740910882879331E-2</v>
      </c>
      <c r="H846" s="70"/>
      <c r="I846" s="70"/>
      <c r="J846" s="67">
        <f t="shared" si="130"/>
        <v>-207555.67000000179</v>
      </c>
      <c r="K846" s="70">
        <f t="shared" si="141"/>
        <v>-6.2032192891360305E-3</v>
      </c>
      <c r="L846" s="70">
        <f t="shared" si="136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37"/>
        <v>1.7857142857142857E-4</v>
      </c>
      <c r="Y846" s="70">
        <f t="shared" si="138"/>
        <v>2.5562339454307904E-2</v>
      </c>
      <c r="Z846" s="70">
        <f t="shared" si="139"/>
        <v>0</v>
      </c>
      <c r="AA846" s="70">
        <f t="shared" si="140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2"/>
        <v>32927746.440000001</v>
      </c>
      <c r="E847" s="67">
        <f t="shared" si="129"/>
        <v>33459347.530000001</v>
      </c>
      <c r="F847" s="67">
        <f t="shared" si="133"/>
        <v>-324045.41999999806</v>
      </c>
      <c r="G847" s="70">
        <f t="shared" si="134"/>
        <v>-9.7452017432421781E-3</v>
      </c>
      <c r="H847" s="70"/>
      <c r="I847" s="70"/>
      <c r="J847" s="67">
        <f t="shared" si="130"/>
        <v>-531601.08999999985</v>
      </c>
      <c r="K847" s="70">
        <f t="shared" si="141"/>
        <v>-1.5887969408948099E-2</v>
      </c>
      <c r="L847" s="70">
        <f t="shared" si="136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37"/>
        <v>1.7857142857142857E-4</v>
      </c>
      <c r="Y847" s="70">
        <f t="shared" si="138"/>
        <v>-9.9237731718136071E-3</v>
      </c>
      <c r="Z847" s="70">
        <f t="shared" si="139"/>
        <v>-9.9237731718136071E-3</v>
      </c>
      <c r="AA847" s="70">
        <f t="shared" si="140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2"/>
        <v>34153038.799999997</v>
      </c>
      <c r="E848" s="67">
        <f t="shared" si="129"/>
        <v>33459347.530000001</v>
      </c>
      <c r="F848" s="67">
        <f t="shared" si="133"/>
        <v>1225292.3599999957</v>
      </c>
      <c r="G848" s="70">
        <f t="shared" si="134"/>
        <v>3.7211546263352352E-2</v>
      </c>
      <c r="H848" s="70"/>
      <c r="I848" s="70"/>
      <c r="J848" s="67">
        <f t="shared" si="130"/>
        <v>693691.26999999583</v>
      </c>
      <c r="K848" s="70">
        <f t="shared" si="141"/>
        <v>2.0732360945712625E-2</v>
      </c>
      <c r="L848" s="70">
        <f t="shared" si="136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37"/>
        <v>1.7857142857142857E-4</v>
      </c>
      <c r="Y848" s="70">
        <f t="shared" si="138"/>
        <v>3.7032974834780921E-2</v>
      </c>
      <c r="Z848" s="70">
        <f t="shared" si="139"/>
        <v>0</v>
      </c>
      <c r="AA848" s="70">
        <f t="shared" si="140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2"/>
        <v>34353813.350000001</v>
      </c>
      <c r="E849" s="67">
        <f t="shared" si="129"/>
        <v>33459347.530000001</v>
      </c>
      <c r="F849" s="67">
        <f t="shared" si="133"/>
        <v>200774.55000000447</v>
      </c>
      <c r="G849" s="70">
        <f t="shared" si="134"/>
        <v>5.8786730860389642E-3</v>
      </c>
      <c r="H849" s="70"/>
      <c r="I849" s="70"/>
      <c r="J849" s="67">
        <f t="shared" si="130"/>
        <v>894465.8200000003</v>
      </c>
      <c r="K849" s="70">
        <f t="shared" si="141"/>
        <v>2.673291280405321E-2</v>
      </c>
      <c r="L849" s="70">
        <f t="shared" si="136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37"/>
        <v>1.7857142857142857E-4</v>
      </c>
      <c r="Y849" s="70">
        <f t="shared" si="138"/>
        <v>5.7001016574675352E-3</v>
      </c>
      <c r="Z849" s="70">
        <f t="shared" si="139"/>
        <v>0</v>
      </c>
      <c r="AA849" s="70">
        <f t="shared" si="140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2"/>
        <v>34646738.810000002</v>
      </c>
      <c r="E850" s="67">
        <f t="shared" si="129"/>
        <v>33459347.530000001</v>
      </c>
      <c r="F850" s="67">
        <f t="shared" si="133"/>
        <v>292925.46000000089</v>
      </c>
      <c r="G850" s="70">
        <f t="shared" si="134"/>
        <v>8.5267232785964028E-3</v>
      </c>
      <c r="H850" s="70"/>
      <c r="I850" s="70"/>
      <c r="J850" s="67">
        <f t="shared" si="130"/>
        <v>1187391.2800000012</v>
      </c>
      <c r="K850" s="70">
        <f t="shared" si="141"/>
        <v>3.5487580232560489E-2</v>
      </c>
      <c r="L850" s="70">
        <f t="shared" si="136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37"/>
        <v>1.7857142857142857E-4</v>
      </c>
      <c r="Y850" s="70">
        <f t="shared" si="138"/>
        <v>8.3481518500249739E-3</v>
      </c>
      <c r="Z850" s="70">
        <f t="shared" si="139"/>
        <v>0</v>
      </c>
      <c r="AA850" s="70">
        <f t="shared" si="140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2"/>
        <v>35021657.939999998</v>
      </c>
      <c r="E851" s="67">
        <f t="shared" si="129"/>
        <v>33459347.530000001</v>
      </c>
      <c r="F851" s="67">
        <f t="shared" si="133"/>
        <v>374919.12999999523</v>
      </c>
      <c r="G851" s="70">
        <f t="shared" si="134"/>
        <v>1.0821195381649693E-2</v>
      </c>
      <c r="H851" s="70"/>
      <c r="I851" s="70"/>
      <c r="J851" s="67">
        <f t="shared" si="130"/>
        <v>1562310.4099999964</v>
      </c>
      <c r="K851" s="70">
        <f t="shared" si="141"/>
        <v>4.669279365352863E-2</v>
      </c>
      <c r="L851" s="70">
        <f t="shared" si="136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37"/>
        <v>1.7857142857142857E-4</v>
      </c>
      <c r="Y851" s="70">
        <f t="shared" si="138"/>
        <v>1.0642623953078264E-2</v>
      </c>
      <c r="Z851" s="70">
        <f t="shared" si="139"/>
        <v>0</v>
      </c>
      <c r="AA851" s="70">
        <f t="shared" si="140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2"/>
        <v>34789840.979999997</v>
      </c>
      <c r="E852" s="67">
        <f t="shared" si="129"/>
        <v>33459347.530000001</v>
      </c>
      <c r="F852" s="67">
        <f t="shared" si="133"/>
        <v>-231816.96000000089</v>
      </c>
      <c r="G852" s="70">
        <f t="shared" si="134"/>
        <v>-6.6192457363713521E-3</v>
      </c>
      <c r="H852" s="70"/>
      <c r="I852" s="70"/>
      <c r="J852" s="67">
        <f t="shared" si="130"/>
        <v>1330493.4499999955</v>
      </c>
      <c r="K852" s="70">
        <f t="shared" si="141"/>
        <v>3.9764476841846808E-2</v>
      </c>
      <c r="L852" s="70">
        <f t="shared" si="136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37"/>
        <v>1.7857142857142857E-4</v>
      </c>
      <c r="Y852" s="70">
        <f t="shared" si="138"/>
        <v>-6.7978171649427811E-3</v>
      </c>
      <c r="Z852" s="70">
        <f t="shared" si="139"/>
        <v>-6.7978171649427811E-3</v>
      </c>
      <c r="AA852" s="70">
        <f t="shared" si="140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2"/>
        <v>34131488.700000003</v>
      </c>
      <c r="E853" s="67">
        <f t="shared" si="129"/>
        <v>33459347.530000001</v>
      </c>
      <c r="F853" s="67">
        <f t="shared" si="133"/>
        <v>-658352.27999999374</v>
      </c>
      <c r="G853" s="70">
        <f t="shared" si="134"/>
        <v>-1.8923693280991645E-2</v>
      </c>
      <c r="H853" s="70"/>
      <c r="I853" s="70"/>
      <c r="J853" s="67">
        <f t="shared" si="130"/>
        <v>672141.17000000179</v>
      </c>
      <c r="K853" s="70">
        <f t="shared" si="141"/>
        <v>2.0088292797620921E-2</v>
      </c>
      <c r="L853" s="70">
        <f t="shared" si="136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37"/>
        <v>1.7857142857142857E-4</v>
      </c>
      <c r="Y853" s="70">
        <f t="shared" si="138"/>
        <v>-1.9102264709563072E-2</v>
      </c>
      <c r="Z853" s="70">
        <f t="shared" si="139"/>
        <v>-1.9102264709563072E-2</v>
      </c>
      <c r="AA853" s="70">
        <f t="shared" si="140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2"/>
        <v>34693326.259999998</v>
      </c>
      <c r="E854" s="67">
        <f t="shared" ref="E854:E917" si="142">IF(MONTH(A854)=MONTH(A853),E853,D853)</f>
        <v>33459347.530000001</v>
      </c>
      <c r="F854" s="67">
        <f t="shared" si="133"/>
        <v>561837.55999999493</v>
      </c>
      <c r="G854" s="70">
        <f t="shared" si="134"/>
        <v>1.6460974349472041E-2</v>
      </c>
      <c r="H854" s="70"/>
      <c r="I854" s="70"/>
      <c r="J854" s="67">
        <f t="shared" ref="J854:J917" si="143">IF(MONTH(A854)=MONTH(A853),J853+F854,F854)</f>
        <v>1233978.7299999967</v>
      </c>
      <c r="K854" s="70">
        <f t="shared" si="141"/>
        <v>3.687994001955941E-2</v>
      </c>
      <c r="L854" s="70">
        <f t="shared" si="136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37"/>
        <v>1.7857142857142857E-4</v>
      </c>
      <c r="Y854" s="70">
        <f t="shared" si="138"/>
        <v>1.6282402920900614E-2</v>
      </c>
      <c r="Z854" s="70">
        <f t="shared" si="139"/>
        <v>0</v>
      </c>
      <c r="AA854" s="70">
        <f t="shared" si="140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2"/>
        <v>34467856.270000003</v>
      </c>
      <c r="E855" s="67">
        <f t="shared" si="142"/>
        <v>33459347.530000001</v>
      </c>
      <c r="F855" s="67">
        <f t="shared" si="133"/>
        <v>-225469.98999999464</v>
      </c>
      <c r="G855" s="70">
        <f t="shared" si="134"/>
        <v>-6.4989441574517578E-3</v>
      </c>
      <c r="H855" s="70"/>
      <c r="I855" s="70"/>
      <c r="J855" s="67">
        <f t="shared" si="143"/>
        <v>1008508.7400000021</v>
      </c>
      <c r="K855" s="70">
        <f t="shared" si="141"/>
        <v>3.0141315191390294E-2</v>
      </c>
      <c r="L855" s="70">
        <f t="shared" si="136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37"/>
        <v>1.7857142857142857E-4</v>
      </c>
      <c r="Y855" s="70">
        <f t="shared" si="138"/>
        <v>-6.6775155860231868E-3</v>
      </c>
      <c r="Z855" s="70">
        <f t="shared" si="139"/>
        <v>-6.6775155860231868E-3</v>
      </c>
      <c r="AA855" s="70">
        <f t="shared" si="140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2"/>
        <v>33645284.57</v>
      </c>
      <c r="E856" s="67">
        <f t="shared" si="142"/>
        <v>33459347.530000001</v>
      </c>
      <c r="F856" s="67">
        <f t="shared" si="133"/>
        <v>-822571.70000000298</v>
      </c>
      <c r="G856" s="70">
        <f t="shared" si="134"/>
        <v>-2.3864892947112283E-2</v>
      </c>
      <c r="H856" s="70"/>
      <c r="I856" s="70"/>
      <c r="J856" s="67">
        <f t="shared" si="143"/>
        <v>185937.03999999911</v>
      </c>
      <c r="K856" s="70">
        <f t="shared" si="141"/>
        <v>5.5571029839502906E-3</v>
      </c>
      <c r="L856" s="70">
        <f t="shared" si="136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37"/>
        <v>1.7857142857142857E-4</v>
      </c>
      <c r="Y856" s="70">
        <f t="shared" si="138"/>
        <v>-2.404346437568371E-2</v>
      </c>
      <c r="Z856" s="70">
        <f t="shared" si="139"/>
        <v>-2.404346437568371E-2</v>
      </c>
      <c r="AA856" s="70">
        <f t="shared" si="140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2"/>
        <v>33028653.09</v>
      </c>
      <c r="E857" s="67">
        <f t="shared" si="142"/>
        <v>33459347.530000001</v>
      </c>
      <c r="F857" s="67">
        <f t="shared" si="133"/>
        <v>-616631.48000000045</v>
      </c>
      <c r="G857" s="70">
        <f t="shared" si="134"/>
        <v>-1.8327426499160099E-2</v>
      </c>
      <c r="H857" s="70"/>
      <c r="I857" s="70"/>
      <c r="J857" s="67">
        <f t="shared" si="143"/>
        <v>-430694.44000000134</v>
      </c>
      <c r="K857" s="70">
        <f t="shared" si="141"/>
        <v>-1.2872170911696457E-2</v>
      </c>
      <c r="L857" s="70">
        <f t="shared" si="136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37"/>
        <v>1.7857142857142857E-4</v>
      </c>
      <c r="Y857" s="70">
        <f t="shared" si="138"/>
        <v>-1.8505997927731527E-2</v>
      </c>
      <c r="Z857" s="70">
        <f t="shared" si="139"/>
        <v>-1.8505997927731527E-2</v>
      </c>
      <c r="AA857" s="70">
        <f t="shared" si="140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2"/>
        <v>32034188.760000002</v>
      </c>
      <c r="E858" s="67">
        <f t="shared" si="142"/>
        <v>33459347.530000001</v>
      </c>
      <c r="F858" s="67">
        <f t="shared" si="133"/>
        <v>-994464.32999999821</v>
      </c>
      <c r="G858" s="70">
        <f t="shared" si="134"/>
        <v>-3.0109139700313411E-2</v>
      </c>
      <c r="H858" s="70"/>
      <c r="I858" s="70"/>
      <c r="J858" s="67">
        <f t="shared" si="143"/>
        <v>-1425158.7699999996</v>
      </c>
      <c r="K858" s="70">
        <f t="shared" si="141"/>
        <v>-4.2593740619783271E-2</v>
      </c>
      <c r="L858" s="70">
        <f t="shared" si="136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37"/>
        <v>1.7857142857142857E-4</v>
      </c>
      <c r="Y858" s="70">
        <f t="shared" si="138"/>
        <v>-3.0287711128884839E-2</v>
      </c>
      <c r="Z858" s="70">
        <f t="shared" si="139"/>
        <v>-3.0287711128884839E-2</v>
      </c>
      <c r="AA858" s="70">
        <f t="shared" si="140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2"/>
        <v>32134884.280000001</v>
      </c>
      <c r="E859" s="67">
        <f t="shared" si="142"/>
        <v>33459347.530000001</v>
      </c>
      <c r="F859" s="67">
        <f t="shared" si="133"/>
        <v>100695.51999999955</v>
      </c>
      <c r="G859" s="70">
        <f t="shared" si="134"/>
        <v>3.1433766203480267E-3</v>
      </c>
      <c r="H859" s="70"/>
      <c r="I859" s="70"/>
      <c r="J859" s="67">
        <f t="shared" si="143"/>
        <v>-1324463.25</v>
      </c>
      <c r="K859" s="70">
        <f t="shared" si="141"/>
        <v>-3.9584252167872536E-2</v>
      </c>
      <c r="L859" s="70">
        <f t="shared" si="136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37"/>
        <v>1.7857142857142857E-4</v>
      </c>
      <c r="Y859" s="70">
        <f t="shared" si="138"/>
        <v>2.9648051917765981E-3</v>
      </c>
      <c r="Z859" s="70">
        <f t="shared" si="139"/>
        <v>0</v>
      </c>
      <c r="AA859" s="70">
        <f t="shared" si="140"/>
        <v>0</v>
      </c>
    </row>
    <row r="860" spans="1:27">
      <c r="A860" s="88">
        <v>45223</v>
      </c>
      <c r="B860" s="76">
        <v>32743690.68</v>
      </c>
      <c r="C860" s="6"/>
      <c r="D860" s="67">
        <f t="shared" si="132"/>
        <v>32743690.68</v>
      </c>
      <c r="E860" s="67">
        <f t="shared" si="142"/>
        <v>33459347.530000001</v>
      </c>
      <c r="F860" s="67">
        <f t="shared" si="133"/>
        <v>608806.39999999851</v>
      </c>
      <c r="G860" s="70">
        <f t="shared" si="134"/>
        <v>1.8945342845964608E-2</v>
      </c>
      <c r="H860" s="70"/>
      <c r="I860" s="70"/>
      <c r="J860" s="67">
        <f t="shared" si="143"/>
        <v>-715656.85000000149</v>
      </c>
      <c r="K860" s="70">
        <f t="shared" si="141"/>
        <v>-2.1388846550529528E-2</v>
      </c>
      <c r="L860" s="70">
        <f t="shared" si="136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37"/>
        <v>1.7857142857142857E-4</v>
      </c>
      <c r="Y860" s="70">
        <f t="shared" si="138"/>
        <v>1.8766771417393181E-2</v>
      </c>
      <c r="Z860" s="70">
        <f t="shared" si="139"/>
        <v>0</v>
      </c>
      <c r="AA860" s="70">
        <f t="shared" si="140"/>
        <v>0</v>
      </c>
    </row>
    <row r="861" spans="1:27">
      <c r="A861" s="88">
        <v>45224</v>
      </c>
      <c r="B861" s="76">
        <v>31269814.98</v>
      </c>
      <c r="C861" s="6"/>
      <c r="D861" s="67">
        <f t="shared" si="132"/>
        <v>31269814.98</v>
      </c>
      <c r="E861" s="67">
        <f t="shared" si="142"/>
        <v>33459347.530000001</v>
      </c>
      <c r="F861" s="67">
        <f t="shared" si="133"/>
        <v>-1473875.6999999993</v>
      </c>
      <c r="G861" s="70">
        <f t="shared" si="134"/>
        <v>-4.5012509872634776E-2</v>
      </c>
      <c r="H861" s="70"/>
      <c r="I861" s="70"/>
      <c r="J861" s="67">
        <f t="shared" si="143"/>
        <v>-2189532.5500000007</v>
      </c>
      <c r="K861" s="70">
        <f t="shared" si="141"/>
        <v>-6.5438590756644377E-2</v>
      </c>
      <c r="L861" s="70">
        <f t="shared" si="136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37"/>
        <v>1.7857142857142857E-4</v>
      </c>
      <c r="Y861" s="70">
        <f t="shared" si="138"/>
        <v>-4.5191081301206207E-2</v>
      </c>
      <c r="Z861" s="70">
        <f t="shared" si="139"/>
        <v>-4.5191081301206207E-2</v>
      </c>
      <c r="AA861" s="70">
        <f t="shared" si="140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2"/>
        <v>30045087.829999998</v>
      </c>
      <c r="E862" s="67">
        <f t="shared" si="142"/>
        <v>33459347.530000001</v>
      </c>
      <c r="F862" s="67">
        <f t="shared" si="133"/>
        <v>-1224727.1500000022</v>
      </c>
      <c r="G862" s="70">
        <f t="shared" si="134"/>
        <v>-3.9166434172486497E-2</v>
      </c>
      <c r="H862" s="70"/>
      <c r="I862" s="70"/>
      <c r="J862" s="67">
        <f t="shared" si="143"/>
        <v>-3414259.700000003</v>
      </c>
      <c r="K862" s="70">
        <f t="shared" si="141"/>
        <v>-0.10204202867192047</v>
      </c>
      <c r="L862" s="70">
        <f t="shared" si="136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37"/>
        <v>1.7857142857142857E-4</v>
      </c>
      <c r="Y862" s="70">
        <f t="shared" si="138"/>
        <v>-3.9345005601057928E-2</v>
      </c>
      <c r="Z862" s="70">
        <f t="shared" si="139"/>
        <v>-3.9345005601057928E-2</v>
      </c>
      <c r="AA862" s="70">
        <f t="shared" si="140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2"/>
        <v>30323770.329999998</v>
      </c>
      <c r="E863" s="67">
        <f t="shared" si="142"/>
        <v>33459347.530000001</v>
      </c>
      <c r="F863" s="67">
        <f t="shared" si="133"/>
        <v>278682.5</v>
      </c>
      <c r="G863" s="70">
        <f t="shared" si="134"/>
        <v>9.2754762967188174E-3</v>
      </c>
      <c r="H863" s="70"/>
      <c r="I863" s="70"/>
      <c r="J863" s="67">
        <f t="shared" si="143"/>
        <v>-3135577.200000003</v>
      </c>
      <c r="K863" s="70">
        <f t="shared" si="141"/>
        <v>-9.3713040793417135E-2</v>
      </c>
      <c r="L863" s="70">
        <f t="shared" si="136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37"/>
        <v>1.7857142857142857E-4</v>
      </c>
      <c r="Y863" s="70">
        <f t="shared" si="138"/>
        <v>9.0969048681473885E-3</v>
      </c>
      <c r="Z863" s="70">
        <f t="shared" si="139"/>
        <v>0</v>
      </c>
      <c r="AA863" s="70">
        <f t="shared" si="140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2"/>
        <v>30973224.079999998</v>
      </c>
      <c r="E864" s="67">
        <f t="shared" si="142"/>
        <v>33459347.530000001</v>
      </c>
      <c r="F864" s="67">
        <f t="shared" si="133"/>
        <v>649453.75</v>
      </c>
      <c r="G864" s="70">
        <f t="shared" si="134"/>
        <v>2.1417315292006436E-2</v>
      </c>
      <c r="H864" s="70"/>
      <c r="I864" s="70"/>
      <c r="J864" s="67">
        <f t="shared" si="143"/>
        <v>-2486123.450000003</v>
      </c>
      <c r="K864" s="70">
        <f t="shared" si="141"/>
        <v>-7.4302807243055935E-2</v>
      </c>
      <c r="L864" s="70">
        <f t="shared" si="136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37"/>
        <v>1.7857142857142857E-4</v>
      </c>
      <c r="Y864" s="70">
        <f t="shared" si="138"/>
        <v>2.1238743863435008E-2</v>
      </c>
      <c r="Z864" s="70">
        <f t="shared" si="139"/>
        <v>0</v>
      </c>
      <c r="AA864" s="70">
        <f t="shared" si="140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2"/>
        <v>31329200.68</v>
      </c>
      <c r="E865" s="80">
        <f t="shared" si="142"/>
        <v>33459347.530000001</v>
      </c>
      <c r="F865" s="80">
        <f t="shared" si="133"/>
        <v>355976.60000000149</v>
      </c>
      <c r="G865" s="81">
        <f t="shared" si="134"/>
        <v>1.1493043122684227E-2</v>
      </c>
      <c r="H865" s="81"/>
      <c r="I865" s="81"/>
      <c r="J865" s="80">
        <f t="shared" si="143"/>
        <v>-2130146.8500000015</v>
      </c>
      <c r="K865" s="81">
        <f t="shared" si="141"/>
        <v>-6.3663729488152576E-2</v>
      </c>
      <c r="L865" s="81">
        <f t="shared" si="136"/>
        <v>1.0114930431226843</v>
      </c>
      <c r="M865" s="81">
        <f>PRODUCT($L$2:L865)-1</f>
        <v>-0.24124640392693497</v>
      </c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>
        <f t="shared" si="137"/>
        <v>1.7857142857142857E-4</v>
      </c>
      <c r="Y865" s="81">
        <f t="shared" si="138"/>
        <v>1.1314471694112798E-2</v>
      </c>
      <c r="Z865" s="81">
        <f t="shared" si="139"/>
        <v>0</v>
      </c>
      <c r="AA865" s="81">
        <f t="shared" si="140"/>
        <v>0</v>
      </c>
    </row>
    <row r="866" spans="1:27">
      <c r="A866" s="88">
        <v>45231</v>
      </c>
      <c r="B866" s="76">
        <v>32439650.43</v>
      </c>
      <c r="C866" s="6"/>
      <c r="D866" s="67">
        <f t="shared" si="132"/>
        <v>32439650.43</v>
      </c>
      <c r="E866" s="67">
        <f t="shared" si="142"/>
        <v>31329200.68</v>
      </c>
      <c r="F866" s="67">
        <f t="shared" si="133"/>
        <v>1110449.75</v>
      </c>
      <c r="G866" s="70">
        <f t="shared" si="134"/>
        <v>3.5444560534507709E-2</v>
      </c>
      <c r="H866" s="70"/>
      <c r="I866" s="70"/>
      <c r="J866" s="67">
        <f t="shared" si="143"/>
        <v>1110449.75</v>
      </c>
      <c r="K866" s="70">
        <f>G866</f>
        <v>3.5444560534507709E-2</v>
      </c>
      <c r="L866" s="70">
        <f t="shared" si="136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37"/>
        <v>1.7857142857142857E-4</v>
      </c>
      <c r="Y866" s="70">
        <f t="shared" si="138"/>
        <v>3.5265989105936278E-2</v>
      </c>
      <c r="Z866" s="70">
        <f t="shared" si="139"/>
        <v>0</v>
      </c>
      <c r="AA866" s="70">
        <f t="shared" si="140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2"/>
        <v>33624806.539999999</v>
      </c>
      <c r="E867" s="67">
        <f t="shared" si="142"/>
        <v>31329200.68</v>
      </c>
      <c r="F867" s="67">
        <f t="shared" si="133"/>
        <v>1185156.1099999994</v>
      </c>
      <c r="G867" s="70">
        <f t="shared" si="134"/>
        <v>3.6534182529413879E-2</v>
      </c>
      <c r="H867" s="70"/>
      <c r="I867" s="70"/>
      <c r="J867" s="67">
        <f t="shared" si="143"/>
        <v>2295605.8599999994</v>
      </c>
      <c r="K867" s="70">
        <f t="shared" ref="K867:K887" si="144">(1+K866)*(1+G867)-1</f>
        <v>7.3273681108164235E-2</v>
      </c>
      <c r="L867" s="70">
        <f t="shared" si="136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37"/>
        <v>1.7857142857142857E-4</v>
      </c>
      <c r="Y867" s="70">
        <f t="shared" si="138"/>
        <v>3.6355611100842448E-2</v>
      </c>
      <c r="Z867" s="70">
        <f t="shared" si="139"/>
        <v>0</v>
      </c>
      <c r="AA867" s="70">
        <f t="shared" si="140"/>
        <v>0</v>
      </c>
    </row>
    <row r="868" spans="1:27">
      <c r="A868" s="88">
        <v>45233</v>
      </c>
      <c r="B868" s="76">
        <v>34226118.82</v>
      </c>
      <c r="C868" s="6"/>
      <c r="D868" s="67">
        <f t="shared" si="132"/>
        <v>34226118.82</v>
      </c>
      <c r="E868" s="67">
        <f t="shared" si="142"/>
        <v>31329200.68</v>
      </c>
      <c r="F868" s="67">
        <f t="shared" si="133"/>
        <v>601312.28000000119</v>
      </c>
      <c r="G868" s="70">
        <f t="shared" si="134"/>
        <v>1.788299597455472E-2</v>
      </c>
      <c r="H868" s="70"/>
      <c r="I868" s="70"/>
      <c r="J868" s="67">
        <f t="shared" si="143"/>
        <v>2896918.1400000006</v>
      </c>
      <c r="K868" s="70">
        <f t="shared" si="144"/>
        <v>9.2467030027017172E-2</v>
      </c>
      <c r="L868" s="70">
        <f t="shared" si="136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37"/>
        <v>1.7857142857142857E-4</v>
      </c>
      <c r="Y868" s="70">
        <f t="shared" si="138"/>
        <v>1.7704424545983293E-2</v>
      </c>
      <c r="Z868" s="70">
        <f t="shared" si="139"/>
        <v>0</v>
      </c>
      <c r="AA868" s="70">
        <f t="shared" si="140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2"/>
        <v>34475574.600000001</v>
      </c>
      <c r="E869" s="67">
        <f t="shared" si="142"/>
        <v>31329200.68</v>
      </c>
      <c r="F869" s="67">
        <f t="shared" si="133"/>
        <v>249455.78000000119</v>
      </c>
      <c r="G869" s="70">
        <f t="shared" si="134"/>
        <v>7.2884623965669146E-3</v>
      </c>
      <c r="H869" s="70"/>
      <c r="I869" s="70"/>
      <c r="J869" s="67">
        <f t="shared" si="143"/>
        <v>3146373.9200000018</v>
      </c>
      <c r="K869" s="70">
        <f t="shared" si="144"/>
        <v>0.10042943489485823</v>
      </c>
      <c r="L869" s="70">
        <f t="shared" si="136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37"/>
        <v>1.7857142857142857E-4</v>
      </c>
      <c r="Y869" s="70">
        <f t="shared" si="138"/>
        <v>7.1098909679954856E-3</v>
      </c>
      <c r="Z869" s="70">
        <f t="shared" si="139"/>
        <v>0</v>
      </c>
      <c r="AA869" s="70">
        <f t="shared" si="140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2"/>
        <v>35099145.649999999</v>
      </c>
      <c r="E870" s="67">
        <f t="shared" si="142"/>
        <v>31329200.68</v>
      </c>
      <c r="F870" s="67">
        <f t="shared" si="133"/>
        <v>623571.04999999702</v>
      </c>
      <c r="G870" s="70">
        <f t="shared" si="134"/>
        <v>1.8087328702564888E-2</v>
      </c>
      <c r="H870" s="70"/>
      <c r="I870" s="70"/>
      <c r="J870" s="67">
        <f t="shared" si="143"/>
        <v>3769944.9699999988</v>
      </c>
      <c r="K870" s="70">
        <f t="shared" si="144"/>
        <v>0.1203332637977792</v>
      </c>
      <c r="L870" s="70">
        <f t="shared" si="136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37"/>
        <v>1.7857142857142857E-4</v>
      </c>
      <c r="Y870" s="70">
        <f t="shared" si="138"/>
        <v>1.7908757273993461E-2</v>
      </c>
      <c r="Z870" s="70">
        <f t="shared" si="139"/>
        <v>0</v>
      </c>
      <c r="AA870" s="70">
        <f t="shared" si="140"/>
        <v>0</v>
      </c>
    </row>
    <row r="871" spans="1:27">
      <c r="A871" s="88">
        <v>45238</v>
      </c>
      <c r="B871" s="76">
        <v>35210134.43</v>
      </c>
      <c r="C871" s="6"/>
      <c r="D871" s="67">
        <f t="shared" si="132"/>
        <v>35210134.43</v>
      </c>
      <c r="E871" s="67">
        <f t="shared" si="142"/>
        <v>31329200.68</v>
      </c>
      <c r="F871" s="67">
        <f t="shared" si="133"/>
        <v>110988.78000000119</v>
      </c>
      <c r="G871" s="70">
        <f t="shared" si="134"/>
        <v>3.162150472457474E-3</v>
      </c>
      <c r="H871" s="70"/>
      <c r="I871" s="70"/>
      <c r="J871" s="67">
        <f t="shared" si="143"/>
        <v>3880933.75</v>
      </c>
      <c r="K871" s="70">
        <f t="shared" si="144"/>
        <v>0.12387592615720711</v>
      </c>
      <c r="L871" s="70">
        <f t="shared" si="136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37"/>
        <v>1.7857142857142857E-4</v>
      </c>
      <c r="Y871" s="70">
        <f t="shared" si="138"/>
        <v>2.9835790438860455E-3</v>
      </c>
      <c r="Z871" s="70">
        <f t="shared" si="139"/>
        <v>0</v>
      </c>
      <c r="AA871" s="70">
        <f t="shared" si="140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2"/>
        <v>34554023.880000003</v>
      </c>
      <c r="E872" s="67">
        <f t="shared" si="142"/>
        <v>31329200.68</v>
      </c>
      <c r="F872" s="67">
        <f t="shared" si="133"/>
        <v>-656110.54999999702</v>
      </c>
      <c r="G872" s="70">
        <f t="shared" si="134"/>
        <v>-1.8634139307374325E-2</v>
      </c>
      <c r="H872" s="70"/>
      <c r="I872" s="70"/>
      <c r="J872" s="67">
        <f t="shared" si="143"/>
        <v>3224823.200000003</v>
      </c>
      <c r="K872" s="70">
        <f t="shared" si="144"/>
        <v>0.10293346558498939</v>
      </c>
      <c r="L872" s="70">
        <f t="shared" si="136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37"/>
        <v>1.7857142857142857E-4</v>
      </c>
      <c r="Y872" s="70">
        <f t="shared" si="138"/>
        <v>-1.8812710735945752E-2</v>
      </c>
      <c r="Z872" s="70">
        <f t="shared" si="139"/>
        <v>-1.8812710735945752E-2</v>
      </c>
      <c r="AA872" s="70">
        <f t="shared" si="140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2"/>
        <v>36077402.18</v>
      </c>
      <c r="E873" s="67">
        <f t="shared" si="142"/>
        <v>31329200.68</v>
      </c>
      <c r="F873" s="67">
        <f t="shared" si="133"/>
        <v>1523378.299999997</v>
      </c>
      <c r="G873" s="70">
        <f t="shared" si="134"/>
        <v>4.4086856722980218E-2</v>
      </c>
      <c r="H873" s="70"/>
      <c r="I873" s="70"/>
      <c r="J873" s="67">
        <f t="shared" si="143"/>
        <v>4748201.5</v>
      </c>
      <c r="K873" s="70">
        <f t="shared" si="144"/>
        <v>0.15155833525721474</v>
      </c>
      <c r="L873" s="70">
        <f t="shared" si="136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37"/>
        <v>1.7857142857142857E-4</v>
      </c>
      <c r="Y873" s="70">
        <f t="shared" si="138"/>
        <v>4.3908285294408787E-2</v>
      </c>
      <c r="Z873" s="70">
        <f t="shared" si="139"/>
        <v>0</v>
      </c>
      <c r="AA873" s="70">
        <f t="shared" si="140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2"/>
        <v>35881743.649999999</v>
      </c>
      <c r="E874" s="67">
        <f t="shared" si="142"/>
        <v>31329200.68</v>
      </c>
      <c r="F874" s="67">
        <f t="shared" si="133"/>
        <v>-195658.53000000119</v>
      </c>
      <c r="G874" s="70">
        <f t="shared" si="134"/>
        <v>-5.4232987459520345E-3</v>
      </c>
      <c r="H874" s="70"/>
      <c r="I874" s="70"/>
      <c r="J874" s="67">
        <f t="shared" si="143"/>
        <v>4552542.9699999988</v>
      </c>
      <c r="K874" s="70">
        <f t="shared" si="144"/>
        <v>0.14531309038172369</v>
      </c>
      <c r="L874" s="70">
        <f t="shared" si="136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37"/>
        <v>1.7857142857142857E-4</v>
      </c>
      <c r="Y874" s="70">
        <f t="shared" si="138"/>
        <v>-5.6018701745234635E-3</v>
      </c>
      <c r="Z874" s="70">
        <f t="shared" si="139"/>
        <v>-5.6018701745234635E-3</v>
      </c>
      <c r="AA874" s="70">
        <f t="shared" si="140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5">B875</f>
        <v>36023683.670000002</v>
      </c>
      <c r="E875" s="67">
        <f t="shared" si="142"/>
        <v>31329200.68</v>
      </c>
      <c r="F875" s="67">
        <f t="shared" si="133"/>
        <v>141940.02000000328</v>
      </c>
      <c r="G875" s="70">
        <f t="shared" si="134"/>
        <v>3.9557726454021776E-3</v>
      </c>
      <c r="H875" s="70"/>
      <c r="I875" s="70"/>
      <c r="J875" s="67">
        <f t="shared" si="143"/>
        <v>4694482.9900000021</v>
      </c>
      <c r="K875" s="70">
        <f t="shared" si="144"/>
        <v>0.14984368857507691</v>
      </c>
      <c r="L875" s="70">
        <f t="shared" si="136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37"/>
        <v>1.7857142857142857E-4</v>
      </c>
      <c r="Y875" s="70">
        <f t="shared" si="138"/>
        <v>3.7772012168307491E-3</v>
      </c>
      <c r="Z875" s="70">
        <f t="shared" si="139"/>
        <v>0</v>
      </c>
      <c r="AA875" s="70">
        <f t="shared" si="140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5"/>
        <v>36021272.039999999</v>
      </c>
      <c r="E876" s="67">
        <f t="shared" si="142"/>
        <v>31329200.68</v>
      </c>
      <c r="F876" s="67">
        <f t="shared" ref="F876:F939" si="146">B876-C876-D875</f>
        <v>-2411.6300000026822</v>
      </c>
      <c r="G876" s="70">
        <f t="shared" ref="G876:G939" si="147">F876/B875</f>
        <v>-6.6945680016923214E-5</v>
      </c>
      <c r="H876" s="70"/>
      <c r="I876" s="70"/>
      <c r="J876" s="67">
        <f t="shared" si="143"/>
        <v>4692071.3599999994</v>
      </c>
      <c r="K876" s="70">
        <f t="shared" si="144"/>
        <v>0.14976671150743193</v>
      </c>
      <c r="L876" s="70">
        <f t="shared" si="136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37"/>
        <v>1.7857142857142857E-4</v>
      </c>
      <c r="Y876" s="70">
        <f t="shared" si="138"/>
        <v>-2.455171085883518E-4</v>
      </c>
      <c r="Z876" s="70">
        <f t="shared" si="139"/>
        <v>-2.455171085883518E-4</v>
      </c>
      <c r="AA876" s="70">
        <f t="shared" si="140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5"/>
        <v>36056897.119999997</v>
      </c>
      <c r="E877" s="67">
        <f t="shared" si="142"/>
        <v>31329200.68</v>
      </c>
      <c r="F877" s="67">
        <f t="shared" si="146"/>
        <v>35625.079999998212</v>
      </c>
      <c r="G877" s="70">
        <f t="shared" si="147"/>
        <v>9.8900116465732162E-4</v>
      </c>
      <c r="H877" s="70"/>
      <c r="I877" s="70"/>
      <c r="J877" s="67">
        <f t="shared" si="143"/>
        <v>4727696.4399999976</v>
      </c>
      <c r="K877" s="70">
        <f t="shared" si="144"/>
        <v>0.15090383212419711</v>
      </c>
      <c r="L877" s="70">
        <f t="shared" si="136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37"/>
        <v>1.7857142857142857E-4</v>
      </c>
      <c r="Y877" s="70">
        <f t="shared" si="138"/>
        <v>8.1042973608589307E-4</v>
      </c>
      <c r="Z877" s="70">
        <f t="shared" si="139"/>
        <v>0</v>
      </c>
      <c r="AA877" s="70">
        <f t="shared" si="140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5"/>
        <v>36111369.109999999</v>
      </c>
      <c r="E878" s="67">
        <f t="shared" si="142"/>
        <v>31329200.68</v>
      </c>
      <c r="F878" s="67">
        <f t="shared" si="146"/>
        <v>54471.990000002086</v>
      </c>
      <c r="G878" s="70">
        <f t="shared" si="147"/>
        <v>1.5107231722883783E-3</v>
      </c>
      <c r="H878" s="70"/>
      <c r="I878" s="70"/>
      <c r="J878" s="67">
        <f t="shared" si="143"/>
        <v>4782168.43</v>
      </c>
      <c r="K878" s="70">
        <f t="shared" si="144"/>
        <v>0.15264252921246269</v>
      </c>
      <c r="L878" s="70">
        <f t="shared" si="136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37"/>
        <v>1.7857142857142857E-4</v>
      </c>
      <c r="Y878" s="70">
        <f t="shared" si="138"/>
        <v>1.3321517437169497E-3</v>
      </c>
      <c r="Z878" s="70">
        <f t="shared" si="139"/>
        <v>0</v>
      </c>
      <c r="AA878" s="70">
        <f t="shared" si="140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5"/>
        <v>36678699.289999999</v>
      </c>
      <c r="E879" s="67">
        <f t="shared" si="142"/>
        <v>31329200.68</v>
      </c>
      <c r="F879" s="67">
        <f t="shared" si="146"/>
        <v>567330.1799999997</v>
      </c>
      <c r="G879" s="70">
        <f t="shared" si="147"/>
        <v>1.5710569662197992E-2</v>
      </c>
      <c r="H879" s="70"/>
      <c r="I879" s="70"/>
      <c r="J879" s="67">
        <f t="shared" si="143"/>
        <v>5349498.6099999994</v>
      </c>
      <c r="K879" s="70">
        <f t="shared" si="144"/>
        <v>0.17075119996326715</v>
      </c>
      <c r="L879" s="70">
        <f t="shared" si="136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37"/>
        <v>1.7857142857142857E-4</v>
      </c>
      <c r="Y879" s="70">
        <f t="shared" si="138"/>
        <v>1.5531998233626563E-2</v>
      </c>
      <c r="Z879" s="70">
        <f t="shared" si="139"/>
        <v>0</v>
      </c>
      <c r="AA879" s="70">
        <f t="shared" si="140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5"/>
        <v>36597581.859999999</v>
      </c>
      <c r="E880" s="67">
        <f t="shared" si="142"/>
        <v>31329200.68</v>
      </c>
      <c r="F880" s="67">
        <f t="shared" si="146"/>
        <v>-81117.429999999702</v>
      </c>
      <c r="G880" s="70">
        <f t="shared" si="147"/>
        <v>-2.2115677919395406E-3</v>
      </c>
      <c r="H880" s="70"/>
      <c r="I880" s="70"/>
      <c r="J880" s="67">
        <f t="shared" si="143"/>
        <v>5268381.18</v>
      </c>
      <c r="K880" s="70">
        <f t="shared" si="144"/>
        <v>0.16816200431705375</v>
      </c>
      <c r="L880" s="70">
        <f t="shared" si="136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37"/>
        <v>1.7857142857142857E-4</v>
      </c>
      <c r="Y880" s="70">
        <f t="shared" si="138"/>
        <v>-2.3901392205109692E-3</v>
      </c>
      <c r="Z880" s="70">
        <f t="shared" si="139"/>
        <v>-2.3901392205109692E-3</v>
      </c>
      <c r="AA880" s="70">
        <f t="shared" si="140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5"/>
        <v>36978088.909999996</v>
      </c>
      <c r="E881" s="67">
        <f t="shared" si="142"/>
        <v>31329200.68</v>
      </c>
      <c r="F881" s="67">
        <f t="shared" si="146"/>
        <v>380507.04999999702</v>
      </c>
      <c r="G881" s="70">
        <f t="shared" si="147"/>
        <v>1.0397054413474219E-2</v>
      </c>
      <c r="H881" s="70"/>
      <c r="I881" s="70"/>
      <c r="J881" s="67">
        <f t="shared" si="143"/>
        <v>5648888.2299999967</v>
      </c>
      <c r="K881" s="70">
        <f t="shared" si="144"/>
        <v>0.18030744823969114</v>
      </c>
      <c r="L881" s="70">
        <f t="shared" si="136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37"/>
        <v>1.7857142857142857E-4</v>
      </c>
      <c r="Y881" s="70">
        <f t="shared" si="138"/>
        <v>1.021848298490279E-2</v>
      </c>
      <c r="Z881" s="70">
        <f t="shared" si="139"/>
        <v>0</v>
      </c>
      <c r="AA881" s="70">
        <f t="shared" si="140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5"/>
        <v>37003134.520195402</v>
      </c>
      <c r="E882" s="67">
        <f t="shared" si="142"/>
        <v>31329200.68</v>
      </c>
      <c r="F882" s="67">
        <f t="shared" si="146"/>
        <v>25045.610195405781</v>
      </c>
      <c r="G882" s="70">
        <f t="shared" si="147"/>
        <v>6.7730948065930713E-4</v>
      </c>
      <c r="H882" s="70"/>
      <c r="I882" s="70"/>
      <c r="J882" s="67">
        <f t="shared" si="143"/>
        <v>5673933.8401954025</v>
      </c>
      <c r="K882" s="70">
        <f t="shared" si="144"/>
        <v>0.18110688166447675</v>
      </c>
      <c r="L882" s="70">
        <f t="shared" si="136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37"/>
        <v>1.7857142857142857E-4</v>
      </c>
      <c r="Y882" s="70">
        <f t="shared" si="138"/>
        <v>4.9873805208787859E-4</v>
      </c>
      <c r="Z882" s="70">
        <f t="shared" si="139"/>
        <v>0</v>
      </c>
      <c r="AA882" s="70">
        <f t="shared" si="140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5"/>
        <v>36909701.759999998</v>
      </c>
      <c r="E883" s="67">
        <f t="shared" si="142"/>
        <v>31329200.68</v>
      </c>
      <c r="F883" s="67">
        <f t="shared" si="146"/>
        <v>-93432.760195404291</v>
      </c>
      <c r="G883" s="70">
        <f t="shared" si="147"/>
        <v>-2.5249958255404276E-3</v>
      </c>
      <c r="H883" s="70"/>
      <c r="I883" s="70"/>
      <c r="J883" s="67">
        <f t="shared" si="143"/>
        <v>5580501.0799999982</v>
      </c>
      <c r="K883" s="70">
        <f t="shared" si="144"/>
        <v>0.17812459171875683</v>
      </c>
      <c r="L883" s="70">
        <f t="shared" si="136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37"/>
        <v>1.7857142857142857E-4</v>
      </c>
      <c r="Y883" s="70">
        <f t="shared" si="138"/>
        <v>-2.7035672541118562E-3</v>
      </c>
      <c r="Z883" s="70">
        <f t="shared" si="139"/>
        <v>-2.7035672541118562E-3</v>
      </c>
      <c r="AA883" s="70">
        <f t="shared" si="140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5"/>
        <v>37044870.829999998</v>
      </c>
      <c r="E884" s="67">
        <f t="shared" si="142"/>
        <v>31329200.68</v>
      </c>
      <c r="F884" s="67">
        <f t="shared" si="146"/>
        <v>135169.0700000003</v>
      </c>
      <c r="G884" s="70">
        <f t="shared" si="147"/>
        <v>3.662155573050079E-3</v>
      </c>
      <c r="H884" s="70"/>
      <c r="I884" s="70"/>
      <c r="J884" s="67">
        <f t="shared" si="143"/>
        <v>5715670.1499999985</v>
      </c>
      <c r="K884" s="70">
        <f t="shared" si="144"/>
        <v>0.18243906725806691</v>
      </c>
      <c r="L884" s="70">
        <f t="shared" si="136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37"/>
        <v>1.7857142857142857E-4</v>
      </c>
      <c r="Y884" s="70">
        <f t="shared" si="138"/>
        <v>3.4835841444786505E-3</v>
      </c>
      <c r="Z884" s="70">
        <f t="shared" si="139"/>
        <v>0</v>
      </c>
      <c r="AA884" s="70">
        <f t="shared" si="140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5"/>
        <v>37374282.979999997</v>
      </c>
      <c r="E885" s="67">
        <f t="shared" si="142"/>
        <v>31329200.68</v>
      </c>
      <c r="F885" s="67">
        <f t="shared" si="146"/>
        <v>329412.14999999851</v>
      </c>
      <c r="G885" s="70">
        <f t="shared" si="147"/>
        <v>8.8922472293581634E-3</v>
      </c>
      <c r="H885" s="70"/>
      <c r="I885" s="70"/>
      <c r="J885" s="67">
        <f t="shared" si="143"/>
        <v>6045082.299999997</v>
      </c>
      <c r="K885" s="70">
        <f t="shared" si="144"/>
        <v>0.19295360777777737</v>
      </c>
      <c r="L885" s="70">
        <f t="shared" si="136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37"/>
        <v>1.7857142857142857E-4</v>
      </c>
      <c r="Y885" s="70">
        <f t="shared" si="138"/>
        <v>8.7136758007867344E-3</v>
      </c>
      <c r="Z885" s="70">
        <f t="shared" si="139"/>
        <v>0</v>
      </c>
      <c r="AA885" s="70">
        <f t="shared" si="140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5"/>
        <v>37126830.009999998</v>
      </c>
      <c r="E886" s="67">
        <f t="shared" si="142"/>
        <v>31329200.68</v>
      </c>
      <c r="F886" s="67">
        <f t="shared" si="146"/>
        <v>-247452.96999999881</v>
      </c>
      <c r="G886" s="70">
        <f t="shared" si="147"/>
        <v>-6.6209422701812813E-3</v>
      </c>
      <c r="H886" s="70"/>
      <c r="I886" s="70"/>
      <c r="J886" s="67">
        <f t="shared" si="143"/>
        <v>5797629.3299999982</v>
      </c>
      <c r="K886" s="70">
        <f t="shared" si="144"/>
        <v>0.18505513080967617</v>
      </c>
      <c r="L886" s="70">
        <f t="shared" si="136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37"/>
        <v>1.7857142857142857E-4</v>
      </c>
      <c r="Y886" s="70">
        <f t="shared" si="138"/>
        <v>-6.7995136987527103E-3</v>
      </c>
      <c r="Z886" s="70">
        <f t="shared" si="139"/>
        <v>-6.7995136987527103E-3</v>
      </c>
      <c r="AA886" s="70">
        <f t="shared" si="140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5"/>
        <v>36995922.5</v>
      </c>
      <c r="E887" s="80">
        <f t="shared" si="142"/>
        <v>31329200.68</v>
      </c>
      <c r="F887" s="80">
        <f t="shared" si="146"/>
        <v>-130907.50999999791</v>
      </c>
      <c r="G887" s="81">
        <f t="shared" si="147"/>
        <v>-3.5259544099169892E-3</v>
      </c>
      <c r="H887" s="81"/>
      <c r="I887" s="81"/>
      <c r="J887" s="80">
        <f t="shared" si="143"/>
        <v>5666721.8200000003</v>
      </c>
      <c r="K887" s="81">
        <f t="shared" si="144"/>
        <v>0.18087668044520311</v>
      </c>
      <c r="L887" s="81">
        <f t="shared" si="136"/>
        <v>0.99647404559008301</v>
      </c>
      <c r="M887" s="81">
        <f>PRODUCT($L$2:L887)-1</f>
        <v>-0.10400557219337825</v>
      </c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>
        <f t="shared" si="137"/>
        <v>1.7857142857142857E-4</v>
      </c>
      <c r="Y887" s="81">
        <f t="shared" si="138"/>
        <v>-3.7045258384884178E-3</v>
      </c>
      <c r="Z887" s="81">
        <f t="shared" si="139"/>
        <v>-3.7045258384884178E-3</v>
      </c>
      <c r="AA887" s="81">
        <f t="shared" si="140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5"/>
        <v>38594135.009999998</v>
      </c>
      <c r="E888" s="67">
        <f t="shared" si="142"/>
        <v>36995922.5</v>
      </c>
      <c r="F888" s="67">
        <f t="shared" si="146"/>
        <v>1598212.5099999979</v>
      </c>
      <c r="G888" s="70">
        <f t="shared" si="147"/>
        <v>4.3199693425674084E-2</v>
      </c>
      <c r="H888" s="70"/>
      <c r="I888" s="70"/>
      <c r="J888" s="67">
        <f t="shared" si="143"/>
        <v>1598212.5099999979</v>
      </c>
      <c r="K888" s="70">
        <f>G888</f>
        <v>4.3199693425674084E-2</v>
      </c>
      <c r="L888" s="70">
        <f t="shared" si="136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37"/>
        <v>1.7857142857142857E-4</v>
      </c>
      <c r="Y888" s="70">
        <f t="shared" si="138"/>
        <v>4.3021121997102653E-2</v>
      </c>
      <c r="Z888" s="70">
        <f t="shared" si="139"/>
        <v>0</v>
      </c>
      <c r="AA888" s="70">
        <f t="shared" si="140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5"/>
        <v>37561980.659999996</v>
      </c>
      <c r="E889" s="67">
        <f t="shared" si="142"/>
        <v>36995922.5</v>
      </c>
      <c r="F889" s="67">
        <f t="shared" si="146"/>
        <v>-1032154.3500000015</v>
      </c>
      <c r="G889" s="70">
        <f t="shared" si="147"/>
        <v>-2.6743813528469117E-2</v>
      </c>
      <c r="H889" s="70"/>
      <c r="I889" s="70"/>
      <c r="J889" s="67">
        <f t="shared" si="143"/>
        <v>566058.15999999642</v>
      </c>
      <c r="K889" s="70">
        <f t="shared" ref="K889:K908" si="148">(1+K888)*(1+G889)-1</f>
        <v>1.5300555351741574E-2</v>
      </c>
      <c r="L889" s="70">
        <f t="shared" si="136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37"/>
        <v>1.7857142857142857E-4</v>
      </c>
      <c r="Y889" s="70">
        <f t="shared" si="138"/>
        <v>-2.6922384957040545E-2</v>
      </c>
      <c r="Z889" s="70">
        <f t="shared" si="139"/>
        <v>-2.6922384957040545E-2</v>
      </c>
      <c r="AA889" s="70">
        <f t="shared" si="140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5"/>
        <v>38177834.869999997</v>
      </c>
      <c r="E890" s="67">
        <f t="shared" si="142"/>
        <v>36995922.5</v>
      </c>
      <c r="F890" s="67">
        <f t="shared" si="146"/>
        <v>615854.21000000089</v>
      </c>
      <c r="G890" s="70">
        <f t="shared" si="147"/>
        <v>1.6395679865088376E-2</v>
      </c>
      <c r="H890" s="70"/>
      <c r="I890" s="70"/>
      <c r="J890" s="67">
        <f t="shared" si="143"/>
        <v>1181912.3699999973</v>
      </c>
      <c r="K890" s="70">
        <f t="shared" si="148"/>
        <v>3.1947098224135217E-2</v>
      </c>
      <c r="L890" s="70">
        <f t="shared" si="136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37"/>
        <v>1.7857142857142857E-4</v>
      </c>
      <c r="Y890" s="70">
        <f t="shared" si="138"/>
        <v>1.6217108436516948E-2</v>
      </c>
      <c r="Z890" s="70">
        <f t="shared" si="139"/>
        <v>0</v>
      </c>
      <c r="AA890" s="70">
        <f t="shared" si="140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5"/>
        <v>37549062.479999997</v>
      </c>
      <c r="E891" s="67">
        <f t="shared" si="142"/>
        <v>36995922.5</v>
      </c>
      <c r="F891" s="67">
        <f t="shared" si="146"/>
        <v>-628772.3900000006</v>
      </c>
      <c r="G891" s="70">
        <f t="shared" si="147"/>
        <v>-1.6469566494303416E-2</v>
      </c>
      <c r="H891" s="70"/>
      <c r="I891" s="70"/>
      <c r="J891" s="67">
        <f t="shared" si="143"/>
        <v>553139.97999999672</v>
      </c>
      <c r="K891" s="70">
        <f t="shared" si="148"/>
        <v>1.4951376871329414E-2</v>
      </c>
      <c r="L891" s="70">
        <f t="shared" si="136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37"/>
        <v>1.7857142857142857E-4</v>
      </c>
      <c r="Y891" s="70">
        <f t="shared" si="138"/>
        <v>-1.6648137922874843E-2</v>
      </c>
      <c r="Z891" s="70">
        <f t="shared" si="139"/>
        <v>-1.6648137922874843E-2</v>
      </c>
      <c r="AA891" s="70">
        <f t="shared" si="140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5"/>
        <v>38790657.57</v>
      </c>
      <c r="E892" s="67">
        <f t="shared" si="142"/>
        <v>36995922.5</v>
      </c>
      <c r="F892" s="67">
        <f t="shared" si="146"/>
        <v>1241595.0900000036</v>
      </c>
      <c r="G892" s="70">
        <f t="shared" si="147"/>
        <v>3.3065941144637699E-2</v>
      </c>
      <c r="H892" s="70"/>
      <c r="I892" s="70"/>
      <c r="J892" s="67">
        <f t="shared" si="143"/>
        <v>1794735.0700000003</v>
      </c>
      <c r="K892" s="70">
        <f t="shared" si="148"/>
        <v>4.8511699363625871E-2</v>
      </c>
      <c r="L892" s="70">
        <f t="shared" si="136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37"/>
        <v>1.7857142857142857E-4</v>
      </c>
      <c r="Y892" s="70">
        <f t="shared" si="138"/>
        <v>3.2887369716066268E-2</v>
      </c>
      <c r="Z892" s="70">
        <f t="shared" si="139"/>
        <v>0</v>
      </c>
      <c r="AA892" s="70">
        <f t="shared" si="140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5"/>
        <v>39149343.200000003</v>
      </c>
      <c r="E893" s="67">
        <f t="shared" si="142"/>
        <v>36995922.5</v>
      </c>
      <c r="F893" s="67">
        <f t="shared" si="146"/>
        <v>358685.63000000268</v>
      </c>
      <c r="G893" s="70">
        <f t="shared" si="147"/>
        <v>9.2467014603383191E-3</v>
      </c>
      <c r="H893" s="70"/>
      <c r="I893" s="70"/>
      <c r="J893" s="67">
        <f t="shared" si="143"/>
        <v>2153420.700000003</v>
      </c>
      <c r="K893" s="70">
        <f t="shared" si="148"/>
        <v>5.8206974025313274E-2</v>
      </c>
      <c r="L893" s="70">
        <f t="shared" si="136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37"/>
        <v>1.7857142857142857E-4</v>
      </c>
      <c r="Y893" s="70">
        <f t="shared" si="138"/>
        <v>9.0681300317668901E-3</v>
      </c>
      <c r="Z893" s="70">
        <f t="shared" si="139"/>
        <v>0</v>
      </c>
      <c r="AA893" s="70">
        <f t="shared" si="140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5"/>
        <v>39725194.030000001</v>
      </c>
      <c r="E894" s="67">
        <f t="shared" si="142"/>
        <v>36995922.5</v>
      </c>
      <c r="F894" s="67">
        <f t="shared" si="146"/>
        <v>575850.82999999821</v>
      </c>
      <c r="G894" s="70">
        <f t="shared" si="147"/>
        <v>1.4709080227941044E-2</v>
      </c>
      <c r="H894" s="70"/>
      <c r="I894" s="70"/>
      <c r="J894" s="67">
        <f t="shared" si="143"/>
        <v>2729271.5300000012</v>
      </c>
      <c r="K894" s="70">
        <f t="shared" si="148"/>
        <v>7.377222530401828E-2</v>
      </c>
      <c r="L894" s="70">
        <f t="shared" si="136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37"/>
        <v>1.7857142857142857E-4</v>
      </c>
      <c r="Y894" s="70">
        <f t="shared" si="138"/>
        <v>1.4530508799369615E-2</v>
      </c>
      <c r="Z894" s="70">
        <f t="shared" si="139"/>
        <v>0</v>
      </c>
      <c r="AA894" s="70">
        <f t="shared" si="140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5"/>
        <v>41136965.759999998</v>
      </c>
      <c r="E895" s="67">
        <f t="shared" si="142"/>
        <v>36995922.5</v>
      </c>
      <c r="F895" s="67">
        <f t="shared" si="146"/>
        <v>1411771.7299999967</v>
      </c>
      <c r="G895" s="70">
        <f t="shared" si="147"/>
        <v>3.5538447689741758E-2</v>
      </c>
      <c r="H895" s="70"/>
      <c r="I895" s="70"/>
      <c r="J895" s="67">
        <f t="shared" si="143"/>
        <v>4141043.2599999979</v>
      </c>
      <c r="K895" s="70">
        <f t="shared" si="148"/>
        <v>0.1119324233636827</v>
      </c>
      <c r="L895" s="70">
        <f t="shared" si="136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37"/>
        <v>1.7857142857142857E-4</v>
      </c>
      <c r="Y895" s="70">
        <f t="shared" si="138"/>
        <v>3.5359876261170327E-2</v>
      </c>
      <c r="Z895" s="70">
        <f t="shared" si="139"/>
        <v>0</v>
      </c>
      <c r="AA895" s="70">
        <f t="shared" si="140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5"/>
        <v>46884649.829999998</v>
      </c>
      <c r="E896" s="67">
        <f t="shared" si="142"/>
        <v>36995922.5</v>
      </c>
      <c r="F896" s="67">
        <f t="shared" si="146"/>
        <v>5747684.0700000003</v>
      </c>
      <c r="G896" s="70">
        <f t="shared" si="147"/>
        <v>0.13972066154642906</v>
      </c>
      <c r="H896" s="70"/>
      <c r="I896" s="70"/>
      <c r="J896" s="67">
        <f t="shared" si="143"/>
        <v>9888727.3299999982</v>
      </c>
      <c r="K896" s="70">
        <f t="shared" si="148"/>
        <v>0.26729235715098043</v>
      </c>
      <c r="L896" s="70">
        <f t="shared" si="136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37"/>
        <v>1.7857142857142857E-4</v>
      </c>
      <c r="Y896" s="70">
        <f t="shared" si="138"/>
        <v>0.13954209011785765</v>
      </c>
      <c r="Z896" s="70">
        <f t="shared" si="139"/>
        <v>0</v>
      </c>
      <c r="AA896" s="70">
        <f t="shared" si="140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5"/>
        <v>49482174.890000001</v>
      </c>
      <c r="E897" s="67">
        <f t="shared" si="142"/>
        <v>36995922.5</v>
      </c>
      <c r="F897" s="67">
        <f t="shared" si="146"/>
        <v>2597525.0600000024</v>
      </c>
      <c r="G897" s="70">
        <f t="shared" si="147"/>
        <v>5.5402462627286778E-2</v>
      </c>
      <c r="H897" s="70"/>
      <c r="I897" s="70"/>
      <c r="J897" s="67">
        <f t="shared" si="143"/>
        <v>12486252.390000001</v>
      </c>
      <c r="K897" s="70">
        <f t="shared" si="148"/>
        <v>0.33750347460588381</v>
      </c>
      <c r="L897" s="70">
        <f t="shared" si="136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37"/>
        <v>1.7857142857142857E-4</v>
      </c>
      <c r="Y897" s="70">
        <f t="shared" si="138"/>
        <v>5.5223891198715347E-2</v>
      </c>
      <c r="Z897" s="70">
        <f t="shared" si="139"/>
        <v>0</v>
      </c>
      <c r="AA897" s="70">
        <f t="shared" si="140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5"/>
        <v>48910448.460830003</v>
      </c>
      <c r="E898" s="67">
        <f t="shared" si="142"/>
        <v>36995922.5</v>
      </c>
      <c r="F898" s="67">
        <f t="shared" si="146"/>
        <v>-571726.42916999757</v>
      </c>
      <c r="G898" s="70">
        <f t="shared" si="147"/>
        <v>-1.1554189573133323E-2</v>
      </c>
      <c r="H898" s="70"/>
      <c r="I898" s="70"/>
      <c r="J898" s="67">
        <f t="shared" si="143"/>
        <v>11914525.960830003</v>
      </c>
      <c r="K898" s="70">
        <f t="shared" si="148"/>
        <v>0.32204970590556292</v>
      </c>
      <c r="L898" s="70">
        <f t="shared" ref="L898:L961" si="149">1+G898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37"/>
        <v>1.7857142857142857E-4</v>
      </c>
      <c r="Y898" s="70">
        <f t="shared" si="138"/>
        <v>-1.1732761001704752E-2</v>
      </c>
      <c r="Z898" s="70">
        <f t="shared" si="139"/>
        <v>-1.1732761001704752E-2</v>
      </c>
      <c r="AA898" s="70">
        <f t="shared" si="140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5"/>
        <v>49294721.960000001</v>
      </c>
      <c r="E899" s="67">
        <f t="shared" si="142"/>
        <v>36995922.5</v>
      </c>
      <c r="F899" s="67">
        <f t="shared" si="146"/>
        <v>384273.49916999787</v>
      </c>
      <c r="G899" s="70">
        <f t="shared" si="147"/>
        <v>7.8566750308524322E-3</v>
      </c>
      <c r="H899" s="70"/>
      <c r="I899" s="70"/>
      <c r="J899" s="67">
        <f t="shared" si="143"/>
        <v>12298799.460000001</v>
      </c>
      <c r="K899" s="70">
        <f t="shared" si="148"/>
        <v>0.33243662081949688</v>
      </c>
      <c r="L899" s="70">
        <f t="shared" si="149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37"/>
        <v>1.7857142857142857E-4</v>
      </c>
      <c r="Y899" s="70">
        <f t="shared" si="138"/>
        <v>7.6781036022810032E-3</v>
      </c>
      <c r="Z899" s="70">
        <f t="shared" si="139"/>
        <v>0</v>
      </c>
      <c r="AA899" s="70">
        <f t="shared" si="140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5"/>
        <v>52082520.380000003</v>
      </c>
      <c r="E900" s="67">
        <f t="shared" si="142"/>
        <v>36995922.5</v>
      </c>
      <c r="F900" s="67">
        <f t="shared" si="146"/>
        <v>2787798.4200000018</v>
      </c>
      <c r="G900" s="70">
        <f t="shared" si="147"/>
        <v>5.6553689911511204E-2</v>
      </c>
      <c r="H900" s="70"/>
      <c r="I900" s="70"/>
      <c r="J900" s="67">
        <f t="shared" si="143"/>
        <v>15086597.880000003</v>
      </c>
      <c r="K900" s="70">
        <f t="shared" si="148"/>
        <v>0.40779082830006441</v>
      </c>
      <c r="L900" s="70">
        <f t="shared" si="149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37"/>
        <v>1.7857142857142857E-4</v>
      </c>
      <c r="Y900" s="70">
        <f t="shared" si="138"/>
        <v>5.6375118482939773E-2</v>
      </c>
      <c r="Z900" s="70">
        <f t="shared" si="139"/>
        <v>0</v>
      </c>
      <c r="AA900" s="70">
        <f t="shared" si="140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5"/>
        <v>47655985.399999999</v>
      </c>
      <c r="E901" s="67">
        <f t="shared" si="142"/>
        <v>36995922.5</v>
      </c>
      <c r="F901" s="67">
        <f t="shared" si="146"/>
        <v>-4426534.9800000042</v>
      </c>
      <c r="G901" s="70">
        <f t="shared" si="147"/>
        <v>-8.4990798212212088E-2</v>
      </c>
      <c r="H901" s="70"/>
      <c r="I901" s="70"/>
      <c r="J901" s="67">
        <f t="shared" si="143"/>
        <v>10660062.899999999</v>
      </c>
      <c r="K901" s="70">
        <f t="shared" si="148"/>
        <v>0.28814156208701069</v>
      </c>
      <c r="L901" s="70">
        <f t="shared" si="149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37"/>
        <v>1.7857142857142857E-4</v>
      </c>
      <c r="Y901" s="70">
        <f t="shared" si="138"/>
        <v>-8.5169369640783518E-2</v>
      </c>
      <c r="Z901" s="70">
        <f t="shared" si="139"/>
        <v>-8.5169369640783518E-2</v>
      </c>
      <c r="AA901" s="70">
        <f t="shared" si="140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5"/>
        <v>50776899.990000002</v>
      </c>
      <c r="E902" s="67">
        <f t="shared" si="142"/>
        <v>36995922.5</v>
      </c>
      <c r="F902" s="67">
        <f t="shared" si="146"/>
        <v>3120914.5900000036</v>
      </c>
      <c r="G902" s="70">
        <f t="shared" si="147"/>
        <v>6.5488407464553311E-2</v>
      </c>
      <c r="H902" s="70"/>
      <c r="I902" s="70"/>
      <c r="J902" s="67">
        <f t="shared" si="143"/>
        <v>13780977.490000002</v>
      </c>
      <c r="K902" s="70">
        <f t="shared" si="148"/>
        <v>0.3724999015769912</v>
      </c>
      <c r="L902" s="70">
        <f t="shared" si="149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37"/>
        <v>1.7857142857142857E-4</v>
      </c>
      <c r="Y902" s="70">
        <f t="shared" si="138"/>
        <v>6.530983603598188E-2</v>
      </c>
      <c r="Z902" s="70">
        <f t="shared" si="139"/>
        <v>0</v>
      </c>
      <c r="AA902" s="70">
        <f t="shared" si="140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5"/>
        <v>51308342.950000003</v>
      </c>
      <c r="E903" s="67">
        <f t="shared" si="142"/>
        <v>36995922.5</v>
      </c>
      <c r="F903" s="67">
        <f t="shared" si="146"/>
        <v>531442.96000000089</v>
      </c>
      <c r="G903" s="70">
        <f t="shared" si="147"/>
        <v>1.0466234845070558E-2</v>
      </c>
      <c r="H903" s="70"/>
      <c r="I903" s="70"/>
      <c r="J903" s="67">
        <f t="shared" si="143"/>
        <v>14312420.450000003</v>
      </c>
      <c r="K903" s="70">
        <f t="shared" si="148"/>
        <v>0.38686480787173227</v>
      </c>
      <c r="L903" s="70">
        <f t="shared" si="149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37"/>
        <v>1.7857142857142857E-4</v>
      </c>
      <c r="Y903" s="70">
        <f t="shared" si="138"/>
        <v>1.0287663416499129E-2</v>
      </c>
      <c r="Z903" s="70">
        <f t="shared" si="139"/>
        <v>0</v>
      </c>
      <c r="AA903" s="70">
        <f t="shared" si="140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5"/>
        <v>51291662.140000001</v>
      </c>
      <c r="E904" s="67">
        <f t="shared" si="142"/>
        <v>36995922.5</v>
      </c>
      <c r="F904" s="67">
        <f t="shared" si="146"/>
        <v>-16680.810000002384</v>
      </c>
      <c r="G904" s="70">
        <f t="shared" si="147"/>
        <v>-3.251091156122083E-4</v>
      </c>
      <c r="H904" s="70"/>
      <c r="I904" s="70"/>
      <c r="J904" s="67">
        <f t="shared" si="143"/>
        <v>14295739.640000001</v>
      </c>
      <c r="K904" s="70">
        <f t="shared" si="148"/>
        <v>0.38641392548057141</v>
      </c>
      <c r="L904" s="70">
        <f t="shared" si="149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37"/>
        <v>1.7857142857142857E-4</v>
      </c>
      <c r="Y904" s="70">
        <f t="shared" si="138"/>
        <v>-5.036805441836369E-4</v>
      </c>
      <c r="Z904" s="70">
        <f t="shared" si="139"/>
        <v>-5.036805441836369E-4</v>
      </c>
      <c r="AA904" s="70">
        <f t="shared" si="140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5"/>
        <v>53575337.75</v>
      </c>
      <c r="E905" s="67">
        <f t="shared" si="142"/>
        <v>36995922.5</v>
      </c>
      <c r="F905" s="67">
        <f t="shared" si="146"/>
        <v>2283675.6099999994</v>
      </c>
      <c r="G905" s="70">
        <f t="shared" si="147"/>
        <v>4.4523330200661723E-2</v>
      </c>
      <c r="H905" s="70"/>
      <c r="I905" s="70"/>
      <c r="J905" s="67">
        <f t="shared" si="143"/>
        <v>16579415.25</v>
      </c>
      <c r="K905" s="70">
        <f t="shared" si="148"/>
        <v>0.44814169047953856</v>
      </c>
      <c r="L905" s="70">
        <f t="shared" si="149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37"/>
        <v>1.7857142857142857E-4</v>
      </c>
      <c r="Y905" s="70">
        <f t="shared" si="138"/>
        <v>4.4344758772090292E-2</v>
      </c>
      <c r="Z905" s="70">
        <f t="shared" si="139"/>
        <v>0</v>
      </c>
      <c r="AA905" s="70">
        <f t="shared" si="140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5"/>
        <v>55664006.329999998</v>
      </c>
      <c r="E906" s="67">
        <f t="shared" si="142"/>
        <v>36995922.5</v>
      </c>
      <c r="F906" s="67">
        <f t="shared" si="146"/>
        <v>2088668.5799999982</v>
      </c>
      <c r="G906" s="70">
        <f t="shared" si="147"/>
        <v>3.8985635326209363E-2</v>
      </c>
      <c r="H906" s="70"/>
      <c r="I906" s="70"/>
      <c r="J906" s="67">
        <f t="shared" si="143"/>
        <v>18668083.829999998</v>
      </c>
      <c r="K906" s="70">
        <f t="shared" si="148"/>
        <v>0.50459841432525443</v>
      </c>
      <c r="L906" s="70">
        <f t="shared" si="149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37"/>
        <v>1.7857142857142857E-4</v>
      </c>
      <c r="Y906" s="70">
        <f t="shared" si="138"/>
        <v>3.8807063897637932E-2</v>
      </c>
      <c r="Z906" s="70">
        <f t="shared" si="139"/>
        <v>0</v>
      </c>
      <c r="AA906" s="70">
        <f t="shared" si="140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5"/>
        <v>54811503.920000002</v>
      </c>
      <c r="E907" s="67">
        <f t="shared" si="142"/>
        <v>36995922.5</v>
      </c>
      <c r="F907" s="67">
        <f t="shared" si="146"/>
        <v>-852502.40999999642</v>
      </c>
      <c r="G907" s="70">
        <f t="shared" si="147"/>
        <v>-1.5315146469084495E-2</v>
      </c>
      <c r="H907" s="70"/>
      <c r="I907" s="70"/>
      <c r="J907" s="67">
        <f t="shared" si="143"/>
        <v>17815581.420000002</v>
      </c>
      <c r="K907" s="70">
        <f t="shared" si="148"/>
        <v>0.48155526923271097</v>
      </c>
      <c r="L907" s="70">
        <f t="shared" si="149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5"/>
        <v>52252121.409999996</v>
      </c>
      <c r="E908" s="80">
        <f t="shared" si="142"/>
        <v>36995922.5</v>
      </c>
      <c r="F908" s="80">
        <f t="shared" si="146"/>
        <v>-2559382.5100000054</v>
      </c>
      <c r="G908" s="81">
        <f t="shared" si="147"/>
        <v>-4.6694258083769168E-2</v>
      </c>
      <c r="H908" s="81"/>
      <c r="I908" s="81"/>
      <c r="J908" s="80">
        <f t="shared" si="143"/>
        <v>15256198.909999996</v>
      </c>
      <c r="K908" s="81">
        <f t="shared" si="148"/>
        <v>0.41237514512579065</v>
      </c>
      <c r="L908" s="81">
        <f t="shared" si="149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5"/>
        <v>52235624.579999998</v>
      </c>
      <c r="E909" s="67">
        <f t="shared" si="142"/>
        <v>52252121.409999996</v>
      </c>
      <c r="F909" s="67">
        <f t="shared" si="146"/>
        <v>-16496.829999998212</v>
      </c>
      <c r="G909" s="70">
        <f t="shared" si="147"/>
        <v>-3.1571598539616521E-4</v>
      </c>
      <c r="H909" s="70"/>
      <c r="I909" s="70"/>
      <c r="J909" s="67">
        <f t="shared" si="143"/>
        <v>-16496.829999998212</v>
      </c>
      <c r="K909" s="70">
        <f>G909</f>
        <v>-3.1571598539616521E-4</v>
      </c>
      <c r="L909" s="70">
        <f t="shared" si="149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0">B909-C909-D880</f>
        <v>15638042.719999999</v>
      </c>
      <c r="R909" s="70">
        <f t="shared" ref="R909:R972" si="151">Q909/B878</f>
        <v>0.43305039674249002</v>
      </c>
      <c r="S909" s="67">
        <f t="shared" ref="S909:S940" si="152">B909-C909-D820</f>
        <v>15177146.93</v>
      </c>
      <c r="T909" s="70">
        <f t="shared" ref="T909:T972" si="153">S909/B818</f>
        <v>0.42849022042002549</v>
      </c>
      <c r="U909" s="67">
        <f t="shared" ref="U909:U940" si="154">B909-C909-D545</f>
        <v>10687214.030000001</v>
      </c>
      <c r="V909" s="70">
        <f t="shared" ref="V909:V972" si="155">U909/B543</f>
        <v>0.25087968199871136</v>
      </c>
      <c r="W909" s="86" t="e">
        <f t="shared" ref="W909:W940" si="156">O909/P909</f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5"/>
        <v>48929359.710000001</v>
      </c>
      <c r="E910" s="67">
        <f t="shared" si="142"/>
        <v>52252121.409999996</v>
      </c>
      <c r="F910" s="67">
        <f t="shared" si="146"/>
        <v>-3306264.8699999973</v>
      </c>
      <c r="G910" s="70">
        <f t="shared" si="147"/>
        <v>-6.3295210817980757E-2</v>
      </c>
      <c r="H910" s="70"/>
      <c r="I910" s="70"/>
      <c r="J910" s="67">
        <f t="shared" si="143"/>
        <v>-3322761.6999999955</v>
      </c>
      <c r="K910" s="70">
        <f t="shared" ref="K910:K931" si="157">(1+K909)*(1+G910)-1</f>
        <v>-6.3590943493522567E-2</v>
      </c>
      <c r="L910" s="70">
        <f t="shared" si="149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0"/>
        <v>11951270.800000004</v>
      </c>
      <c r="R910" s="70">
        <f t="shared" si="151"/>
        <v>0.3258368216797255</v>
      </c>
      <c r="S910" s="67">
        <f t="shared" si="152"/>
        <v>11656278.520000003</v>
      </c>
      <c r="T910" s="70">
        <f t="shared" si="153"/>
        <v>0.32539490735203563</v>
      </c>
      <c r="U910" s="67">
        <f t="shared" si="154"/>
        <v>7864534</v>
      </c>
      <c r="V910" s="70">
        <f t="shared" si="155"/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ref="Y910:Y973" si="158">G910-X910</f>
        <v>-6.3473782246552188E-2</v>
      </c>
      <c r="Z910" s="139">
        <f t="shared" ref="Z910:Z973" si="159">IF(Y910&lt;0,Y910,0)</f>
        <v>-6.3473782246552188E-2</v>
      </c>
      <c r="AA910" s="139">
        <f t="shared" ref="AA910:AA973" si="160">Z910^2</f>
        <v>4.0289210326827241E-3</v>
      </c>
      <c r="AB910" s="144">
        <f t="shared" ref="AB910:AB973" si="161">AVERAGE(Y659:Y910)/AVERAGE(AA659:AA910)</f>
        <v>8.7012884371435515</v>
      </c>
      <c r="AC910" s="144">
        <f t="shared" ref="AC910:AC973" si="162">AVERAGE(G881:G910)-_xlfn.NORM.S.INV(0.95)*_xlfn.STDEV.S(G881:G910)</f>
        <v>-5.7913282446722635E-2</v>
      </c>
      <c r="AD910" s="144">
        <f t="shared" ref="AD910:AD973" si="163">AVERAGE(G821:G910)-_xlfn.NORM.S.INV(0.95)*_xlfn.STDEV.S(G821:G910)</f>
        <v>-4.4120407911699182E-2</v>
      </c>
      <c r="AE910" s="144">
        <f t="shared" ref="AE910:AE973" si="164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5"/>
        <v>45991020.350000001</v>
      </c>
      <c r="E911" s="67">
        <f t="shared" si="142"/>
        <v>52252121.409999996</v>
      </c>
      <c r="F911" s="67">
        <f t="shared" si="146"/>
        <v>-2938339.3599999994</v>
      </c>
      <c r="G911" s="70">
        <f t="shared" si="147"/>
        <v>-6.0052683652826802E-2</v>
      </c>
      <c r="H911" s="70"/>
      <c r="I911" s="70"/>
      <c r="J911" s="67">
        <f t="shared" si="143"/>
        <v>-6261101.0599999949</v>
      </c>
      <c r="K911" s="70">
        <f t="shared" si="157"/>
        <v>-0.11982482033354802</v>
      </c>
      <c r="L911" s="70">
        <f t="shared" si="149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0"/>
        <v>8987885.8298045993</v>
      </c>
      <c r="R911" s="70">
        <f t="shared" si="151"/>
        <v>0.24558687686489131</v>
      </c>
      <c r="S911" s="67">
        <f t="shared" si="152"/>
        <v>8575717.450000003</v>
      </c>
      <c r="T911" s="70">
        <f t="shared" si="153"/>
        <v>0.23141040846290684</v>
      </c>
      <c r="U911" s="67">
        <f t="shared" si="154"/>
        <v>3452003.1300000027</v>
      </c>
      <c r="V911" s="70">
        <f t="shared" si="155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8"/>
        <v>-6.0231255081398233E-2</v>
      </c>
      <c r="Z911" s="139">
        <f t="shared" si="159"/>
        <v>-6.0231255081398233E-2</v>
      </c>
      <c r="AA911" s="139">
        <f t="shared" si="160"/>
        <v>3.6278040886804606E-3</v>
      </c>
      <c r="AB911" s="144">
        <f t="shared" si="161"/>
        <v>7.0897836188470125</v>
      </c>
      <c r="AC911" s="144">
        <f t="shared" si="162"/>
        <v>-6.3469883780326558E-2</v>
      </c>
      <c r="AD911" s="144">
        <f t="shared" si="163"/>
        <v>-4.6107566040296484E-2</v>
      </c>
      <c r="AE911" s="144">
        <f t="shared" si="164"/>
        <v>-3.6176064662886386E-2</v>
      </c>
    </row>
    <row r="912" spans="1:31">
      <c r="A912" s="88">
        <v>45295</v>
      </c>
      <c r="B912" s="132">
        <v>45589269.280000001</v>
      </c>
      <c r="D912" s="67">
        <f t="shared" si="145"/>
        <v>45589269.280000001</v>
      </c>
      <c r="E912" s="67">
        <f t="shared" si="142"/>
        <v>52252121.409999996</v>
      </c>
      <c r="F912" s="67">
        <f t="shared" si="146"/>
        <v>-401751.0700000003</v>
      </c>
      <c r="G912" s="70">
        <f t="shared" si="147"/>
        <v>-8.7354241532934442E-3</v>
      </c>
      <c r="H912" s="70"/>
      <c r="I912" s="70"/>
      <c r="J912" s="67">
        <f t="shared" si="143"/>
        <v>-6662852.1299999952</v>
      </c>
      <c r="K912" s="70">
        <f t="shared" si="157"/>
        <v>-0.12751352385713577</v>
      </c>
      <c r="L912" s="70">
        <f t="shared" si="149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0"/>
        <v>8679567.5200000033</v>
      </c>
      <c r="R912" s="70">
        <f t="shared" si="151"/>
        <v>0.23472190629226339</v>
      </c>
      <c r="S912" s="67">
        <f t="shared" si="152"/>
        <v>8189295.6600000039</v>
      </c>
      <c r="T912" s="70">
        <f t="shared" si="153"/>
        <v>0.21971072416189494</v>
      </c>
      <c r="U912" s="67">
        <f t="shared" si="154"/>
        <v>3842107.8700000048</v>
      </c>
      <c r="V912" s="70">
        <f t="shared" si="155"/>
        <v>9.3562015753652264E-2</v>
      </c>
      <c r="W912" s="87">
        <f t="shared" si="156"/>
        <v>-15.826769740836784</v>
      </c>
      <c r="X912" s="142">
        <f t="shared" ref="X912:X975" si="165">4.5%/252</f>
        <v>1.7857142857142857E-4</v>
      </c>
      <c r="Y912" s="139">
        <f t="shared" si="158"/>
        <v>-8.9139955818648732E-3</v>
      </c>
      <c r="Z912" s="139">
        <f t="shared" si="159"/>
        <v>-8.9139955818648732E-3</v>
      </c>
      <c r="AA912" s="139">
        <f t="shared" si="160"/>
        <v>7.9459317233506485E-5</v>
      </c>
      <c r="AB912" s="144">
        <f t="shared" si="161"/>
        <v>7.0086610027689016</v>
      </c>
      <c r="AC912" s="144">
        <f t="shared" si="162"/>
        <v>-6.3931392382366586E-2</v>
      </c>
      <c r="AD912" s="144">
        <f t="shared" si="163"/>
        <v>-4.6287274862539585E-2</v>
      </c>
      <c r="AE912" s="144">
        <f t="shared" si="164"/>
        <v>-3.6181172865485278E-2</v>
      </c>
    </row>
    <row r="913" spans="1:31">
      <c r="A913" s="88">
        <v>45296</v>
      </c>
      <c r="B913" s="132">
        <v>45625206.32</v>
      </c>
      <c r="D913" s="67">
        <f t="shared" si="145"/>
        <v>45625206.32</v>
      </c>
      <c r="E913" s="67">
        <f t="shared" si="142"/>
        <v>52252121.409999996</v>
      </c>
      <c r="F913" s="67">
        <f t="shared" si="146"/>
        <v>35937.039999999106</v>
      </c>
      <c r="G913" s="70">
        <f t="shared" si="147"/>
        <v>7.8827848236130151E-4</v>
      </c>
      <c r="H913" s="70"/>
      <c r="I913" s="70"/>
      <c r="J913" s="67">
        <f t="shared" si="143"/>
        <v>-6626915.0899999961</v>
      </c>
      <c r="K913" s="70">
        <f t="shared" si="157"/>
        <v>-0.126825761541841</v>
      </c>
      <c r="L913" s="70">
        <f t="shared" si="149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0"/>
        <v>8580335.4900000021</v>
      </c>
      <c r="R913" s="70">
        <f t="shared" si="151"/>
        <v>0.23188131495500916</v>
      </c>
      <c r="S913" s="67">
        <f t="shared" si="152"/>
        <v>8262330.4299999997</v>
      </c>
      <c r="T913" s="70">
        <f t="shared" si="153"/>
        <v>0.2208275702613649</v>
      </c>
      <c r="U913" s="67">
        <f t="shared" si="154"/>
        <v>2724823.25</v>
      </c>
      <c r="V913" s="70">
        <f t="shared" si="155"/>
        <v>6.4054682690668899E-2</v>
      </c>
      <c r="W913" s="87">
        <f t="shared" si="156"/>
        <v>-12.85641370928017</v>
      </c>
      <c r="X913" s="142">
        <f t="shared" si="165"/>
        <v>1.7857142857142857E-4</v>
      </c>
      <c r="Y913" s="139">
        <f t="shared" si="158"/>
        <v>6.0970705378987297E-4</v>
      </c>
      <c r="Z913" s="139">
        <f t="shared" si="159"/>
        <v>0</v>
      </c>
      <c r="AA913" s="139">
        <f t="shared" si="160"/>
        <v>0</v>
      </c>
      <c r="AB913" s="144">
        <f t="shared" si="161"/>
        <v>6.9291722044828337</v>
      </c>
      <c r="AC913" s="144">
        <f t="shared" si="162"/>
        <v>-6.3783027039708506E-2</v>
      </c>
      <c r="AD913" s="144">
        <f t="shared" si="163"/>
        <v>-4.6272142704630176E-2</v>
      </c>
      <c r="AE913" s="144">
        <f t="shared" si="164"/>
        <v>-3.6090784938544028E-2</v>
      </c>
    </row>
    <row r="914" spans="1:31">
      <c r="A914" s="88">
        <v>45299</v>
      </c>
      <c r="B914" s="132">
        <v>46933520.700000003</v>
      </c>
      <c r="D914" s="67">
        <f t="shared" si="145"/>
        <v>46933520.700000003</v>
      </c>
      <c r="E914" s="67">
        <f t="shared" si="142"/>
        <v>52252121.409999996</v>
      </c>
      <c r="F914" s="67">
        <f t="shared" si="146"/>
        <v>1308314.3800000027</v>
      </c>
      <c r="G914" s="70">
        <f t="shared" si="147"/>
        <v>2.8675253999377481E-2</v>
      </c>
      <c r="H914" s="70"/>
      <c r="I914" s="70"/>
      <c r="J914" s="67">
        <f t="shared" si="143"/>
        <v>-5318600.7099999934</v>
      </c>
      <c r="K914" s="70">
        <f t="shared" si="157"/>
        <v>-0.10178726846834019</v>
      </c>
      <c r="L914" s="70">
        <f t="shared" si="149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0"/>
        <v>9559237.7200000063</v>
      </c>
      <c r="R914" s="70">
        <f t="shared" si="151"/>
        <v>0.25898983909860795</v>
      </c>
      <c r="S914" s="67">
        <f t="shared" si="152"/>
        <v>9674188.2100000009</v>
      </c>
      <c r="T914" s="70">
        <f t="shared" si="153"/>
        <v>0.2586683164082938</v>
      </c>
      <c r="U914" s="67">
        <f t="shared" si="154"/>
        <v>3466500.5700000003</v>
      </c>
      <c r="V914" s="70">
        <f t="shared" si="155"/>
        <v>8.303559937777337E-2</v>
      </c>
      <c r="W914" s="87">
        <f t="shared" si="156"/>
        <v>-7.41442551075236</v>
      </c>
      <c r="X914" s="142">
        <f t="shared" si="165"/>
        <v>1.7857142857142857E-4</v>
      </c>
      <c r="Y914" s="139">
        <f t="shared" si="158"/>
        <v>2.8496682570806054E-2</v>
      </c>
      <c r="Z914" s="139">
        <f t="shared" si="159"/>
        <v>0</v>
      </c>
      <c r="AA914" s="139">
        <f t="shared" si="160"/>
        <v>0</v>
      </c>
      <c r="AB914" s="144">
        <f t="shared" si="161"/>
        <v>7.5286779031822197</v>
      </c>
      <c r="AC914" s="144">
        <f t="shared" si="162"/>
        <v>-6.3200991071602E-2</v>
      </c>
      <c r="AD914" s="144">
        <f t="shared" si="163"/>
        <v>-4.6145540173811256E-2</v>
      </c>
      <c r="AE914" s="144">
        <f t="shared" si="164"/>
        <v>-3.6093776484001333E-2</v>
      </c>
    </row>
    <row r="915" spans="1:31">
      <c r="A915" s="88">
        <v>45300</v>
      </c>
      <c r="B915" s="132">
        <v>46407459.329999998</v>
      </c>
      <c r="D915" s="67">
        <f t="shared" si="145"/>
        <v>46407459.329999998</v>
      </c>
      <c r="E915" s="67">
        <f t="shared" si="142"/>
        <v>52252121.409999996</v>
      </c>
      <c r="F915" s="67">
        <f t="shared" si="146"/>
        <v>-526061.37000000477</v>
      </c>
      <c r="G915" s="70">
        <f t="shared" si="147"/>
        <v>-1.120864921603899E-2</v>
      </c>
      <c r="H915" s="70"/>
      <c r="I915" s="70"/>
      <c r="J915" s="67">
        <f t="shared" si="143"/>
        <v>-5844662.0799999982</v>
      </c>
      <c r="K915" s="70">
        <f t="shared" si="157"/>
        <v>-0.11185501989745883</v>
      </c>
      <c r="L915" s="70">
        <f t="shared" si="149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0"/>
        <v>9280629.3200000003</v>
      </c>
      <c r="R915" s="70">
        <f t="shared" si="151"/>
        <v>0.25052400270442515</v>
      </c>
      <c r="S915" s="67">
        <f t="shared" si="152"/>
        <v>9706729.5099999979</v>
      </c>
      <c r="T915" s="70">
        <f t="shared" si="153"/>
        <v>0.25979610184659147</v>
      </c>
      <c r="U915" s="67">
        <f t="shared" si="154"/>
        <v>3237033.0899999961</v>
      </c>
      <c r="V915" s="70">
        <f t="shared" si="155"/>
        <v>7.545464302074345E-2</v>
      </c>
      <c r="W915" s="87">
        <f t="shared" si="156"/>
        <v>-7.7025781999551848</v>
      </c>
      <c r="X915" s="142">
        <f t="shared" si="165"/>
        <v>1.7857142857142857E-4</v>
      </c>
      <c r="Y915" s="139">
        <f t="shared" si="158"/>
        <v>-1.1387220644610419E-2</v>
      </c>
      <c r="Z915" s="139">
        <f t="shared" si="159"/>
        <v>-1.1387220644610419E-2</v>
      </c>
      <c r="AA915" s="139">
        <f t="shared" si="160"/>
        <v>1.2966879400904172E-4</v>
      </c>
      <c r="AB915" s="144">
        <f t="shared" si="161"/>
        <v>7.0504472094076567</v>
      </c>
      <c r="AC915" s="144">
        <f t="shared" si="162"/>
        <v>-6.41218790696024E-2</v>
      </c>
      <c r="AD915" s="144">
        <f t="shared" si="163"/>
        <v>-4.6291036691684606E-2</v>
      </c>
      <c r="AE915" s="144">
        <f t="shared" si="164"/>
        <v>-3.6158472517288751E-2</v>
      </c>
    </row>
    <row r="916" spans="1:31">
      <c r="A916" s="88">
        <v>45301</v>
      </c>
      <c r="B916" s="132">
        <v>46671583.950000003</v>
      </c>
      <c r="D916" s="67">
        <f t="shared" si="145"/>
        <v>46671583.950000003</v>
      </c>
      <c r="E916" s="67">
        <f t="shared" si="142"/>
        <v>52252121.409999996</v>
      </c>
      <c r="F916" s="67">
        <f t="shared" si="146"/>
        <v>264124.62000000477</v>
      </c>
      <c r="G916" s="70">
        <f t="shared" si="147"/>
        <v>5.6914259865388063E-3</v>
      </c>
      <c r="H916" s="70"/>
      <c r="I916" s="70"/>
      <c r="J916" s="67">
        <f t="shared" si="143"/>
        <v>-5580537.4599999934</v>
      </c>
      <c r="K916" s="70">
        <f t="shared" si="157"/>
        <v>-0.10680020847788918</v>
      </c>
      <c r="L916" s="70">
        <f t="shared" si="149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0"/>
        <v>9675661.450000003</v>
      </c>
      <c r="R916" s="70">
        <f t="shared" si="151"/>
        <v>0.25888554049793316</v>
      </c>
      <c r="S916" s="67">
        <f t="shared" si="152"/>
        <v>10250684.630000003</v>
      </c>
      <c r="T916" s="70">
        <f t="shared" si="153"/>
        <v>0.27511723761425877</v>
      </c>
      <c r="U916" s="67">
        <f t="shared" si="154"/>
        <v>4437010.5900000036</v>
      </c>
      <c r="V916" s="70">
        <f t="shared" si="155"/>
        <v>0.10207763441638996</v>
      </c>
      <c r="W916" s="87">
        <f t="shared" si="156"/>
        <v>-6.7103171248035585</v>
      </c>
      <c r="X916" s="142">
        <f t="shared" si="165"/>
        <v>1.7857142857142857E-4</v>
      </c>
      <c r="Y916" s="139">
        <f t="shared" si="158"/>
        <v>5.5128545579673774E-3</v>
      </c>
      <c r="Z916" s="139">
        <f t="shared" si="159"/>
        <v>0</v>
      </c>
      <c r="AA916" s="139">
        <f t="shared" si="160"/>
        <v>0</v>
      </c>
      <c r="AB916" s="144">
        <f t="shared" si="161"/>
        <v>6.8483163400451295</v>
      </c>
      <c r="AC916" s="144">
        <f t="shared" si="162"/>
        <v>-6.357102229902753E-2</v>
      </c>
      <c r="AD916" s="144">
        <f t="shared" si="163"/>
        <v>-4.5963377368330963E-2</v>
      </c>
      <c r="AE916" s="144">
        <f t="shared" si="164"/>
        <v>-3.61213830794226E-2</v>
      </c>
    </row>
    <row r="917" spans="1:31">
      <c r="A917" s="88">
        <v>45302</v>
      </c>
      <c r="B917" s="132">
        <v>46305466.200000003</v>
      </c>
      <c r="D917" s="67">
        <f t="shared" si="145"/>
        <v>46305466.200000003</v>
      </c>
      <c r="E917" s="67">
        <f t="shared" si="142"/>
        <v>52252121.409999996</v>
      </c>
      <c r="F917" s="67">
        <f t="shared" si="146"/>
        <v>-366117.75</v>
      </c>
      <c r="G917" s="70">
        <f t="shared" si="147"/>
        <v>-7.8445537737100949E-3</v>
      </c>
      <c r="H917" s="70"/>
      <c r="I917" s="70"/>
      <c r="J917" s="67">
        <f t="shared" si="143"/>
        <v>-5946655.2099999934</v>
      </c>
      <c r="K917" s="70">
        <f t="shared" si="157"/>
        <v>-0.11380696227315101</v>
      </c>
      <c r="L917" s="70">
        <f t="shared" si="149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0"/>
        <v>7711331.1900000051</v>
      </c>
      <c r="R917" s="70">
        <f t="shared" si="151"/>
        <v>0.20770238633147461</v>
      </c>
      <c r="S917" s="67">
        <f t="shared" si="152"/>
        <v>9718018.0300000012</v>
      </c>
      <c r="T917" s="70">
        <f t="shared" si="153"/>
        <v>0.26479086594905216</v>
      </c>
      <c r="U917" s="67">
        <f t="shared" si="154"/>
        <v>3836896.8900000006</v>
      </c>
      <c r="V917" s="70">
        <f t="shared" si="155"/>
        <v>8.8877901475174326E-2</v>
      </c>
      <c r="W917" s="87">
        <f t="shared" si="156"/>
        <v>-6.8240565127100536</v>
      </c>
      <c r="X917" s="142">
        <f t="shared" si="165"/>
        <v>1.7857142857142857E-4</v>
      </c>
      <c r="Y917" s="139">
        <f t="shared" si="158"/>
        <v>-8.0231252022815239E-3</v>
      </c>
      <c r="Z917" s="139">
        <f t="shared" si="159"/>
        <v>-8.0231252022815239E-3</v>
      </c>
      <c r="AA917" s="139">
        <f t="shared" si="160"/>
        <v>6.437053801148494E-5</v>
      </c>
      <c r="AB917" s="144">
        <f t="shared" si="161"/>
        <v>6.6038904142900243</v>
      </c>
      <c r="AC917" s="144">
        <f t="shared" si="162"/>
        <v>-6.3794141846392469E-2</v>
      </c>
      <c r="AD917" s="144">
        <f t="shared" si="163"/>
        <v>-4.5967297476433439E-2</v>
      </c>
      <c r="AE917" s="144">
        <f t="shared" si="164"/>
        <v>-3.6040463559103127E-2</v>
      </c>
    </row>
    <row r="918" spans="1:31">
      <c r="A918" s="88">
        <v>45303</v>
      </c>
      <c r="B918" s="132">
        <v>46067597.759999998</v>
      </c>
      <c r="D918" s="67">
        <f t="shared" si="145"/>
        <v>46067597.759999998</v>
      </c>
      <c r="E918" s="67">
        <f t="shared" ref="E918:E981" si="166">IF(MONTH(A918)=MONTH(A917),E917,D917)</f>
        <v>52252121.409999996</v>
      </c>
      <c r="F918" s="67">
        <f t="shared" si="146"/>
        <v>-237868.44000000507</v>
      </c>
      <c r="G918" s="70">
        <f t="shared" si="147"/>
        <v>-5.136940830540759E-3</v>
      </c>
      <c r="H918" s="70"/>
      <c r="I918" s="70"/>
      <c r="J918" s="67">
        <f t="shared" ref="J918:J981" si="167">IF(MONTH(A918)=MONTH(A917),J917+F918,F918)</f>
        <v>-6184523.6499999985</v>
      </c>
      <c r="K918" s="70">
        <f t="shared" si="157"/>
        <v>-0.118359283472391</v>
      </c>
      <c r="L918" s="70">
        <f t="shared" si="149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0"/>
        <v>8505617.1000000015</v>
      </c>
      <c r="R918" s="70">
        <f t="shared" si="151"/>
        <v>0.22990687960274545</v>
      </c>
      <c r="S918" s="67">
        <f t="shared" si="152"/>
        <v>8772233.6199999973</v>
      </c>
      <c r="T918" s="70">
        <f t="shared" si="153"/>
        <v>0.24085713927395677</v>
      </c>
      <c r="U918" s="67">
        <f t="shared" si="154"/>
        <v>6150083.2399999946</v>
      </c>
      <c r="V918" s="70">
        <f t="shared" si="155"/>
        <v>0.14561726923527268</v>
      </c>
      <c r="W918" s="87">
        <f t="shared" si="156"/>
        <v>-6.7764236174369969</v>
      </c>
      <c r="X918" s="142">
        <f t="shared" si="165"/>
        <v>1.7857142857142857E-4</v>
      </c>
      <c r="Y918" s="139">
        <f t="shared" si="158"/>
        <v>-5.315512259112188E-3</v>
      </c>
      <c r="Z918" s="139">
        <f t="shared" si="159"/>
        <v>-5.315512259112188E-3</v>
      </c>
      <c r="AA918" s="139">
        <f t="shared" si="160"/>
        <v>2.8254670576771958E-5</v>
      </c>
      <c r="AB918" s="144">
        <f t="shared" si="161"/>
        <v>6.5108385796554913</v>
      </c>
      <c r="AC918" s="144">
        <f t="shared" si="162"/>
        <v>-6.4689249143734764E-2</v>
      </c>
      <c r="AD918" s="144">
        <f t="shared" si="163"/>
        <v>-4.6095231289061782E-2</v>
      </c>
      <c r="AE918" s="144">
        <f t="shared" si="164"/>
        <v>-3.607053455939558E-2</v>
      </c>
    </row>
    <row r="919" spans="1:31">
      <c r="A919" s="88">
        <v>45306</v>
      </c>
      <c r="B919" s="132">
        <v>46041315.93</v>
      </c>
      <c r="D919" s="67">
        <f t="shared" si="145"/>
        <v>46041315.93</v>
      </c>
      <c r="E919" s="67">
        <f t="shared" si="166"/>
        <v>52252121.409999996</v>
      </c>
      <c r="F919" s="67">
        <f t="shared" si="146"/>
        <v>-26281.829999998212</v>
      </c>
      <c r="G919" s="70">
        <f t="shared" si="147"/>
        <v>-5.7050576279057562E-4</v>
      </c>
      <c r="H919" s="70"/>
      <c r="I919" s="70"/>
      <c r="J919" s="67">
        <f t="shared" si="167"/>
        <v>-6210805.4799999967</v>
      </c>
      <c r="K919" s="70">
        <f t="shared" si="157"/>
        <v>-0.11886226458188087</v>
      </c>
      <c r="L919" s="70">
        <f t="shared" si="149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0"/>
        <v>7863481.0600000024</v>
      </c>
      <c r="R919" s="70">
        <f t="shared" si="151"/>
        <v>0.20374808395012667</v>
      </c>
      <c r="S919" s="67">
        <f t="shared" si="152"/>
        <v>9463387.0200000033</v>
      </c>
      <c r="T919" s="70">
        <f t="shared" si="153"/>
        <v>0.25865119032159062</v>
      </c>
      <c r="U919" s="67">
        <f t="shared" si="154"/>
        <v>7687791.0600000024</v>
      </c>
      <c r="V919" s="70">
        <f t="shared" si="155"/>
        <v>0.18102307623981512</v>
      </c>
      <c r="W919" s="87">
        <f t="shared" si="156"/>
        <v>-6.4702646445592711</v>
      </c>
      <c r="X919" s="142">
        <f t="shared" si="165"/>
        <v>1.7857142857142857E-4</v>
      </c>
      <c r="Y919" s="139">
        <f t="shared" si="158"/>
        <v>-7.4907719136200416E-4</v>
      </c>
      <c r="Z919" s="139">
        <f t="shared" si="159"/>
        <v>-7.4907719136200416E-4</v>
      </c>
      <c r="AA919" s="139">
        <f t="shared" si="160"/>
        <v>5.6111663861878861E-7</v>
      </c>
      <c r="AB919" s="144">
        <f t="shared" si="161"/>
        <v>6.0083548527650716</v>
      </c>
      <c r="AC919" s="144">
        <f t="shared" si="162"/>
        <v>-6.3099215220968521E-2</v>
      </c>
      <c r="AD919" s="144">
        <f t="shared" si="163"/>
        <v>-4.6236288452643208E-2</v>
      </c>
      <c r="AE919" s="144">
        <f t="shared" si="164"/>
        <v>-3.5871644799467611E-2</v>
      </c>
    </row>
    <row r="920" spans="1:31">
      <c r="A920" s="88">
        <v>45307</v>
      </c>
      <c r="B920" s="132">
        <v>45092421.030000001</v>
      </c>
      <c r="D920" s="67">
        <f t="shared" si="145"/>
        <v>45092421.030000001</v>
      </c>
      <c r="E920" s="67">
        <f t="shared" si="166"/>
        <v>52252121.409999996</v>
      </c>
      <c r="F920" s="67">
        <f t="shared" si="146"/>
        <v>-948894.89999999851</v>
      </c>
      <c r="G920" s="70">
        <f t="shared" si="147"/>
        <v>-2.0609638991263265E-2</v>
      </c>
      <c r="H920" s="70"/>
      <c r="I920" s="70"/>
      <c r="J920" s="67">
        <f t="shared" si="167"/>
        <v>-7159700.3799999952</v>
      </c>
      <c r="K920" s="70">
        <f t="shared" si="157"/>
        <v>-0.13702219521042747</v>
      </c>
      <c r="L920" s="70">
        <f t="shared" si="149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0"/>
        <v>7543358.5500000045</v>
      </c>
      <c r="R920" s="70">
        <f t="shared" si="151"/>
        <v>0.20082430205904922</v>
      </c>
      <c r="S920" s="67">
        <f t="shared" si="152"/>
        <v>8311630.6400000006</v>
      </c>
      <c r="T920" s="70">
        <f t="shared" si="153"/>
        <v>0.22285961892742631</v>
      </c>
      <c r="U920" s="67">
        <f t="shared" si="154"/>
        <v>6702077.8100000024</v>
      </c>
      <c r="V920" s="70">
        <f t="shared" si="155"/>
        <v>0.16311713882662965</v>
      </c>
      <c r="W920" s="87">
        <f t="shared" si="156"/>
        <v>-7.2309383159853962</v>
      </c>
      <c r="X920" s="142">
        <f t="shared" si="165"/>
        <v>1.7857142857142857E-4</v>
      </c>
      <c r="Y920" s="139">
        <f t="shared" si="158"/>
        <v>-2.0788210419834693E-2</v>
      </c>
      <c r="Z920" s="139">
        <f t="shared" si="159"/>
        <v>-2.0788210419834693E-2</v>
      </c>
      <c r="AA920" s="139">
        <f t="shared" si="160"/>
        <v>4.3214969245932371E-4</v>
      </c>
      <c r="AB920" s="144">
        <f t="shared" si="161"/>
        <v>5.5896575965356101</v>
      </c>
      <c r="AC920" s="144">
        <f t="shared" si="162"/>
        <v>-6.4778897399616453E-2</v>
      </c>
      <c r="AD920" s="144">
        <f t="shared" si="163"/>
        <v>-4.6270865602616937E-2</v>
      </c>
      <c r="AE920" s="144">
        <f t="shared" si="164"/>
        <v>-3.5705039233227299E-2</v>
      </c>
    </row>
    <row r="921" spans="1:31">
      <c r="A921" s="88">
        <v>45308</v>
      </c>
      <c r="B921" s="132">
        <v>44532926.369999997</v>
      </c>
      <c r="D921" s="67">
        <f t="shared" si="145"/>
        <v>44532926.369999997</v>
      </c>
      <c r="E921" s="67">
        <f t="shared" si="166"/>
        <v>52252121.409999996</v>
      </c>
      <c r="F921" s="67">
        <f t="shared" si="146"/>
        <v>-559494.66000000387</v>
      </c>
      <c r="G921" s="70">
        <f t="shared" si="147"/>
        <v>-1.2407731659113444E-2</v>
      </c>
      <c r="H921" s="70"/>
      <c r="I921" s="70"/>
      <c r="J921" s="67">
        <f t="shared" si="167"/>
        <v>-7719195.0399999991</v>
      </c>
      <c r="K921" s="70">
        <f t="shared" si="157"/>
        <v>-0.14772979224002725</v>
      </c>
      <c r="L921" s="70">
        <f t="shared" si="149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0"/>
        <v>5742268.799999997</v>
      </c>
      <c r="R921" s="70">
        <f t="shared" si="151"/>
        <v>0.15040844562173564</v>
      </c>
      <c r="S921" s="67">
        <f t="shared" si="152"/>
        <v>7053043.4199999943</v>
      </c>
      <c r="T921" s="70">
        <f t="shared" si="153"/>
        <v>0.19282238306477137</v>
      </c>
      <c r="U921" s="67">
        <f t="shared" si="154"/>
        <v>5986057.2299999967</v>
      </c>
      <c r="V921" s="70">
        <f t="shared" si="155"/>
        <v>0.15607580399167617</v>
      </c>
      <c r="W921" s="87">
        <f t="shared" si="156"/>
        <v>-7.5779168813337261</v>
      </c>
      <c r="X921" s="142">
        <f t="shared" si="165"/>
        <v>1.7857142857142857E-4</v>
      </c>
      <c r="Y921" s="139">
        <f t="shared" si="158"/>
        <v>-1.2586303087684873E-2</v>
      </c>
      <c r="Z921" s="139">
        <f t="shared" si="159"/>
        <v>-1.2586303087684873E-2</v>
      </c>
      <c r="AA921" s="139">
        <f t="shared" si="160"/>
        <v>1.5841502541506577E-4</v>
      </c>
      <c r="AB921" s="144">
        <f t="shared" si="161"/>
        <v>6.0256006546913667</v>
      </c>
      <c r="AC921" s="144">
        <f t="shared" si="162"/>
        <v>-6.4531913188445714E-2</v>
      </c>
      <c r="AD921" s="144">
        <f t="shared" si="163"/>
        <v>-4.6538116479177979E-2</v>
      </c>
      <c r="AE921" s="144">
        <f t="shared" si="164"/>
        <v>-3.575914851871341E-2</v>
      </c>
    </row>
    <row r="922" spans="1:31">
      <c r="A922" s="88">
        <v>45309</v>
      </c>
      <c r="B922" s="132">
        <v>44796623.079999998</v>
      </c>
      <c r="D922" s="67">
        <f t="shared" si="145"/>
        <v>44796623.079999998</v>
      </c>
      <c r="E922" s="67">
        <f t="shared" si="166"/>
        <v>52252121.409999996</v>
      </c>
      <c r="F922" s="67">
        <f t="shared" si="146"/>
        <v>263696.71000000089</v>
      </c>
      <c r="G922" s="70">
        <f t="shared" si="147"/>
        <v>5.921387420379419E-3</v>
      </c>
      <c r="H922" s="70"/>
      <c r="I922" s="70"/>
      <c r="J922" s="67">
        <f t="shared" si="167"/>
        <v>-7455498.3299999982</v>
      </c>
      <c r="K922" s="70">
        <f t="shared" si="157"/>
        <v>-0.14268317015303322</v>
      </c>
      <c r="L922" s="70">
        <f t="shared" si="149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0"/>
        <v>5647279.8799999952</v>
      </c>
      <c r="R922" s="70">
        <f t="shared" si="151"/>
        <v>0.15039736033377513</v>
      </c>
      <c r="S922" s="67">
        <f t="shared" si="152"/>
        <v>8549516.7299999967</v>
      </c>
      <c r="T922" s="70">
        <f t="shared" si="153"/>
        <v>0.23244516062179155</v>
      </c>
      <c r="U922" s="67">
        <f t="shared" si="154"/>
        <v>5169490.4799999967</v>
      </c>
      <c r="V922" s="70">
        <f t="shared" si="155"/>
        <v>0.13465601102797323</v>
      </c>
      <c r="W922" s="87">
        <f t="shared" si="156"/>
        <v>-6.9091000405594505</v>
      </c>
      <c r="X922" s="142">
        <f t="shared" si="165"/>
        <v>1.7857142857142857E-4</v>
      </c>
      <c r="Y922" s="139">
        <f t="shared" si="158"/>
        <v>5.74281599180799E-3</v>
      </c>
      <c r="Z922" s="139">
        <f t="shared" si="159"/>
        <v>0</v>
      </c>
      <c r="AA922" s="139">
        <f t="shared" si="160"/>
        <v>0</v>
      </c>
      <c r="AB922" s="144">
        <f t="shared" si="161"/>
        <v>5.7684573989552934</v>
      </c>
      <c r="AC922" s="144">
        <f t="shared" si="162"/>
        <v>-6.4959497821427903E-2</v>
      </c>
      <c r="AD922" s="144">
        <f t="shared" si="163"/>
        <v>-4.6602626525068587E-2</v>
      </c>
      <c r="AE922" s="144">
        <f t="shared" si="164"/>
        <v>-3.5755725497871135E-2</v>
      </c>
    </row>
    <row r="923" spans="1:31">
      <c r="A923" s="88">
        <v>45310</v>
      </c>
      <c r="B923" s="132">
        <v>45867324.280000001</v>
      </c>
      <c r="D923" s="67">
        <f t="shared" si="145"/>
        <v>45867324.280000001</v>
      </c>
      <c r="E923" s="67">
        <f t="shared" si="166"/>
        <v>52252121.409999996</v>
      </c>
      <c r="F923" s="67">
        <f t="shared" si="146"/>
        <v>1070701.200000003</v>
      </c>
      <c r="G923" s="70">
        <f t="shared" si="147"/>
        <v>2.3901381987831816E-2</v>
      </c>
      <c r="H923" s="70"/>
      <c r="I923" s="70"/>
      <c r="J923" s="67">
        <f t="shared" si="167"/>
        <v>-6384797.1299999952</v>
      </c>
      <c r="K923" s="70">
        <f t="shared" si="157"/>
        <v>-0.12219211311826395</v>
      </c>
      <c r="L923" s="70">
        <f t="shared" si="149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0"/>
        <v>6142130.25</v>
      </c>
      <c r="R923" s="70">
        <f t="shared" si="151"/>
        <v>0.15834045192237767</v>
      </c>
      <c r="S923" s="67">
        <f t="shared" si="152"/>
        <v>9754928.200000003</v>
      </c>
      <c r="T923" s="70">
        <f t="shared" si="153"/>
        <v>0.26027104228189707</v>
      </c>
      <c r="U923" s="67">
        <f t="shared" si="154"/>
        <v>8619179.5500000045</v>
      </c>
      <c r="V923" s="70">
        <f t="shared" si="155"/>
        <v>0.22360258413454132</v>
      </c>
      <c r="W923" s="87">
        <f t="shared" si="156"/>
        <v>-5.2556078013911103</v>
      </c>
      <c r="X923" s="142">
        <f t="shared" si="165"/>
        <v>1.7857142857142857E-4</v>
      </c>
      <c r="Y923" s="139">
        <f t="shared" si="158"/>
        <v>2.3722810559260388E-2</v>
      </c>
      <c r="Z923" s="139">
        <f t="shared" si="159"/>
        <v>0</v>
      </c>
      <c r="AA923" s="139">
        <f t="shared" si="160"/>
        <v>0</v>
      </c>
      <c r="AB923" s="144">
        <f t="shared" si="161"/>
        <v>5.4677097869812741</v>
      </c>
      <c r="AC923" s="144">
        <f t="shared" si="162"/>
        <v>-6.467674944916299E-2</v>
      </c>
      <c r="AD923" s="144">
        <f t="shared" si="163"/>
        <v>-4.5716398044424816E-2</v>
      </c>
      <c r="AE923" s="144">
        <f t="shared" si="164"/>
        <v>-3.5745732539613599E-2</v>
      </c>
    </row>
    <row r="924" spans="1:31">
      <c r="A924" s="88">
        <v>45313</v>
      </c>
      <c r="B924" s="132">
        <v>46441982.039999999</v>
      </c>
      <c r="D924" s="67">
        <f t="shared" si="145"/>
        <v>46441982.039999999</v>
      </c>
      <c r="E924" s="67">
        <f t="shared" si="166"/>
        <v>52252121.409999996</v>
      </c>
      <c r="F924" s="67">
        <f t="shared" si="146"/>
        <v>574657.75999999791</v>
      </c>
      <c r="G924" s="70">
        <f t="shared" si="147"/>
        <v>1.2528695951217103E-2</v>
      </c>
      <c r="H924" s="70"/>
      <c r="I924" s="70"/>
      <c r="J924" s="67">
        <f t="shared" si="167"/>
        <v>-5810139.3699999973</v>
      </c>
      <c r="K924" s="70">
        <f t="shared" si="157"/>
        <v>-0.1111943249999422</v>
      </c>
      <c r="L924" s="70">
        <f t="shared" si="149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0"/>
        <v>5305016.2800000012</v>
      </c>
      <c r="R924" s="70">
        <f t="shared" si="151"/>
        <v>0.13550715915969699</v>
      </c>
      <c r="S924" s="67">
        <f t="shared" si="152"/>
        <v>10503693.259999998</v>
      </c>
      <c r="T924" s="70">
        <f t="shared" si="153"/>
        <v>0.28978018710174908</v>
      </c>
      <c r="U924" s="67">
        <f t="shared" si="154"/>
        <v>9707312.9699999988</v>
      </c>
      <c r="V924" s="70">
        <f t="shared" si="155"/>
        <v>0.2449663231500126</v>
      </c>
      <c r="W924" s="87">
        <f t="shared" si="156"/>
        <v>-4.4878345763154384</v>
      </c>
      <c r="X924" s="142">
        <f t="shared" si="165"/>
        <v>1.7857142857142857E-4</v>
      </c>
      <c r="Y924" s="139">
        <f t="shared" si="158"/>
        <v>1.2350124522645674E-2</v>
      </c>
      <c r="Z924" s="139">
        <f t="shared" si="159"/>
        <v>0</v>
      </c>
      <c r="AA924" s="139">
        <f t="shared" si="160"/>
        <v>0</v>
      </c>
      <c r="AB924" s="144">
        <f t="shared" si="161"/>
        <v>5.0533181245168821</v>
      </c>
      <c r="AC924" s="144">
        <f t="shared" si="162"/>
        <v>-6.4727940736665185E-2</v>
      </c>
      <c r="AD924" s="144">
        <f t="shared" si="163"/>
        <v>-4.5548744312893796E-2</v>
      </c>
      <c r="AE924" s="144">
        <f t="shared" si="164"/>
        <v>-3.5181953101091366E-2</v>
      </c>
    </row>
    <row r="925" spans="1:31">
      <c r="A925" s="88">
        <v>45314</v>
      </c>
      <c r="B925" s="132">
        <v>46567678.450000003</v>
      </c>
      <c r="D925" s="67">
        <f t="shared" si="145"/>
        <v>46567678.450000003</v>
      </c>
      <c r="E925" s="67">
        <f t="shared" si="166"/>
        <v>52252121.409999996</v>
      </c>
      <c r="F925" s="67">
        <f t="shared" si="146"/>
        <v>125696.41000000387</v>
      </c>
      <c r="G925" s="70">
        <f t="shared" si="147"/>
        <v>2.7065255288144865E-3</v>
      </c>
      <c r="H925" s="70"/>
      <c r="I925" s="70"/>
      <c r="J925" s="67">
        <f t="shared" si="167"/>
        <v>-5684442.9599999934</v>
      </c>
      <c r="K925" s="70">
        <f t="shared" si="157"/>
        <v>-0.10878874975039932</v>
      </c>
      <c r="L925" s="70">
        <f t="shared" si="149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0"/>
        <v>-316971.37999999523</v>
      </c>
      <c r="R925" s="70">
        <f t="shared" si="151"/>
        <v>-7.979102122462188E-3</v>
      </c>
      <c r="S925" s="67">
        <f t="shared" si="152"/>
        <v>11549408.530000001</v>
      </c>
      <c r="T925" s="70">
        <f t="shared" si="153"/>
        <v>0.31981839433790354</v>
      </c>
      <c r="U925" s="67">
        <f t="shared" si="154"/>
        <v>10601997.240000002</v>
      </c>
      <c r="V925" s="70">
        <f t="shared" si="155"/>
        <v>0.28463155190280004</v>
      </c>
      <c r="W925" s="87">
        <f t="shared" si="156"/>
        <v>-4.2372644907486974</v>
      </c>
      <c r="X925" s="142">
        <f t="shared" si="165"/>
        <v>1.7857142857142857E-4</v>
      </c>
      <c r="Y925" s="139">
        <f t="shared" si="158"/>
        <v>2.527954100243058E-3</v>
      </c>
      <c r="Z925" s="139">
        <f t="shared" si="159"/>
        <v>0</v>
      </c>
      <c r="AA925" s="139">
        <f t="shared" si="160"/>
        <v>0</v>
      </c>
      <c r="AB925" s="144">
        <f t="shared" si="161"/>
        <v>5.7726992168028266</v>
      </c>
      <c r="AC925" s="144">
        <f t="shared" si="162"/>
        <v>-6.523302373857387E-2</v>
      </c>
      <c r="AD925" s="144">
        <f t="shared" si="163"/>
        <v>-4.5444798463007537E-2</v>
      </c>
      <c r="AE925" s="144">
        <f t="shared" si="164"/>
        <v>-3.511492470443256E-2</v>
      </c>
    </row>
    <row r="926" spans="1:31">
      <c r="A926" s="88">
        <v>45315</v>
      </c>
      <c r="B926" s="132">
        <v>46282903.090000004</v>
      </c>
      <c r="D926" s="67">
        <f t="shared" si="145"/>
        <v>46282903.090000004</v>
      </c>
      <c r="E926" s="67">
        <f t="shared" si="166"/>
        <v>52252121.409999996</v>
      </c>
      <c r="F926" s="67">
        <f t="shared" si="146"/>
        <v>-284775.3599999994</v>
      </c>
      <c r="G926" s="70">
        <f t="shared" si="147"/>
        <v>-6.1153007725253993E-3</v>
      </c>
      <c r="H926" s="70"/>
      <c r="I926" s="70"/>
      <c r="J926" s="67">
        <f t="shared" si="167"/>
        <v>-5969218.3199999928</v>
      </c>
      <c r="K926" s="70">
        <f t="shared" si="157"/>
        <v>-0.11423877459753407</v>
      </c>
      <c r="L926" s="70">
        <f t="shared" si="149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0"/>
        <v>-3199271.799999997</v>
      </c>
      <c r="R926" s="70">
        <f t="shared" si="151"/>
        <v>-7.7771214791705567E-2</v>
      </c>
      <c r="S926" s="67">
        <f t="shared" si="152"/>
        <v>12620506.650000006</v>
      </c>
      <c r="T926" s="70">
        <f t="shared" si="153"/>
        <v>0.35117160773173589</v>
      </c>
      <c r="U926" s="67">
        <f t="shared" si="154"/>
        <v>10776517.560000002</v>
      </c>
      <c r="V926" s="70">
        <f t="shared" si="155"/>
        <v>0.2933609539115416</v>
      </c>
      <c r="W926" s="87">
        <f t="shared" si="156"/>
        <v>-4.3543964681894618</v>
      </c>
      <c r="X926" s="142">
        <f t="shared" si="165"/>
        <v>1.7857142857142857E-4</v>
      </c>
      <c r="Y926" s="139">
        <f t="shared" si="158"/>
        <v>-6.2938722010968283E-3</v>
      </c>
      <c r="Z926" s="139">
        <f t="shared" si="159"/>
        <v>-6.2938722010968283E-3</v>
      </c>
      <c r="AA926" s="139">
        <f t="shared" si="160"/>
        <v>3.9612827283739431E-5</v>
      </c>
      <c r="AB926" s="144">
        <f t="shared" si="161"/>
        <v>6.0881952375052268</v>
      </c>
      <c r="AC926" s="144">
        <f t="shared" si="162"/>
        <v>-5.6297707488872778E-2</v>
      </c>
      <c r="AD926" s="144">
        <f t="shared" si="163"/>
        <v>-4.4993545690817142E-2</v>
      </c>
      <c r="AE926" s="144">
        <f t="shared" si="164"/>
        <v>-3.503011666912359E-2</v>
      </c>
    </row>
    <row r="927" spans="1:31">
      <c r="A927" s="88">
        <v>45316</v>
      </c>
      <c r="B927" s="132">
        <v>45868180.719999999</v>
      </c>
      <c r="D927" s="67">
        <f t="shared" si="145"/>
        <v>45868180.719999999</v>
      </c>
      <c r="E927" s="67">
        <f t="shared" si="166"/>
        <v>52252121.409999996</v>
      </c>
      <c r="F927" s="67">
        <f t="shared" si="146"/>
        <v>-414722.37000000477</v>
      </c>
      <c r="G927" s="70">
        <f t="shared" si="147"/>
        <v>-8.9605954318282745E-3</v>
      </c>
      <c r="H927" s="70"/>
      <c r="I927" s="70"/>
      <c r="J927" s="67">
        <f t="shared" si="167"/>
        <v>-6383940.6899999976</v>
      </c>
      <c r="K927" s="70">
        <f t="shared" si="157"/>
        <v>-0.12217572258756604</v>
      </c>
      <c r="L927" s="70">
        <f t="shared" si="149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0"/>
        <v>-3042267.7408300042</v>
      </c>
      <c r="R927" s="70">
        <f t="shared" si="151"/>
        <v>-6.4888353690622083E-2</v>
      </c>
      <c r="S927" s="67">
        <f t="shared" si="152"/>
        <v>12047168.269999996</v>
      </c>
      <c r="T927" s="70">
        <f t="shared" si="153"/>
        <v>0.34402522733196167</v>
      </c>
      <c r="U927" s="67">
        <f t="shared" si="154"/>
        <v>10559720.229999997</v>
      </c>
      <c r="V927" s="70">
        <f t="shared" si="155"/>
        <v>0.29360545594403875</v>
      </c>
      <c r="W927" s="87">
        <f t="shared" si="156"/>
        <v>-4.571033241757636</v>
      </c>
      <c r="X927" s="142">
        <f t="shared" si="165"/>
        <v>1.7857142857142857E-4</v>
      </c>
      <c r="Y927" s="139">
        <f t="shared" si="158"/>
        <v>-9.1391668603997035E-3</v>
      </c>
      <c r="Z927" s="139">
        <f t="shared" si="159"/>
        <v>-9.1391668603997035E-3</v>
      </c>
      <c r="AA927" s="139">
        <f t="shared" si="160"/>
        <v>8.3524370902228169E-5</v>
      </c>
      <c r="AB927" s="144">
        <f t="shared" si="161"/>
        <v>5.5689490716958758</v>
      </c>
      <c r="AC927" s="144">
        <f t="shared" si="162"/>
        <v>-5.5812594424229985E-2</v>
      </c>
      <c r="AD927" s="144">
        <f t="shared" si="163"/>
        <v>-4.4146825361653506E-2</v>
      </c>
      <c r="AE927" s="144">
        <f t="shared" si="164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5"/>
        <v>47691210.270000003</v>
      </c>
      <c r="E928" s="67">
        <f t="shared" si="166"/>
        <v>52252121.409999996</v>
      </c>
      <c r="F928" s="67">
        <f t="shared" si="146"/>
        <v>-236451.44999999553</v>
      </c>
      <c r="G928" s="70">
        <f t="shared" si="147"/>
        <v>-5.1550213304382289E-3</v>
      </c>
      <c r="H928" s="70"/>
      <c r="I928" s="70"/>
      <c r="J928" s="67">
        <f t="shared" si="167"/>
        <v>-6620392.1399999931</v>
      </c>
      <c r="K928" s="70">
        <f t="shared" si="157"/>
        <v>-0.12670092546200362</v>
      </c>
      <c r="L928" s="70">
        <f t="shared" si="149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0"/>
        <v>-3662992.6899999976</v>
      </c>
      <c r="R928" s="70">
        <f t="shared" si="151"/>
        <v>-7.4026509508583915E-2</v>
      </c>
      <c r="S928" s="67">
        <f t="shared" si="152"/>
        <v>11740325.93</v>
      </c>
      <c r="T928" s="70">
        <f t="shared" si="153"/>
        <v>0.34876678940330369</v>
      </c>
      <c r="U928" s="67">
        <f t="shared" si="154"/>
        <v>10878710.450000003</v>
      </c>
      <c r="V928" s="70">
        <f t="shared" si="155"/>
        <v>0.30638743672763818</v>
      </c>
      <c r="W928" s="87">
        <f t="shared" si="156"/>
        <v>-4.6449316973321606</v>
      </c>
      <c r="X928" s="142">
        <f t="shared" si="165"/>
        <v>1.7857142857142857E-4</v>
      </c>
      <c r="Y928" s="139">
        <f t="shared" si="158"/>
        <v>-5.3335927590096579E-3</v>
      </c>
      <c r="Z928" s="139">
        <f t="shared" si="159"/>
        <v>-5.3335927590096579E-3</v>
      </c>
      <c r="AA928" s="139">
        <f t="shared" si="160"/>
        <v>2.8447211718960256E-5</v>
      </c>
      <c r="AB928" s="144">
        <f t="shared" si="161"/>
        <v>5.7911102367895273</v>
      </c>
      <c r="AC928" s="144">
        <f t="shared" si="162"/>
        <v>-5.5527573332180918E-2</v>
      </c>
      <c r="AD928" s="144">
        <f t="shared" si="163"/>
        <v>-4.4281601785617047E-2</v>
      </c>
      <c r="AE928" s="144">
        <f t="shared" si="164"/>
        <v>-3.5008680549556644E-2</v>
      </c>
    </row>
    <row r="929" spans="1:31">
      <c r="A929" s="88">
        <v>45320</v>
      </c>
      <c r="B929" s="132">
        <v>49078804.469999999</v>
      </c>
      <c r="D929" s="67">
        <f t="shared" si="145"/>
        <v>49078804.469999999</v>
      </c>
      <c r="E929" s="67">
        <f t="shared" si="166"/>
        <v>52252121.409999996</v>
      </c>
      <c r="F929" s="67">
        <f t="shared" si="146"/>
        <v>1387594.1999999955</v>
      </c>
      <c r="G929" s="70">
        <f t="shared" si="147"/>
        <v>2.9095386595228787E-2</v>
      </c>
      <c r="H929" s="70"/>
      <c r="I929" s="70"/>
      <c r="J929" s="67">
        <f t="shared" si="167"/>
        <v>-5232797.9399999976</v>
      </c>
      <c r="K929" s="70">
        <f t="shared" si="157"/>
        <v>-0.10129195127506507</v>
      </c>
      <c r="L929" s="70">
        <f t="shared" si="149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0"/>
        <v>-3003715.9100000039</v>
      </c>
      <c r="R929" s="70">
        <f t="shared" si="151"/>
        <v>-6.1412561211855045E-2</v>
      </c>
      <c r="S929" s="67">
        <f t="shared" si="152"/>
        <v>16013272.98</v>
      </c>
      <c r="T929" s="70">
        <f t="shared" si="153"/>
        <v>0.4734711299276908</v>
      </c>
      <c r="U929" s="67">
        <f t="shared" si="154"/>
        <v>14315425.079999998</v>
      </c>
      <c r="V929" s="70">
        <f t="shared" si="155"/>
        <v>0.4054389480972807</v>
      </c>
      <c r="W929" s="87">
        <f t="shared" si="156"/>
        <v>-3.3178361238104253</v>
      </c>
      <c r="X929" s="142">
        <f t="shared" si="165"/>
        <v>1.7857142857142857E-4</v>
      </c>
      <c r="Y929" s="139">
        <f t="shared" si="158"/>
        <v>2.891681516665736E-2</v>
      </c>
      <c r="Z929" s="139">
        <f t="shared" si="159"/>
        <v>0</v>
      </c>
      <c r="AA929" s="139">
        <f t="shared" si="160"/>
        <v>0</v>
      </c>
      <c r="AB929" s="144">
        <f t="shared" si="161"/>
        <v>6.672611237702708</v>
      </c>
      <c r="AC929" s="144">
        <f t="shared" si="162"/>
        <v>-5.5548792907093525E-2</v>
      </c>
      <c r="AD929" s="144">
        <f t="shared" si="163"/>
        <v>-4.4180895652827901E-2</v>
      </c>
      <c r="AE929" s="144">
        <f t="shared" si="164"/>
        <v>-3.4938304993747935E-2</v>
      </c>
    </row>
    <row r="930" spans="1:31">
      <c r="A930" s="88">
        <v>45321</v>
      </c>
      <c r="B930" s="132">
        <v>48902992.630000003</v>
      </c>
      <c r="D930" s="67">
        <f t="shared" si="145"/>
        <v>48902992.630000003</v>
      </c>
      <c r="E930" s="67">
        <f t="shared" si="166"/>
        <v>52252121.409999996</v>
      </c>
      <c r="F930" s="67">
        <f t="shared" si="146"/>
        <v>-175811.83999999613</v>
      </c>
      <c r="G930" s="70">
        <f t="shared" si="147"/>
        <v>-3.5822355882255282E-3</v>
      </c>
      <c r="H930" s="70"/>
      <c r="I930" s="70"/>
      <c r="J930" s="67">
        <f t="shared" si="167"/>
        <v>-5408609.7799999937</v>
      </c>
      <c r="K930" s="70">
        <f t="shared" si="157"/>
        <v>-0.10451133523063227</v>
      </c>
      <c r="L930" s="70">
        <f t="shared" si="149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0"/>
        <v>1247007.2300000042</v>
      </c>
      <c r="R930" s="70">
        <f t="shared" si="151"/>
        <v>2.529697258485164E-2</v>
      </c>
      <c r="S930" s="67">
        <f t="shared" si="152"/>
        <v>15610795.930000003</v>
      </c>
      <c r="T930" s="70">
        <f t="shared" si="153"/>
        <v>0.46061226126849436</v>
      </c>
      <c r="U930" s="67">
        <f t="shared" si="154"/>
        <v>14606666.200000003</v>
      </c>
      <c r="V930" s="70">
        <f t="shared" si="155"/>
        <v>0.42029920553531941</v>
      </c>
      <c r="W930" s="87">
        <f t="shared" si="156"/>
        <v>-3.3599934765859008</v>
      </c>
      <c r="X930" s="142">
        <f t="shared" si="165"/>
        <v>1.7857142857142857E-4</v>
      </c>
      <c r="Y930" s="139">
        <f t="shared" si="158"/>
        <v>-3.7608070167969567E-3</v>
      </c>
      <c r="Z930" s="139">
        <f t="shared" si="159"/>
        <v>-3.7608070167969567E-3</v>
      </c>
      <c r="AA930" s="139">
        <f t="shared" si="160"/>
        <v>1.4143669417589225E-5</v>
      </c>
      <c r="AB930" s="144">
        <f t="shared" si="161"/>
        <v>6.8040210993697228</v>
      </c>
      <c r="AC930" s="144">
        <f t="shared" si="162"/>
        <v>-5.4526650831508511E-2</v>
      </c>
      <c r="AD930" s="144">
        <f t="shared" si="163"/>
        <v>-4.3711697751237608E-2</v>
      </c>
      <c r="AE930" s="144">
        <f t="shared" si="164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5"/>
        <v>47476839.770000003</v>
      </c>
      <c r="E931" s="80">
        <f t="shared" si="166"/>
        <v>52252121.409999996</v>
      </c>
      <c r="F931" s="80">
        <f t="shared" si="146"/>
        <v>-1426152.8599999994</v>
      </c>
      <c r="G931" s="81">
        <f t="shared" si="147"/>
        <v>-2.9162895424218117E-2</v>
      </c>
      <c r="H931" s="81"/>
      <c r="I931" s="81"/>
      <c r="J931" s="80">
        <f t="shared" si="167"/>
        <v>-6834762.6399999931</v>
      </c>
      <c r="K931" s="81">
        <f t="shared" si="157"/>
        <v>-0.13062637751487405</v>
      </c>
      <c r="L931" s="81">
        <f t="shared" si="149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0"/>
        <v>-3300060.2199999988</v>
      </c>
      <c r="R931" s="81">
        <f t="shared" si="151"/>
        <v>-6.3362145224969593E-2</v>
      </c>
      <c r="S931" s="80">
        <f t="shared" si="152"/>
        <v>13908164.840000004</v>
      </c>
      <c r="T931" s="81">
        <f t="shared" si="153"/>
        <v>0.42062426379585782</v>
      </c>
      <c r="U931" s="80">
        <f t="shared" si="154"/>
        <v>12235508.030000001</v>
      </c>
      <c r="V931" s="81">
        <f t="shared" si="155"/>
        <v>0.35196543732798474</v>
      </c>
      <c r="W931" s="136">
        <f>O931/P931</f>
        <v>-4.0974236783851428</v>
      </c>
      <c r="X931" s="143">
        <f t="shared" si="165"/>
        <v>1.7857142857142857E-4</v>
      </c>
      <c r="Y931" s="140">
        <f t="shared" si="158"/>
        <v>-2.9341466852789544E-2</v>
      </c>
      <c r="Z931" s="140">
        <f t="shared" si="159"/>
        <v>-2.9341466852789544E-2</v>
      </c>
      <c r="AA931" s="140">
        <f t="shared" si="160"/>
        <v>8.6092167707334754E-4</v>
      </c>
      <c r="AB931" s="145">
        <f t="shared" si="161"/>
        <v>5.8372450714821271</v>
      </c>
      <c r="AC931" s="145">
        <f t="shared" si="162"/>
        <v>-4.676662570212238E-2</v>
      </c>
      <c r="AD931" s="145">
        <f t="shared" si="163"/>
        <v>-4.4458202239178492E-2</v>
      </c>
      <c r="AE931" s="145">
        <f t="shared" si="164"/>
        <v>-3.5066651330024338E-2</v>
      </c>
    </row>
    <row r="932" spans="1:31">
      <c r="A932" s="88">
        <v>45323</v>
      </c>
      <c r="B932" s="132">
        <v>48246638.729999997</v>
      </c>
      <c r="D932" s="67">
        <f t="shared" si="145"/>
        <v>48246638.729999997</v>
      </c>
      <c r="E932" s="67">
        <f t="shared" si="166"/>
        <v>47476839.770000003</v>
      </c>
      <c r="F932" s="67">
        <f t="shared" si="146"/>
        <v>769798.95999999344</v>
      </c>
      <c r="G932" s="70">
        <f t="shared" si="147"/>
        <v>1.6214199675657844E-2</v>
      </c>
      <c r="H932" s="70"/>
      <c r="I932" s="70"/>
      <c r="J932" s="67">
        <f t="shared" si="167"/>
        <v>769798.95999999344</v>
      </c>
      <c r="K932" s="70">
        <f>G932</f>
        <v>1.6214199675657844E-2</v>
      </c>
      <c r="L932" s="70">
        <f t="shared" si="149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0"/>
        <v>-3061704.2200000063</v>
      </c>
      <c r="R932" s="70">
        <f t="shared" si="151"/>
        <v>-6.4245953457926108E-2</v>
      </c>
      <c r="S932" s="67">
        <f t="shared" si="152"/>
        <v>14787291.199999996</v>
      </c>
      <c r="T932" s="70">
        <f t="shared" si="153"/>
        <v>0.4441668819047917</v>
      </c>
      <c r="U932" s="67">
        <f t="shared" si="154"/>
        <v>12840065.379999995</v>
      </c>
      <c r="V932" s="70">
        <f t="shared" si="155"/>
        <v>0.37438602662611742</v>
      </c>
      <c r="W932" s="87">
        <f t="shared" si="156"/>
        <v>-3.4573830125865328</v>
      </c>
      <c r="X932" s="142">
        <f t="shared" si="165"/>
        <v>1.7857142857142857E-4</v>
      </c>
      <c r="Y932" s="139">
        <f t="shared" si="158"/>
        <v>1.6035628247086417E-2</v>
      </c>
      <c r="Z932" s="139">
        <f t="shared" si="159"/>
        <v>0</v>
      </c>
      <c r="AA932" s="139">
        <f t="shared" si="160"/>
        <v>0</v>
      </c>
      <c r="AB932" s="144">
        <f t="shared" si="161"/>
        <v>5.9834943377964214</v>
      </c>
      <c r="AC932" s="144">
        <f t="shared" si="162"/>
        <v>-4.3851118213630781E-2</v>
      </c>
      <c r="AD932" s="144">
        <f t="shared" si="163"/>
        <v>-4.4411764794122656E-2</v>
      </c>
      <c r="AE932" s="144">
        <f t="shared" si="164"/>
        <v>-3.5048938334142181E-2</v>
      </c>
    </row>
    <row r="933" spans="1:31">
      <c r="A933" s="88">
        <v>45324</v>
      </c>
      <c r="B933" s="132">
        <v>48037651.530000001</v>
      </c>
      <c r="D933" s="67">
        <f t="shared" si="145"/>
        <v>48037651.530000001</v>
      </c>
      <c r="E933" s="67">
        <f t="shared" si="166"/>
        <v>47476839.770000003</v>
      </c>
      <c r="F933" s="67">
        <f t="shared" si="146"/>
        <v>-208987.19999999553</v>
      </c>
      <c r="G933" s="70">
        <f t="shared" si="147"/>
        <v>-4.3316426905828419E-3</v>
      </c>
      <c r="H933" s="70"/>
      <c r="I933" s="70"/>
      <c r="J933" s="67">
        <f t="shared" si="167"/>
        <v>560811.75999999791</v>
      </c>
      <c r="K933" s="70">
        <f t="shared" ref="K933:K951" si="168">(1+K932)*(1+G933)-1</f>
        <v>1.1812322865566216E-2</v>
      </c>
      <c r="L933" s="70">
        <f t="shared" si="149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0"/>
        <v>-3254010.6099999994</v>
      </c>
      <c r="R933" s="70">
        <f t="shared" si="151"/>
        <v>-6.4084467752872742E-2</v>
      </c>
      <c r="S933" s="67">
        <f t="shared" si="152"/>
        <v>14455550.420000002</v>
      </c>
      <c r="T933" s="70">
        <f t="shared" si="153"/>
        <v>0.43062618498179733</v>
      </c>
      <c r="U933" s="67">
        <f t="shared" si="154"/>
        <v>11492607.370000005</v>
      </c>
      <c r="V933" s="70">
        <f t="shared" si="155"/>
        <v>0.32611160823288465</v>
      </c>
      <c r="W933" s="87">
        <f t="shared" si="156"/>
        <v>-3.5152783254401165</v>
      </c>
      <c r="X933" s="142">
        <f t="shared" si="165"/>
        <v>1.7857142857142857E-4</v>
      </c>
      <c r="Y933" s="139">
        <f t="shared" si="158"/>
        <v>-4.5102141191542709E-3</v>
      </c>
      <c r="Z933" s="139">
        <f t="shared" si="159"/>
        <v>-4.5102141191542709E-3</v>
      </c>
      <c r="AA933" s="139">
        <f t="shared" si="160"/>
        <v>2.0342031400618535E-5</v>
      </c>
      <c r="AB933" s="144">
        <f t="shared" si="161"/>
        <v>5.8571653615885229</v>
      </c>
      <c r="AC933" s="144">
        <f t="shared" si="162"/>
        <v>-4.4135669012037172E-2</v>
      </c>
      <c r="AD933" s="144">
        <f t="shared" si="163"/>
        <v>-4.4428944888575107E-2</v>
      </c>
      <c r="AE933" s="144">
        <f t="shared" si="164"/>
        <v>-3.5075146649033627E-2</v>
      </c>
    </row>
    <row r="934" spans="1:31">
      <c r="A934" s="88">
        <v>45327</v>
      </c>
      <c r="B934" s="132">
        <v>46630686.350000001</v>
      </c>
      <c r="D934" s="67">
        <f t="shared" si="145"/>
        <v>46630686.350000001</v>
      </c>
      <c r="E934" s="67">
        <f t="shared" si="166"/>
        <v>47476839.770000003</v>
      </c>
      <c r="F934" s="67">
        <f t="shared" si="146"/>
        <v>-1406965.1799999997</v>
      </c>
      <c r="G934" s="70">
        <f t="shared" si="147"/>
        <v>-2.9288800247059033E-2</v>
      </c>
      <c r="H934" s="70"/>
      <c r="I934" s="70"/>
      <c r="J934" s="67">
        <f t="shared" si="167"/>
        <v>-846153.42000000179</v>
      </c>
      <c r="K934" s="70">
        <f t="shared" si="168"/>
        <v>-1.7822446146356197E-2</v>
      </c>
      <c r="L934" s="70">
        <f t="shared" si="149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0"/>
        <v>-6944651.3999999985</v>
      </c>
      <c r="R934" s="70">
        <f t="shared" si="151"/>
        <v>-0.13535130937219242</v>
      </c>
      <c r="S934" s="67">
        <f t="shared" si="152"/>
        <v>14213346.350000001</v>
      </c>
      <c r="T934" s="70">
        <f t="shared" si="153"/>
        <v>0.42479448642135553</v>
      </c>
      <c r="U934" s="67">
        <f t="shared" si="154"/>
        <v>9417623.7899999991</v>
      </c>
      <c r="V934" s="70">
        <f t="shared" si="155"/>
        <v>0.26598518012192779</v>
      </c>
      <c r="W934" s="87">
        <f t="shared" si="156"/>
        <v>-4.176738705449508</v>
      </c>
      <c r="X934" s="142">
        <f t="shared" si="165"/>
        <v>1.7857142857142857E-4</v>
      </c>
      <c r="Y934" s="139">
        <f t="shared" si="158"/>
        <v>-2.946737167563046E-2</v>
      </c>
      <c r="Z934" s="139">
        <f t="shared" si="159"/>
        <v>-2.946737167563046E-2</v>
      </c>
      <c r="AA934" s="139">
        <f t="shared" si="160"/>
        <v>8.6832599346974829E-4</v>
      </c>
      <c r="AB934" s="144">
        <f t="shared" si="161"/>
        <v>6.0040464796888067</v>
      </c>
      <c r="AC934" s="144">
        <f t="shared" si="162"/>
        <v>-4.5821370655977994E-2</v>
      </c>
      <c r="AD934" s="144">
        <f t="shared" si="163"/>
        <v>-4.5137300674722144E-2</v>
      </c>
      <c r="AE934" s="144">
        <f t="shared" si="164"/>
        <v>-3.5236550683913806E-2</v>
      </c>
    </row>
    <row r="935" spans="1:31">
      <c r="A935" s="88">
        <v>45328</v>
      </c>
      <c r="B935" s="132">
        <v>47212915.240000002</v>
      </c>
      <c r="D935" s="67">
        <f t="shared" si="145"/>
        <v>47212915.240000002</v>
      </c>
      <c r="E935" s="67">
        <f t="shared" si="166"/>
        <v>47476839.770000003</v>
      </c>
      <c r="F935" s="67">
        <f t="shared" si="146"/>
        <v>582228.8900000006</v>
      </c>
      <c r="G935" s="70">
        <f t="shared" si="147"/>
        <v>1.2485960117119327E-2</v>
      </c>
      <c r="H935" s="70"/>
      <c r="I935" s="70"/>
      <c r="J935" s="67">
        <f t="shared" si="167"/>
        <v>-263924.53000000119</v>
      </c>
      <c r="K935" s="70">
        <f t="shared" si="168"/>
        <v>-5.5590163810098625E-3</v>
      </c>
      <c r="L935" s="70">
        <f t="shared" si="149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0"/>
        <v>-8451091.0899999961</v>
      </c>
      <c r="R935" s="70">
        <f t="shared" si="151"/>
        <v>-0.16476539728685025</v>
      </c>
      <c r="S935" s="67">
        <f t="shared" si="152"/>
        <v>13961123.380000003</v>
      </c>
      <c r="T935" s="70">
        <f t="shared" si="153"/>
        <v>0.41573108645791945</v>
      </c>
      <c r="U935" s="67">
        <f t="shared" si="154"/>
        <v>12840534.899999999</v>
      </c>
      <c r="V935" s="70">
        <f t="shared" si="155"/>
        <v>0.35136186575071854</v>
      </c>
      <c r="W935" s="87">
        <f t="shared" si="156"/>
        <v>-3.7143917661659409</v>
      </c>
      <c r="X935" s="142">
        <f t="shared" si="165"/>
        <v>1.7857142857142857E-4</v>
      </c>
      <c r="Y935" s="139">
        <f t="shared" si="158"/>
        <v>1.2307388688547898E-2</v>
      </c>
      <c r="Z935" s="139">
        <f t="shared" si="159"/>
        <v>0</v>
      </c>
      <c r="AA935" s="139">
        <f t="shared" si="160"/>
        <v>0</v>
      </c>
      <c r="AB935" s="144">
        <f t="shared" si="161"/>
        <v>6.5895954072785168</v>
      </c>
      <c r="AC935" s="144">
        <f t="shared" si="162"/>
        <v>-4.4412220377766327E-2</v>
      </c>
      <c r="AD935" s="144">
        <f t="shared" si="163"/>
        <v>-4.4171221370128563E-2</v>
      </c>
      <c r="AE935" s="144">
        <f t="shared" si="164"/>
        <v>-3.5234986407656502E-2</v>
      </c>
    </row>
    <row r="936" spans="1:31">
      <c r="A936" s="88">
        <v>45329</v>
      </c>
      <c r="B936" s="132">
        <v>47460979.140000001</v>
      </c>
      <c r="D936" s="67">
        <f t="shared" si="145"/>
        <v>47460979.140000001</v>
      </c>
      <c r="E936" s="67">
        <f t="shared" si="166"/>
        <v>47476839.770000003</v>
      </c>
      <c r="F936" s="67">
        <f t="shared" si="146"/>
        <v>248063.89999999851</v>
      </c>
      <c r="G936" s="70">
        <f t="shared" si="147"/>
        <v>5.2541534183814251E-3</v>
      </c>
      <c r="H936" s="70"/>
      <c r="I936" s="70"/>
      <c r="J936" s="67">
        <f t="shared" si="167"/>
        <v>-15860.630000002682</v>
      </c>
      <c r="K936" s="70">
        <f t="shared" si="168"/>
        <v>-3.340708875495535E-4</v>
      </c>
      <c r="L936" s="70">
        <f t="shared" si="149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0"/>
        <v>-7350524.7800000012</v>
      </c>
      <c r="R936" s="70">
        <f t="shared" si="151"/>
        <v>-0.13719978424214416</v>
      </c>
      <c r="S936" s="67">
        <f t="shared" si="152"/>
        <v>14533232.699999999</v>
      </c>
      <c r="T936" s="70">
        <f t="shared" si="153"/>
        <v>0.44831663239488495</v>
      </c>
      <c r="U936" s="67">
        <f t="shared" si="154"/>
        <v>12577076.329999998</v>
      </c>
      <c r="V936" s="70">
        <f t="shared" si="155"/>
        <v>0.33797477188880948</v>
      </c>
      <c r="W936" s="87">
        <f t="shared" si="156"/>
        <v>-3.4972722397260632</v>
      </c>
      <c r="X936" s="142">
        <f t="shared" si="165"/>
        <v>1.7857142857142857E-4</v>
      </c>
      <c r="Y936" s="139">
        <f t="shared" si="158"/>
        <v>5.0755819898099961E-3</v>
      </c>
      <c r="Z936" s="139">
        <f t="shared" si="159"/>
        <v>0</v>
      </c>
      <c r="AA936" s="139">
        <f t="shared" si="160"/>
        <v>0</v>
      </c>
      <c r="AB936" s="144">
        <f t="shared" si="161"/>
        <v>6.6953605231082598</v>
      </c>
      <c r="AC936" s="144">
        <f t="shared" si="162"/>
        <v>-4.3202493551122712E-2</v>
      </c>
      <c r="AD936" s="144">
        <f t="shared" si="163"/>
        <v>-4.4250322459552023E-2</v>
      </c>
      <c r="AE936" s="144">
        <f t="shared" si="164"/>
        <v>-3.4392667124521048E-2</v>
      </c>
    </row>
    <row r="937" spans="1:31">
      <c r="A937" s="88">
        <v>45330</v>
      </c>
      <c r="B937" s="132">
        <v>46907861.990000002</v>
      </c>
      <c r="D937" s="67">
        <f t="shared" si="145"/>
        <v>46907861.990000002</v>
      </c>
      <c r="E937" s="67">
        <f t="shared" si="166"/>
        <v>47476839.770000003</v>
      </c>
      <c r="F937" s="67">
        <f t="shared" si="146"/>
        <v>-553117.14999999851</v>
      </c>
      <c r="G937" s="70">
        <f t="shared" si="147"/>
        <v>-1.165414536367693E-2</v>
      </c>
      <c r="H937" s="70"/>
      <c r="I937" s="70"/>
      <c r="J937" s="67">
        <f t="shared" si="167"/>
        <v>-568977.78000000119</v>
      </c>
      <c r="K937" s="70">
        <f t="shared" si="168"/>
        <v>-1.1984322940541192E-2</v>
      </c>
      <c r="L937" s="70">
        <f t="shared" si="149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0"/>
        <v>-5344259.4199999943</v>
      </c>
      <c r="R937" s="70">
        <f t="shared" si="151"/>
        <v>-9.6009248567502356E-2</v>
      </c>
      <c r="S937" s="67">
        <f t="shared" si="152"/>
        <v>12754823.190000005</v>
      </c>
      <c r="T937" s="70">
        <f t="shared" si="153"/>
        <v>0.3835830334708466</v>
      </c>
      <c r="U937" s="67">
        <f t="shared" si="154"/>
        <v>12807018.410000004</v>
      </c>
      <c r="V937" s="70">
        <f t="shared" si="155"/>
        <v>0.37259620321075509</v>
      </c>
      <c r="W937" s="87">
        <f t="shared" si="156"/>
        <v>-3.7320493300712707</v>
      </c>
      <c r="X937" s="142">
        <f t="shared" si="165"/>
        <v>1.7857142857142857E-4</v>
      </c>
      <c r="Y937" s="139">
        <f t="shared" si="158"/>
        <v>-1.1832716792248359E-2</v>
      </c>
      <c r="Z937" s="139">
        <f t="shared" si="159"/>
        <v>-1.1832716792248359E-2</v>
      </c>
      <c r="AA937" s="139">
        <f t="shared" si="160"/>
        <v>1.4001318668555629E-4</v>
      </c>
      <c r="AB937" s="144">
        <f t="shared" si="161"/>
        <v>7.3039842871822307</v>
      </c>
      <c r="AC937" s="144">
        <f t="shared" si="162"/>
        <v>-4.3014965594802529E-2</v>
      </c>
      <c r="AD937" s="144">
        <f t="shared" si="163"/>
        <v>-4.4289100584044144E-2</v>
      </c>
      <c r="AE937" s="144">
        <f t="shared" si="164"/>
        <v>-3.4461796274452533E-2</v>
      </c>
    </row>
    <row r="938" spans="1:31">
      <c r="A938" s="88">
        <v>45331</v>
      </c>
      <c r="B938" s="132">
        <v>46796069.75</v>
      </c>
      <c r="D938" s="67">
        <f t="shared" si="145"/>
        <v>46796069.75</v>
      </c>
      <c r="E938" s="67">
        <f t="shared" si="166"/>
        <v>47476839.770000003</v>
      </c>
      <c r="F938" s="67">
        <f t="shared" si="146"/>
        <v>-111792.24000000209</v>
      </c>
      <c r="G938" s="70">
        <f t="shared" si="147"/>
        <v>-2.3832303425774209E-3</v>
      </c>
      <c r="H938" s="70"/>
      <c r="I938" s="70"/>
      <c r="J938" s="67">
        <f t="shared" si="167"/>
        <v>-680770.02000000328</v>
      </c>
      <c r="K938" s="70">
        <f t="shared" si="168"/>
        <v>-1.4338991881051366E-2</v>
      </c>
      <c r="L938" s="70">
        <f t="shared" si="149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0"/>
        <v>-5439554.8299999982</v>
      </c>
      <c r="R938" s="70">
        <f t="shared" si="151"/>
        <v>-9.9241116206905899E-2</v>
      </c>
      <c r="S938" s="67">
        <f t="shared" si="152"/>
        <v>12442256.399999999</v>
      </c>
      <c r="T938" s="70">
        <f t="shared" si="153"/>
        <v>0.37786540972890209</v>
      </c>
      <c r="U938" s="67">
        <f t="shared" si="154"/>
        <v>12958358.100000001</v>
      </c>
      <c r="V938" s="70">
        <f t="shared" si="155"/>
        <v>0.37147099539233008</v>
      </c>
      <c r="W938" s="87">
        <f t="shared" si="156"/>
        <v>-3.7308044926140411</v>
      </c>
      <c r="X938" s="142">
        <f t="shared" si="165"/>
        <v>1.7857142857142857E-4</v>
      </c>
      <c r="Y938" s="139">
        <f t="shared" si="158"/>
        <v>-2.5618017711488495E-3</v>
      </c>
      <c r="Z938" s="139">
        <f t="shared" si="159"/>
        <v>-2.5618017711488495E-3</v>
      </c>
      <c r="AA938" s="139">
        <f t="shared" si="160"/>
        <v>6.562828314661382E-6</v>
      </c>
      <c r="AB938" s="144">
        <f t="shared" si="161"/>
        <v>7.270674995554872</v>
      </c>
      <c r="AC938" s="144">
        <f t="shared" si="162"/>
        <v>-3.9340419330024107E-2</v>
      </c>
      <c r="AD938" s="144">
        <f t="shared" si="163"/>
        <v>-4.4383620741443211E-2</v>
      </c>
      <c r="AE938" s="144">
        <f t="shared" si="164"/>
        <v>-3.4350412911469848E-2</v>
      </c>
    </row>
    <row r="939" spans="1:31">
      <c r="A939" s="88">
        <v>45334</v>
      </c>
      <c r="B939" s="132">
        <v>47189777.920000002</v>
      </c>
      <c r="D939" s="67">
        <f t="shared" ref="D939:D1002" si="169">B939</f>
        <v>47189777.920000002</v>
      </c>
      <c r="E939" s="67">
        <f t="shared" si="166"/>
        <v>47476839.770000003</v>
      </c>
      <c r="F939" s="67">
        <f t="shared" si="146"/>
        <v>393708.17000000179</v>
      </c>
      <c r="G939" s="70">
        <f t="shared" si="147"/>
        <v>8.4132742792999583E-3</v>
      </c>
      <c r="H939" s="70"/>
      <c r="I939" s="70"/>
      <c r="J939" s="67">
        <f t="shared" si="167"/>
        <v>-287061.85000000149</v>
      </c>
      <c r="K939" s="70">
        <f t="shared" si="168"/>
        <v>-6.0463554733353186E-3</v>
      </c>
      <c r="L939" s="70">
        <f t="shared" si="149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0"/>
        <v>-1739581.7899999991</v>
      </c>
      <c r="R939" s="70">
        <f t="shared" si="151"/>
        <v>-3.3292079690894205E-2</v>
      </c>
      <c r="S939" s="67">
        <f t="shared" si="152"/>
        <v>12543039.109999999</v>
      </c>
      <c r="T939" s="70">
        <f t="shared" si="153"/>
        <v>0.36725982667170454</v>
      </c>
      <c r="U939" s="67">
        <f t="shared" si="154"/>
        <v>13163824.600000001</v>
      </c>
      <c r="V939" s="70">
        <f t="shared" si="155"/>
        <v>0.38602636234255888</v>
      </c>
      <c r="W939" s="87">
        <f t="shared" si="156"/>
        <v>-3.4395762212201624</v>
      </c>
      <c r="X939" s="142">
        <f t="shared" si="165"/>
        <v>1.7857142857142857E-4</v>
      </c>
      <c r="Y939" s="139">
        <f t="shared" si="158"/>
        <v>8.2347028507285293E-3</v>
      </c>
      <c r="Z939" s="139">
        <f t="shared" si="159"/>
        <v>0</v>
      </c>
      <c r="AA939" s="139">
        <f t="shared" si="160"/>
        <v>0</v>
      </c>
      <c r="AB939" s="144">
        <f t="shared" si="161"/>
        <v>7.2037111112886985</v>
      </c>
      <c r="AC939" s="144">
        <f t="shared" si="162"/>
        <v>-3.9257527055421494E-2</v>
      </c>
      <c r="AD939" s="144">
        <f t="shared" si="163"/>
        <v>-4.4361432792836782E-2</v>
      </c>
      <c r="AE939" s="144">
        <f t="shared" si="164"/>
        <v>-3.4303966630021415E-2</v>
      </c>
    </row>
    <row r="940" spans="1:31">
      <c r="A940" s="88">
        <v>45335</v>
      </c>
      <c r="B940" s="132">
        <v>46141381.909999996</v>
      </c>
      <c r="D940" s="67">
        <f t="shared" si="169"/>
        <v>46141381.909999996</v>
      </c>
      <c r="E940" s="67">
        <f t="shared" si="166"/>
        <v>47476839.770000003</v>
      </c>
      <c r="F940" s="67">
        <f t="shared" ref="F940:F1008" si="170">B940-C940-D939</f>
        <v>-1048396.0100000054</v>
      </c>
      <c r="G940" s="70">
        <f t="shared" ref="G940:G1003" si="171">F940/B939</f>
        <v>-2.2216591308764636E-2</v>
      </c>
      <c r="H940" s="70"/>
      <c r="I940" s="70"/>
      <c r="J940" s="67">
        <f t="shared" si="167"/>
        <v>-1335457.8600000069</v>
      </c>
      <c r="K940" s="70">
        <f t="shared" si="168"/>
        <v>-2.8128617373641362E-2</v>
      </c>
      <c r="L940" s="70">
        <f t="shared" si="149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0"/>
        <v>150361.55999999493</v>
      </c>
      <c r="R940" s="70">
        <f t="shared" si="151"/>
        <v>2.8785251676222024E-3</v>
      </c>
      <c r="S940" s="67">
        <f t="shared" si="152"/>
        <v>11119723.969999999</v>
      </c>
      <c r="T940" s="70">
        <f t="shared" si="153"/>
        <v>0.32368237717050991</v>
      </c>
      <c r="U940" s="67">
        <f t="shared" si="154"/>
        <v>12374386.879999995</v>
      </c>
      <c r="V940" s="70">
        <f t="shared" si="155"/>
        <v>0.36569810062791275</v>
      </c>
      <c r="W940" s="87">
        <f t="shared" si="156"/>
        <v>-3.8823736811168432</v>
      </c>
      <c r="X940" s="142">
        <f t="shared" si="165"/>
        <v>1.7857142857142857E-4</v>
      </c>
      <c r="Y940" s="139">
        <f t="shared" si="158"/>
        <v>-2.2395162737336063E-2</v>
      </c>
      <c r="Z940" s="139">
        <f t="shared" si="159"/>
        <v>-2.2395162737336063E-2</v>
      </c>
      <c r="AA940" s="139">
        <f t="shared" si="160"/>
        <v>5.0154331403176567E-4</v>
      </c>
      <c r="AB940" s="144">
        <f t="shared" si="161"/>
        <v>7.0830311942313013</v>
      </c>
      <c r="AC940" s="144">
        <f t="shared" si="162"/>
        <v>-3.3287261908268771E-2</v>
      </c>
      <c r="AD940" s="144">
        <f t="shared" si="163"/>
        <v>-4.490055959373504E-2</v>
      </c>
      <c r="AE940" s="144">
        <f t="shared" si="164"/>
        <v>-3.4434512828670237E-2</v>
      </c>
    </row>
    <row r="941" spans="1:31">
      <c r="A941" s="88">
        <v>45336</v>
      </c>
      <c r="B941" s="132">
        <v>47085244.189999998</v>
      </c>
      <c r="D941" s="67">
        <f t="shared" si="169"/>
        <v>47085244.189999998</v>
      </c>
      <c r="E941" s="67">
        <f t="shared" si="166"/>
        <v>47476839.770000003</v>
      </c>
      <c r="F941" s="67">
        <f t="shared" si="170"/>
        <v>943862.28000000119</v>
      </c>
      <c r="G941" s="70">
        <f t="shared" si="171"/>
        <v>2.0455873684950093E-2</v>
      </c>
      <c r="H941" s="70"/>
      <c r="I941" s="70"/>
      <c r="J941" s="67">
        <f t="shared" si="167"/>
        <v>-391595.58000000566</v>
      </c>
      <c r="K941" s="70">
        <f t="shared" si="168"/>
        <v>-8.2481391326187925E-3</v>
      </c>
      <c r="L941" s="70">
        <f t="shared" si="149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2">B941-C941-D912</f>
        <v>1495974.9099999964</v>
      </c>
      <c r="R941" s="70">
        <f t="shared" si="151"/>
        <v>3.0574177117103266E-2</v>
      </c>
      <c r="S941" s="67">
        <f t="shared" ref="S941:S972" si="173">B941-C941-D852</f>
        <v>12295403.210000001</v>
      </c>
      <c r="T941" s="70">
        <f t="shared" si="153"/>
        <v>0.35487909200998763</v>
      </c>
      <c r="U941" s="67">
        <f t="shared" ref="U941:U972" si="174">B941-C941-D577</f>
        <v>13822694.869999997</v>
      </c>
      <c r="V941" s="70">
        <f t="shared" si="155"/>
        <v>0.40623975293221842</v>
      </c>
      <c r="W941" s="87">
        <f t="shared" ref="W941:W972" si="175">O941/P941</f>
        <v>-3.2628980212161305</v>
      </c>
      <c r="X941" s="142">
        <f t="shared" si="165"/>
        <v>1.7857142857142857E-4</v>
      </c>
      <c r="Y941" s="139">
        <f t="shared" si="158"/>
        <v>2.0277302256378665E-2</v>
      </c>
      <c r="Z941" s="139">
        <f t="shared" si="159"/>
        <v>0</v>
      </c>
      <c r="AA941" s="139">
        <f t="shared" si="160"/>
        <v>0</v>
      </c>
      <c r="AB941" s="144">
        <f t="shared" si="161"/>
        <v>7.336318305409228</v>
      </c>
      <c r="AC941" s="144">
        <f t="shared" si="162"/>
        <v>-2.5736447536456371E-2</v>
      </c>
      <c r="AD941" s="144">
        <f t="shared" si="163"/>
        <v>-4.4869541197054323E-2</v>
      </c>
      <c r="AE941" s="144">
        <f t="shared" si="164"/>
        <v>-3.4389577672854235E-2</v>
      </c>
    </row>
    <row r="942" spans="1:31">
      <c r="A942" s="88">
        <v>45337</v>
      </c>
      <c r="B942" s="132">
        <v>47621747.439999998</v>
      </c>
      <c r="D942" s="67">
        <f t="shared" si="169"/>
        <v>47621747.439999998</v>
      </c>
      <c r="E942" s="67">
        <f t="shared" si="166"/>
        <v>47476839.770000003</v>
      </c>
      <c r="F942" s="67">
        <f t="shared" si="170"/>
        <v>536503.25</v>
      </c>
      <c r="G942" s="70">
        <f t="shared" si="171"/>
        <v>1.1394296859438248E-2</v>
      </c>
      <c r="H942" s="70"/>
      <c r="I942" s="70"/>
      <c r="J942" s="67">
        <f t="shared" si="167"/>
        <v>144907.66999999434</v>
      </c>
      <c r="K942" s="70">
        <f t="shared" si="168"/>
        <v>3.0521759810044902E-3</v>
      </c>
      <c r="L942" s="70">
        <f t="shared" si="149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2"/>
        <v>1996541.1199999973</v>
      </c>
      <c r="R942" s="70">
        <f t="shared" si="151"/>
        <v>4.3411542183799307E-2</v>
      </c>
      <c r="S942" s="67">
        <f t="shared" si="173"/>
        <v>13490258.739999995</v>
      </c>
      <c r="T942" s="70">
        <f t="shared" si="153"/>
        <v>0.38519760438274658</v>
      </c>
      <c r="U942" s="67">
        <f t="shared" si="174"/>
        <v>14722027.289999999</v>
      </c>
      <c r="V942" s="70">
        <f t="shared" si="155"/>
        <v>0.43598867109496531</v>
      </c>
      <c r="W942" s="87">
        <f t="shared" si="175"/>
        <v>-2.930785042133345</v>
      </c>
      <c r="X942" s="142">
        <f t="shared" si="165"/>
        <v>1.7857142857142857E-4</v>
      </c>
      <c r="Y942" s="139">
        <f t="shared" si="158"/>
        <v>1.1215725430866819E-2</v>
      </c>
      <c r="Z942" s="139">
        <f t="shared" si="159"/>
        <v>0</v>
      </c>
      <c r="AA942" s="139">
        <f t="shared" si="160"/>
        <v>0</v>
      </c>
      <c r="AB942" s="144">
        <f t="shared" si="161"/>
        <v>7.611073879205045</v>
      </c>
      <c r="AC942" s="144">
        <f t="shared" si="162"/>
        <v>-2.5182240784489145E-2</v>
      </c>
      <c r="AD942" s="144">
        <f t="shared" si="163"/>
        <v>-4.4658789032274666E-2</v>
      </c>
      <c r="AE942" s="144">
        <f t="shared" si="164"/>
        <v>-3.4301710710188761E-2</v>
      </c>
    </row>
    <row r="943" spans="1:31">
      <c r="A943" s="88">
        <v>45338</v>
      </c>
      <c r="B943" s="132">
        <v>47680147.380000003</v>
      </c>
      <c r="D943" s="67">
        <f t="shared" si="169"/>
        <v>47680147.380000003</v>
      </c>
      <c r="E943" s="67">
        <f t="shared" si="166"/>
        <v>47476839.770000003</v>
      </c>
      <c r="F943" s="67">
        <f t="shared" si="170"/>
        <v>58399.940000005066</v>
      </c>
      <c r="G943" s="70">
        <f t="shared" si="171"/>
        <v>1.2263292117447983E-3</v>
      </c>
      <c r="H943" s="70"/>
      <c r="I943" s="70"/>
      <c r="J943" s="67">
        <f t="shared" si="167"/>
        <v>203307.6099999994</v>
      </c>
      <c r="K943" s="70">
        <f t="shared" si="168"/>
        <v>4.2822481653141953E-3</v>
      </c>
      <c r="L943" s="70">
        <f t="shared" si="149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2"/>
        <v>746626.6799999997</v>
      </c>
      <c r="R943" s="70">
        <f t="shared" si="151"/>
        <v>1.6377246044773624E-2</v>
      </c>
      <c r="S943" s="67">
        <f t="shared" si="173"/>
        <v>12986821.120000005</v>
      </c>
      <c r="T943" s="70">
        <f t="shared" si="153"/>
        <v>0.3732934889661001</v>
      </c>
      <c r="U943" s="67">
        <f t="shared" si="174"/>
        <v>15312344.260000002</v>
      </c>
      <c r="V943" s="70">
        <f t="shared" si="155"/>
        <v>0.4603478859268626</v>
      </c>
      <c r="W943" s="87">
        <f t="shared" si="175"/>
        <v>-2.8599911792709825</v>
      </c>
      <c r="X943" s="142">
        <f t="shared" si="165"/>
        <v>1.7857142857142857E-4</v>
      </c>
      <c r="Y943" s="139">
        <f t="shared" si="158"/>
        <v>1.0477577831733698E-3</v>
      </c>
      <c r="Z943" s="139">
        <f t="shared" si="159"/>
        <v>0</v>
      </c>
      <c r="AA943" s="139">
        <f t="shared" si="160"/>
        <v>0</v>
      </c>
      <c r="AB943" s="144">
        <f t="shared" si="161"/>
        <v>7.8369708608281732</v>
      </c>
      <c r="AC943" s="144">
        <f t="shared" si="162"/>
        <v>-2.5169099585360837E-2</v>
      </c>
      <c r="AD943" s="144">
        <f t="shared" si="163"/>
        <v>-4.4276919199908289E-2</v>
      </c>
      <c r="AE943" s="144">
        <f t="shared" si="164"/>
        <v>-3.4253266905543429E-2</v>
      </c>
    </row>
    <row r="944" spans="1:31">
      <c r="A944" s="88">
        <v>45342</v>
      </c>
      <c r="B944" s="132">
        <v>47393133.289999999</v>
      </c>
      <c r="D944" s="67">
        <f t="shared" si="169"/>
        <v>47393133.289999999</v>
      </c>
      <c r="E944" s="67">
        <f t="shared" si="166"/>
        <v>47476839.770000003</v>
      </c>
      <c r="F944" s="67">
        <f t="shared" si="170"/>
        <v>-287014.09000000358</v>
      </c>
      <c r="G944" s="70">
        <f t="shared" si="171"/>
        <v>-6.0195722071193719E-3</v>
      </c>
      <c r="H944" s="70"/>
      <c r="I944" s="70"/>
      <c r="J944" s="67">
        <f t="shared" si="167"/>
        <v>-83706.480000004172</v>
      </c>
      <c r="K944" s="70">
        <f t="shared" si="168"/>
        <v>-1.7631013438450527E-3</v>
      </c>
      <c r="L944" s="70">
        <f t="shared" si="149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2"/>
        <v>985673.96000000089</v>
      </c>
      <c r="R944" s="70">
        <f t="shared" si="151"/>
        <v>2.1603715128142371E-2</v>
      </c>
      <c r="S944" s="67">
        <f t="shared" si="173"/>
        <v>12925277.019999996</v>
      </c>
      <c r="T944" s="70">
        <f t="shared" si="153"/>
        <v>0.37869069039464415</v>
      </c>
      <c r="U944" s="67">
        <f t="shared" si="174"/>
        <v>15152062.109999999</v>
      </c>
      <c r="V944" s="70">
        <f t="shared" si="155"/>
        <v>0.46055291780346647</v>
      </c>
      <c r="W944" s="87">
        <f t="shared" si="175"/>
        <v>-2.9529633380561706</v>
      </c>
      <c r="X944" s="142">
        <f t="shared" si="165"/>
        <v>1.7857142857142857E-4</v>
      </c>
      <c r="Y944" s="139">
        <f t="shared" si="158"/>
        <v>-6.1981436356908009E-3</v>
      </c>
      <c r="Z944" s="139">
        <f t="shared" si="159"/>
        <v>-6.1981436356908009E-3</v>
      </c>
      <c r="AA944" s="139">
        <f t="shared" si="160"/>
        <v>3.8416984528654382E-5</v>
      </c>
      <c r="AB944" s="144">
        <f t="shared" si="161"/>
        <v>7.4851686515949041</v>
      </c>
      <c r="AC944" s="144">
        <f t="shared" si="162"/>
        <v>-2.4767374846209896E-2</v>
      </c>
      <c r="AD944" s="144">
        <f t="shared" si="163"/>
        <v>-4.4502406788055886E-2</v>
      </c>
      <c r="AE944" s="144">
        <f t="shared" si="164"/>
        <v>-3.4199349388898202E-2</v>
      </c>
    </row>
    <row r="945" spans="1:31">
      <c r="A945" s="88">
        <v>45343</v>
      </c>
      <c r="B945" s="78">
        <v>46880552.270000003</v>
      </c>
      <c r="D945" s="67">
        <f t="shared" si="169"/>
        <v>46880552.270000003</v>
      </c>
      <c r="E945" s="67">
        <f t="shared" si="166"/>
        <v>47476839.770000003</v>
      </c>
      <c r="F945" s="67">
        <f t="shared" si="170"/>
        <v>-512581.01999999583</v>
      </c>
      <c r="G945" s="70">
        <f t="shared" si="171"/>
        <v>-1.0815512383692744E-2</v>
      </c>
      <c r="H945" s="70"/>
      <c r="I945" s="70"/>
      <c r="J945" s="67">
        <f t="shared" si="167"/>
        <v>-596287.5</v>
      </c>
      <c r="K945" s="70">
        <f t="shared" si="168"/>
        <v>-1.2559544883119722E-2</v>
      </c>
      <c r="L945" s="70">
        <f t="shared" si="149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2"/>
        <v>208968.3200000003</v>
      </c>
      <c r="R945" s="70">
        <f t="shared" si="151"/>
        <v>4.4524322250557328E-3</v>
      </c>
      <c r="S945" s="67">
        <f t="shared" si="173"/>
        <v>13235267.700000003</v>
      </c>
      <c r="T945" s="70">
        <f t="shared" si="153"/>
        <v>0.38149318980866159</v>
      </c>
      <c r="U945" s="67">
        <f t="shared" si="174"/>
        <v>14639296.580000002</v>
      </c>
      <c r="V945" s="70">
        <f t="shared" si="155"/>
        <v>0.45227958554142372</v>
      </c>
      <c r="W945" s="87">
        <f t="shared" si="175"/>
        <v>-3.1431345947374769</v>
      </c>
      <c r="X945" s="142">
        <f t="shared" si="165"/>
        <v>1.7857142857142857E-4</v>
      </c>
      <c r="Y945" s="139">
        <f t="shared" si="158"/>
        <v>-1.0994083812264173E-2</v>
      </c>
      <c r="Z945" s="139">
        <f t="shared" si="159"/>
        <v>-1.0994083812264173E-2</v>
      </c>
      <c r="AA945" s="139">
        <f t="shared" si="160"/>
        <v>1.2086987887108912E-4</v>
      </c>
      <c r="AB945" s="144">
        <f t="shared" si="161"/>
        <v>6.7178388627908161</v>
      </c>
      <c r="AC945" s="144">
        <f t="shared" si="162"/>
        <v>-2.4738845149612537E-2</v>
      </c>
      <c r="AD945" s="144">
        <f t="shared" si="163"/>
        <v>-4.4583305290924746E-2</v>
      </c>
      <c r="AE945" s="144">
        <f t="shared" si="164"/>
        <v>-3.4230614324201727E-2</v>
      </c>
    </row>
    <row r="946" spans="1:31">
      <c r="A946" s="88">
        <v>45344</v>
      </c>
      <c r="B946" s="78">
        <v>47876243.700000003</v>
      </c>
      <c r="D946" s="67">
        <f t="shared" si="169"/>
        <v>47876243.700000003</v>
      </c>
      <c r="E946" s="67">
        <f t="shared" si="166"/>
        <v>47476839.770000003</v>
      </c>
      <c r="F946" s="67">
        <f t="shared" si="170"/>
        <v>995691.4299999997</v>
      </c>
      <c r="G946" s="70">
        <f t="shared" si="171"/>
        <v>2.1238901458871393E-2</v>
      </c>
      <c r="H946" s="70"/>
      <c r="I946" s="70"/>
      <c r="J946" s="67">
        <f t="shared" si="167"/>
        <v>399403.9299999997</v>
      </c>
      <c r="K946" s="70">
        <f t="shared" si="168"/>
        <v>8.4126056396107707E-3</v>
      </c>
      <c r="L946" s="70">
        <f t="shared" si="149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2"/>
        <v>1570777.5</v>
      </c>
      <c r="R946" s="70">
        <f t="shared" si="151"/>
        <v>3.3847521986289271E-2</v>
      </c>
      <c r="S946" s="67">
        <f t="shared" si="173"/>
        <v>14847590.610000003</v>
      </c>
      <c r="T946" s="70">
        <f t="shared" si="153"/>
        <v>0.43076629116975257</v>
      </c>
      <c r="U946" s="67">
        <f t="shared" si="174"/>
        <v>15043312.370000005</v>
      </c>
      <c r="V946" s="70">
        <f t="shared" si="155"/>
        <v>0.46658847921069613</v>
      </c>
      <c r="W946" s="87">
        <f t="shared" si="175"/>
        <v>-2.5925541005532815</v>
      </c>
      <c r="X946" s="142">
        <f t="shared" si="165"/>
        <v>1.7857142857142857E-4</v>
      </c>
      <c r="Y946" s="139">
        <f t="shared" si="158"/>
        <v>2.1060330030299966E-2</v>
      </c>
      <c r="Z946" s="139">
        <f t="shared" si="159"/>
        <v>0</v>
      </c>
      <c r="AA946" s="139">
        <f t="shared" si="160"/>
        <v>0</v>
      </c>
      <c r="AB946" s="144">
        <f t="shared" si="161"/>
        <v>7.0654518366840549</v>
      </c>
      <c r="AC946" s="144">
        <f t="shared" si="162"/>
        <v>-2.5076321069589215E-2</v>
      </c>
      <c r="AD946" s="144">
        <f t="shared" si="163"/>
        <v>-4.3941531272326903E-2</v>
      </c>
      <c r="AE946" s="144">
        <f t="shared" si="164"/>
        <v>-3.4214536173258064E-2</v>
      </c>
    </row>
    <row r="947" spans="1:31">
      <c r="A947" s="88">
        <v>45345</v>
      </c>
      <c r="B947" s="78">
        <v>47835194.93</v>
      </c>
      <c r="D947" s="67">
        <f t="shared" si="169"/>
        <v>47835194.93</v>
      </c>
      <c r="E947" s="67">
        <f t="shared" si="166"/>
        <v>47476839.770000003</v>
      </c>
      <c r="F947" s="67">
        <f t="shared" si="170"/>
        <v>-41048.770000003278</v>
      </c>
      <c r="G947" s="70">
        <f t="shared" si="171"/>
        <v>-8.5739328793673253E-4</v>
      </c>
      <c r="H947" s="70"/>
      <c r="I947" s="70"/>
      <c r="J947" s="67">
        <f t="shared" si="167"/>
        <v>358355.15999999642</v>
      </c>
      <c r="K947" s="70">
        <f t="shared" si="168"/>
        <v>7.5479994400644568E-3</v>
      </c>
      <c r="L947" s="70">
        <f t="shared" si="149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2"/>
        <v>1767597.1700000018</v>
      </c>
      <c r="R947" s="70">
        <f t="shared" si="151"/>
        <v>3.7873091513106909E-2</v>
      </c>
      <c r="S947" s="67">
        <f t="shared" si="173"/>
        <v>15801006.169999998</v>
      </c>
      <c r="T947" s="70">
        <f t="shared" si="153"/>
        <v>0.46963508770822082</v>
      </c>
      <c r="U947" s="67">
        <f t="shared" si="174"/>
        <v>15935206.449999999</v>
      </c>
      <c r="V947" s="70">
        <f t="shared" si="155"/>
        <v>0.49424894002941977</v>
      </c>
      <c r="W947" s="87">
        <f t="shared" si="175"/>
        <v>-2.5772147497792806</v>
      </c>
      <c r="X947" s="142">
        <f t="shared" si="165"/>
        <v>1.7857142857142857E-4</v>
      </c>
      <c r="Y947" s="139">
        <f t="shared" si="158"/>
        <v>-1.0359647165081611E-3</v>
      </c>
      <c r="Z947" s="139">
        <f t="shared" si="159"/>
        <v>-1.0359647165081611E-3</v>
      </c>
      <c r="AA947" s="139">
        <f t="shared" si="160"/>
        <v>1.0732228938498346E-6</v>
      </c>
      <c r="AB947" s="144">
        <f t="shared" si="161"/>
        <v>7.4977608569536605</v>
      </c>
      <c r="AC947" s="144">
        <f t="shared" si="162"/>
        <v>-2.4738268815693108E-2</v>
      </c>
      <c r="AD947" s="144">
        <f t="shared" si="163"/>
        <v>-4.3596760075896149E-2</v>
      </c>
      <c r="AE947" s="144">
        <f t="shared" si="164"/>
        <v>-3.4236660522545058E-2</v>
      </c>
    </row>
    <row r="948" spans="1:31">
      <c r="A948" s="88">
        <v>45348</v>
      </c>
      <c r="B948" s="78">
        <v>47332227.159999996</v>
      </c>
      <c r="D948" s="67">
        <f t="shared" si="169"/>
        <v>47332227.159999996</v>
      </c>
      <c r="E948" s="67">
        <f t="shared" si="166"/>
        <v>47476839.770000003</v>
      </c>
      <c r="F948" s="67">
        <f t="shared" si="170"/>
        <v>-502967.77000000328</v>
      </c>
      <c r="G948" s="70">
        <f t="shared" si="171"/>
        <v>-1.0514596433358848E-2</v>
      </c>
      <c r="H948" s="70"/>
      <c r="I948" s="70"/>
      <c r="J948" s="67">
        <f t="shared" si="167"/>
        <v>-144612.61000000685</v>
      </c>
      <c r="K948" s="70">
        <f t="shared" si="168"/>
        <v>-3.0459611612858595E-3</v>
      </c>
      <c r="L948" s="70">
        <f t="shared" si="149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2"/>
        <v>1290911.2299999967</v>
      </c>
      <c r="R948" s="70">
        <f t="shared" si="151"/>
        <v>2.7878160742931826E-2</v>
      </c>
      <c r="S948" s="67">
        <f t="shared" si="173"/>
        <v>15197342.879999995</v>
      </c>
      <c r="T948" s="70">
        <f t="shared" si="153"/>
        <v>0.46012602568408262</v>
      </c>
      <c r="U948" s="67">
        <f t="shared" si="174"/>
        <v>15895405.459999997</v>
      </c>
      <c r="V948" s="70">
        <f t="shared" si="155"/>
        <v>0.48412995173160489</v>
      </c>
      <c r="W948" s="87">
        <f t="shared" si="175"/>
        <v>-2.7553571466111211</v>
      </c>
      <c r="X948" s="142">
        <f t="shared" si="165"/>
        <v>1.7857142857142857E-4</v>
      </c>
      <c r="Y948" s="139">
        <f t="shared" si="158"/>
        <v>-1.0693167861930277E-2</v>
      </c>
      <c r="Z948" s="139">
        <f t="shared" si="159"/>
        <v>-1.0693167861930277E-2</v>
      </c>
      <c r="AA948" s="139">
        <f t="shared" si="160"/>
        <v>1.1434383892341854E-4</v>
      </c>
      <c r="AB948" s="144">
        <f t="shared" si="161"/>
        <v>7.2685756135469441</v>
      </c>
      <c r="AC948" s="144">
        <f t="shared" si="162"/>
        <v>-2.5069979832799863E-2</v>
      </c>
      <c r="AD948" s="144">
        <f t="shared" si="163"/>
        <v>-4.3072192353358296E-2</v>
      </c>
      <c r="AE948" s="144">
        <f t="shared" si="164"/>
        <v>-3.4109922956775778E-2</v>
      </c>
    </row>
    <row r="949" spans="1:31">
      <c r="A949" s="88">
        <v>45349</v>
      </c>
      <c r="B949" s="78">
        <v>47229623.490000002</v>
      </c>
      <c r="D949" s="67">
        <f t="shared" si="169"/>
        <v>47229623.490000002</v>
      </c>
      <c r="E949" s="67">
        <f t="shared" si="166"/>
        <v>47476839.770000003</v>
      </c>
      <c r="F949" s="67">
        <f t="shared" si="170"/>
        <v>-102603.66999999434</v>
      </c>
      <c r="G949" s="70">
        <f t="shared" si="171"/>
        <v>-2.1677338286482258E-3</v>
      </c>
      <c r="H949" s="70"/>
      <c r="I949" s="70"/>
      <c r="J949" s="67">
        <f t="shared" si="167"/>
        <v>-247216.28000000119</v>
      </c>
      <c r="K949" s="70">
        <f t="shared" si="168"/>
        <v>-5.2070921568839745E-3</v>
      </c>
      <c r="L949" s="70">
        <f t="shared" si="149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2"/>
        <v>2137202.4600000009</v>
      </c>
      <c r="R949" s="70">
        <f t="shared" si="151"/>
        <v>4.6392748133607067E-2</v>
      </c>
      <c r="S949" s="67">
        <f t="shared" si="173"/>
        <v>14485932.810000002</v>
      </c>
      <c r="T949" s="70">
        <f t="shared" si="153"/>
        <v>0.4522022679746488</v>
      </c>
      <c r="U949" s="67">
        <f t="shared" si="174"/>
        <v>15129094.450000003</v>
      </c>
      <c r="V949" s="70">
        <f t="shared" si="155"/>
        <v>0.47426645497020575</v>
      </c>
      <c r="W949" s="87">
        <f t="shared" si="175"/>
        <v>-2.7659001735505013</v>
      </c>
      <c r="X949" s="142">
        <f t="shared" si="165"/>
        <v>1.7857142857142857E-4</v>
      </c>
      <c r="Y949" s="139">
        <f t="shared" si="158"/>
        <v>-2.3463052572196543E-3</v>
      </c>
      <c r="Z949" s="139">
        <f t="shared" si="159"/>
        <v>-2.3463052572196543E-3</v>
      </c>
      <c r="AA949" s="139">
        <f t="shared" si="160"/>
        <v>5.5051483600565887E-6</v>
      </c>
      <c r="AB949" s="144">
        <f t="shared" si="161"/>
        <v>7.7873150226622236</v>
      </c>
      <c r="AC949" s="144">
        <f t="shared" si="162"/>
        <v>-2.5128561938322375E-2</v>
      </c>
      <c r="AD949" s="144">
        <f t="shared" si="163"/>
        <v>-4.314396208341556E-2</v>
      </c>
      <c r="AE949" s="144">
        <f t="shared" si="164"/>
        <v>-3.4051206786392132E-2</v>
      </c>
    </row>
    <row r="950" spans="1:31">
      <c r="A950" s="88">
        <v>45350</v>
      </c>
      <c r="B950" s="78">
        <v>46894324.420000002</v>
      </c>
      <c r="D950" s="67">
        <f t="shared" si="169"/>
        <v>46894324.420000002</v>
      </c>
      <c r="E950" s="67">
        <f t="shared" si="166"/>
        <v>47476839.770000003</v>
      </c>
      <c r="F950" s="67">
        <f t="shared" si="170"/>
        <v>-335299.0700000003</v>
      </c>
      <c r="G950" s="70">
        <f t="shared" si="171"/>
        <v>-7.0993381954652605E-3</v>
      </c>
      <c r="H950" s="70"/>
      <c r="I950" s="70"/>
      <c r="J950" s="67">
        <f t="shared" si="167"/>
        <v>-582515.35000000149</v>
      </c>
      <c r="K950" s="70">
        <f t="shared" si="168"/>
        <v>-1.2269463444112616E-2</v>
      </c>
      <c r="L950" s="70">
        <f t="shared" si="149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2"/>
        <v>2361398.0500000045</v>
      </c>
      <c r="R950" s="70">
        <f t="shared" si="151"/>
        <v>5.12886741462866E-2</v>
      </c>
      <c r="S950" s="67">
        <f t="shared" si="173"/>
        <v>15624509.440000001</v>
      </c>
      <c r="T950" s="70">
        <f t="shared" si="153"/>
        <v>0.48621645262075303</v>
      </c>
      <c r="U950" s="67">
        <f t="shared" si="174"/>
        <v>13980349.680000003</v>
      </c>
      <c r="V950" s="70">
        <f t="shared" si="155"/>
        <v>0.44471256711043416</v>
      </c>
      <c r="W950" s="87">
        <f t="shared" si="175"/>
        <v>-2.873487609302011</v>
      </c>
      <c r="X950" s="142">
        <f t="shared" si="165"/>
        <v>1.7857142857142857E-4</v>
      </c>
      <c r="Y950" s="139">
        <f t="shared" si="158"/>
        <v>-7.2779096240366895E-3</v>
      </c>
      <c r="Z950" s="139">
        <f t="shared" si="159"/>
        <v>-7.2779096240366895E-3</v>
      </c>
      <c r="AA950" s="139">
        <f t="shared" si="160"/>
        <v>5.2967968495645867E-5</v>
      </c>
      <c r="AB950" s="144">
        <f t="shared" si="161"/>
        <v>7.9379375875176557</v>
      </c>
      <c r="AC950" s="144">
        <f t="shared" si="162"/>
        <v>-2.3973462155542899E-2</v>
      </c>
      <c r="AD950" s="144">
        <f t="shared" si="163"/>
        <v>-4.3402079060762447E-2</v>
      </c>
      <c r="AE950" s="144">
        <f t="shared" si="164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69"/>
        <v>47170258.159999996</v>
      </c>
      <c r="E951" s="80">
        <f t="shared" si="166"/>
        <v>47476839.770000003</v>
      </c>
      <c r="F951" s="80">
        <f t="shared" si="170"/>
        <v>275933.73999999464</v>
      </c>
      <c r="G951" s="81">
        <f t="shared" si="171"/>
        <v>5.8841606828290592E-3</v>
      </c>
      <c r="H951" s="81"/>
      <c r="I951" s="81"/>
      <c r="J951" s="80">
        <f t="shared" si="167"/>
        <v>-306581.61000000685</v>
      </c>
      <c r="K951" s="81">
        <f t="shared" si="168"/>
        <v>-6.4574982556808713E-3</v>
      </c>
      <c r="L951" s="81">
        <f t="shared" si="149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2"/>
        <v>2373635.0799999982</v>
      </c>
      <c r="R951" s="81">
        <f t="shared" si="151"/>
        <v>5.2639335519838647E-2</v>
      </c>
      <c r="S951" s="80">
        <f t="shared" si="173"/>
        <v>17125170.329999998</v>
      </c>
      <c r="T951" s="81">
        <f t="shared" si="153"/>
        <v>0.52300672203882415</v>
      </c>
      <c r="U951" s="80">
        <f t="shared" si="174"/>
        <v>14295329.019999996</v>
      </c>
      <c r="V951" s="81">
        <f t="shared" si="155"/>
        <v>0.44533001316541532</v>
      </c>
      <c r="W951" s="136">
        <f t="shared" si="175"/>
        <v>-2.7172387638634068</v>
      </c>
      <c r="X951" s="143">
        <f t="shared" si="165"/>
        <v>1.7857142857142857E-4</v>
      </c>
      <c r="Y951" s="140">
        <f t="shared" si="158"/>
        <v>5.7055892542576302E-3</v>
      </c>
      <c r="Z951" s="140">
        <f t="shared" si="159"/>
        <v>0</v>
      </c>
      <c r="AA951" s="140">
        <f t="shared" si="160"/>
        <v>0</v>
      </c>
      <c r="AB951" s="145">
        <f t="shared" si="161"/>
        <v>8.0329323976571825</v>
      </c>
      <c r="AC951" s="145">
        <f t="shared" si="162"/>
        <v>-2.3112361046083028E-2</v>
      </c>
      <c r="AD951" s="145">
        <f t="shared" si="163"/>
        <v>-4.2053174769526844E-2</v>
      </c>
      <c r="AE951" s="145">
        <f t="shared" si="164"/>
        <v>-3.4087853111689249E-2</v>
      </c>
    </row>
    <row r="952" spans="1:31">
      <c r="A952" s="88">
        <v>45352</v>
      </c>
      <c r="B952" s="78">
        <v>48906863.399999999</v>
      </c>
      <c r="D952" s="67">
        <f t="shared" si="169"/>
        <v>48906863.399999999</v>
      </c>
      <c r="E952" s="67">
        <f t="shared" si="166"/>
        <v>47170258.159999996</v>
      </c>
      <c r="F952" s="67">
        <f t="shared" si="170"/>
        <v>1736605.2400000021</v>
      </c>
      <c r="G952" s="70">
        <f t="shared" si="171"/>
        <v>3.6815682333335827E-2</v>
      </c>
      <c r="H952" s="70"/>
      <c r="I952" s="70"/>
      <c r="J952" s="67">
        <f t="shared" si="167"/>
        <v>1736605.2400000021</v>
      </c>
      <c r="K952" s="70">
        <f>G952</f>
        <v>3.6815682333335827E-2</v>
      </c>
      <c r="L952" s="70">
        <f t="shared" si="149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2"/>
        <v>3039539.1199999973</v>
      </c>
      <c r="R952" s="70">
        <f t="shared" si="151"/>
        <v>6.8253747682020957E-2</v>
      </c>
      <c r="S952" s="67">
        <f t="shared" si="173"/>
        <v>18583093.07</v>
      </c>
      <c r="T952" s="70">
        <f t="shared" si="153"/>
        <v>0.5942821561907432</v>
      </c>
      <c r="U952" s="67">
        <f t="shared" si="174"/>
        <v>16206312.889999997</v>
      </c>
      <c r="V952" s="70">
        <f t="shared" si="155"/>
        <v>0.49238394991853229</v>
      </c>
      <c r="W952" s="87">
        <f t="shared" si="175"/>
        <v>-1.877102924053639</v>
      </c>
      <c r="X952" s="142">
        <f t="shared" si="165"/>
        <v>1.7857142857142857E-4</v>
      </c>
      <c r="Y952" s="139">
        <f t="shared" si="158"/>
        <v>3.6637110904764396E-2</v>
      </c>
      <c r="Z952" s="139">
        <f t="shared" si="159"/>
        <v>0</v>
      </c>
      <c r="AA952" s="139">
        <f t="shared" si="160"/>
        <v>0</v>
      </c>
      <c r="AB952" s="144">
        <f t="shared" si="161"/>
        <v>8.266380113851346</v>
      </c>
      <c r="AC952" s="144">
        <f t="shared" si="162"/>
        <v>-2.4439121844878186E-2</v>
      </c>
      <c r="AD952" s="144">
        <f t="shared" si="163"/>
        <v>-4.0906499055082139E-2</v>
      </c>
      <c r="AE952" s="144">
        <f t="shared" si="164"/>
        <v>-3.4117140683349319E-2</v>
      </c>
    </row>
    <row r="953" spans="1:31">
      <c r="A953" s="88">
        <v>45355</v>
      </c>
      <c r="B953" s="78">
        <v>49379483.840000004</v>
      </c>
      <c r="D953" s="67">
        <f t="shared" si="169"/>
        <v>49379483.840000004</v>
      </c>
      <c r="E953" s="67">
        <f t="shared" si="166"/>
        <v>47170258.159999996</v>
      </c>
      <c r="F953" s="67">
        <f t="shared" si="170"/>
        <v>472620.44000000507</v>
      </c>
      <c r="G953" s="70">
        <f t="shared" si="171"/>
        <v>9.6636833185259046E-3</v>
      </c>
      <c r="H953" s="70"/>
      <c r="I953" s="70"/>
      <c r="J953" s="67">
        <f t="shared" si="167"/>
        <v>2209225.6800000072</v>
      </c>
      <c r="K953" s="70">
        <f t="shared" ref="K953:K971" si="176">(1+K952)*(1+G953)-1</f>
        <v>4.6835140747086612E-2</v>
      </c>
      <c r="L953" s="70">
        <f t="shared" si="149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2"/>
        <v>2937501.8000000045</v>
      </c>
      <c r="R953" s="70">
        <f t="shared" si="151"/>
        <v>6.5574179436563115E-2</v>
      </c>
      <c r="S953" s="67">
        <f t="shared" si="173"/>
        <v>18406259.760000005</v>
      </c>
      <c r="T953" s="70">
        <f t="shared" si="153"/>
        <v>0.61262126654931492</v>
      </c>
      <c r="U953" s="67">
        <f t="shared" si="174"/>
        <v>17564648.430000003</v>
      </c>
      <c r="V953" s="70">
        <f t="shared" si="155"/>
        <v>0.53428703542446643</v>
      </c>
      <c r="W953" s="87">
        <f t="shared" si="175"/>
        <v>-1.6732699591067526</v>
      </c>
      <c r="X953" s="142">
        <f t="shared" si="165"/>
        <v>1.7857142857142857E-4</v>
      </c>
      <c r="Y953" s="139">
        <f t="shared" si="158"/>
        <v>9.4851118899544756E-3</v>
      </c>
      <c r="Z953" s="139">
        <f t="shared" si="159"/>
        <v>0</v>
      </c>
      <c r="AA953" s="139">
        <f t="shared" si="160"/>
        <v>0</v>
      </c>
      <c r="AB953" s="144">
        <f t="shared" si="161"/>
        <v>8.4240219704263293</v>
      </c>
      <c r="AC953" s="144">
        <f t="shared" si="162"/>
        <v>-2.4112870216956409E-2</v>
      </c>
      <c r="AD953" s="144">
        <f t="shared" si="163"/>
        <v>-4.0903244717206903E-2</v>
      </c>
      <c r="AE953" s="144">
        <f t="shared" si="164"/>
        <v>-3.4079113370951014E-2</v>
      </c>
    </row>
    <row r="954" spans="1:31">
      <c r="A954" s="88">
        <v>45356</v>
      </c>
      <c r="B954" s="78">
        <v>48483921.960000001</v>
      </c>
      <c r="D954" s="67">
        <f t="shared" si="169"/>
        <v>48483921.960000001</v>
      </c>
      <c r="E954" s="67">
        <f t="shared" si="166"/>
        <v>47170258.159999996</v>
      </c>
      <c r="F954" s="67">
        <f t="shared" si="170"/>
        <v>-895561.88000000268</v>
      </c>
      <c r="G954" s="70">
        <f t="shared" si="171"/>
        <v>-1.8136315132450818E-2</v>
      </c>
      <c r="H954" s="70"/>
      <c r="I954" s="70"/>
      <c r="J954" s="67">
        <f t="shared" si="167"/>
        <v>1313663.8000000045</v>
      </c>
      <c r="K954" s="70">
        <f t="shared" si="176"/>
        <v>2.7849408742773862E-2</v>
      </c>
      <c r="L954" s="70">
        <f t="shared" si="149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2"/>
        <v>1916243.5099999979</v>
      </c>
      <c r="R954" s="70">
        <f t="shared" si="151"/>
        <v>4.177796590666958E-2</v>
      </c>
      <c r="S954" s="67">
        <f t="shared" si="173"/>
        <v>17154721.280000001</v>
      </c>
      <c r="T954" s="70">
        <f t="shared" si="153"/>
        <v>0.56571861260367229</v>
      </c>
      <c r="U954" s="67">
        <f t="shared" si="174"/>
        <v>16936214.289999999</v>
      </c>
      <c r="V954" s="70">
        <f t="shared" si="155"/>
        <v>0.51791832326556142</v>
      </c>
      <c r="W954" s="87">
        <f t="shared" si="175"/>
        <v>-1.9662699342808592</v>
      </c>
      <c r="X954" s="142">
        <f t="shared" si="165"/>
        <v>1.7857142857142857E-4</v>
      </c>
      <c r="Y954" s="139">
        <f t="shared" si="158"/>
        <v>-1.8314886561022245E-2</v>
      </c>
      <c r="Z954" s="139">
        <f t="shared" si="159"/>
        <v>-1.8314886561022245E-2</v>
      </c>
      <c r="AA954" s="139">
        <f t="shared" si="160"/>
        <v>3.3543506974311322E-4</v>
      </c>
      <c r="AB954" s="144">
        <f t="shared" si="161"/>
        <v>7.3654891490387815</v>
      </c>
      <c r="AC954" s="144">
        <f t="shared" si="162"/>
        <v>-2.5517281162816562E-2</v>
      </c>
      <c r="AD954" s="144">
        <f t="shared" si="163"/>
        <v>-4.1432719944686419E-2</v>
      </c>
      <c r="AE954" s="144">
        <f t="shared" si="164"/>
        <v>-3.4009614735835914E-2</v>
      </c>
    </row>
    <row r="955" spans="1:31">
      <c r="A955" s="88">
        <v>45357</v>
      </c>
      <c r="B955" s="78">
        <v>49791704.299999997</v>
      </c>
      <c r="D955" s="67">
        <f t="shared" si="169"/>
        <v>49791704.299999997</v>
      </c>
      <c r="E955" s="67">
        <f t="shared" si="166"/>
        <v>47170258.159999996</v>
      </c>
      <c r="F955" s="67">
        <f t="shared" si="170"/>
        <v>1307782.3399999961</v>
      </c>
      <c r="G955" s="70">
        <f t="shared" si="171"/>
        <v>2.6973526215122143E-2</v>
      </c>
      <c r="H955" s="70"/>
      <c r="I955" s="70"/>
      <c r="J955" s="67">
        <f t="shared" si="167"/>
        <v>2621446.1400000006</v>
      </c>
      <c r="K955" s="70">
        <f t="shared" si="176"/>
        <v>5.5574131714694719E-2</v>
      </c>
      <c r="L955" s="70">
        <f t="shared" si="149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2"/>
        <v>3508801.2099999934</v>
      </c>
      <c r="R955" s="70">
        <f t="shared" si="151"/>
        <v>7.5552357067316792E-2</v>
      </c>
      <c r="S955" s="67">
        <f t="shared" si="173"/>
        <v>17352053.869999997</v>
      </c>
      <c r="T955" s="70">
        <f t="shared" si="153"/>
        <v>0.56022756382034344</v>
      </c>
      <c r="U955" s="67">
        <f t="shared" si="174"/>
        <v>18540925.679999996</v>
      </c>
      <c r="V955" s="70">
        <f t="shared" si="155"/>
        <v>0.58277609929650098</v>
      </c>
      <c r="W955" s="87">
        <f t="shared" si="175"/>
        <v>-1.4343345936888696</v>
      </c>
      <c r="X955" s="142">
        <f t="shared" si="165"/>
        <v>1.7857142857142857E-4</v>
      </c>
      <c r="Y955" s="139">
        <f t="shared" si="158"/>
        <v>2.6794954786550716E-2</v>
      </c>
      <c r="Z955" s="139">
        <f t="shared" si="159"/>
        <v>0</v>
      </c>
      <c r="AA955" s="139">
        <f t="shared" si="160"/>
        <v>0</v>
      </c>
      <c r="AB955" s="144">
        <f t="shared" si="161"/>
        <v>8.0634070548989811</v>
      </c>
      <c r="AC955" s="144">
        <f t="shared" si="162"/>
        <v>-2.5948111716303526E-2</v>
      </c>
      <c r="AD955" s="144">
        <f t="shared" si="163"/>
        <v>-4.1405411821555174E-2</v>
      </c>
      <c r="AE955" s="144">
        <f t="shared" si="164"/>
        <v>-3.3971979669738535E-2</v>
      </c>
    </row>
    <row r="956" spans="1:31">
      <c r="A956" s="88">
        <v>45358</v>
      </c>
      <c r="B956" s="78">
        <v>51137138.759999998</v>
      </c>
      <c r="D956" s="67">
        <f t="shared" si="169"/>
        <v>51137138.759999998</v>
      </c>
      <c r="E956" s="67">
        <f t="shared" si="166"/>
        <v>47170258.159999996</v>
      </c>
      <c r="F956" s="67">
        <f t="shared" si="170"/>
        <v>1345434.4600000009</v>
      </c>
      <c r="G956" s="70">
        <f t="shared" si="171"/>
        <v>2.7021257434644608E-2</v>
      </c>
      <c r="H956" s="70"/>
      <c r="I956" s="70"/>
      <c r="J956" s="67">
        <f t="shared" si="167"/>
        <v>3966880.6000000015</v>
      </c>
      <c r="K956" s="70">
        <f t="shared" si="176"/>
        <v>8.4097072069108991E-2</v>
      </c>
      <c r="L956" s="70">
        <f t="shared" si="149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2"/>
        <v>5268958.0399999991</v>
      </c>
      <c r="R956" s="70">
        <f t="shared" si="151"/>
        <v>0.11314624682562416</v>
      </c>
      <c r="S956" s="67">
        <f t="shared" si="173"/>
        <v>17512332.219999999</v>
      </c>
      <c r="T956" s="70">
        <f t="shared" si="153"/>
        <v>0.55897794517239496</v>
      </c>
      <c r="U956" s="67">
        <f t="shared" si="174"/>
        <v>19861944.109999999</v>
      </c>
      <c r="V956" s="70">
        <f t="shared" si="155"/>
        <v>0.62958438431606012</v>
      </c>
      <c r="W956" s="87">
        <f t="shared" si="175"/>
        <v>-0.93791702519919862</v>
      </c>
      <c r="X956" s="142">
        <f t="shared" si="165"/>
        <v>1.7857142857142857E-4</v>
      </c>
      <c r="Y956" s="139">
        <f t="shared" si="158"/>
        <v>2.6842686006073181E-2</v>
      </c>
      <c r="Z956" s="139">
        <f t="shared" si="159"/>
        <v>0</v>
      </c>
      <c r="AA956" s="139">
        <f t="shared" si="160"/>
        <v>0</v>
      </c>
      <c r="AB956" s="144">
        <f t="shared" si="161"/>
        <v>8.5274496647758475</v>
      </c>
      <c r="AC956" s="144">
        <f t="shared" si="162"/>
        <v>-2.5862389639895299E-2</v>
      </c>
      <c r="AD956" s="144">
        <f t="shared" si="163"/>
        <v>-4.1354250152934431E-2</v>
      </c>
      <c r="AE956" s="144">
        <f t="shared" si="164"/>
        <v>-3.3928655060342483E-2</v>
      </c>
    </row>
    <row r="957" spans="1:31">
      <c r="A957" s="88">
        <v>45359</v>
      </c>
      <c r="B957" s="78">
        <v>50236332.710000001</v>
      </c>
      <c r="D957" s="67">
        <f t="shared" si="169"/>
        <v>50236332.710000001</v>
      </c>
      <c r="E957" s="67">
        <f t="shared" si="166"/>
        <v>47170258.159999996</v>
      </c>
      <c r="F957" s="67">
        <f t="shared" si="170"/>
        <v>-900806.04999999702</v>
      </c>
      <c r="G957" s="70">
        <f t="shared" si="171"/>
        <v>-1.7615495740340811E-2</v>
      </c>
      <c r="H957" s="70"/>
      <c r="I957" s="70"/>
      <c r="J957" s="67">
        <f t="shared" si="167"/>
        <v>3066074.5500000045</v>
      </c>
      <c r="K957" s="70">
        <f t="shared" si="176"/>
        <v>6.5000164713959752E-2</v>
      </c>
      <c r="L957" s="70">
        <f t="shared" si="149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2"/>
        <v>2545122.4399999976</v>
      </c>
      <c r="R957" s="70">
        <f t="shared" si="151"/>
        <v>5.4990553100155527E-2</v>
      </c>
      <c r="S957" s="67">
        <f t="shared" si="173"/>
        <v>16010213.890000001</v>
      </c>
      <c r="T957" s="70">
        <f t="shared" si="153"/>
        <v>0.49353842220179561</v>
      </c>
      <c r="U957" s="67">
        <f t="shared" si="174"/>
        <v>18358561.060000002</v>
      </c>
      <c r="V957" s="70">
        <f t="shared" si="155"/>
        <v>0.58745931687765418</v>
      </c>
      <c r="W957" s="87">
        <f t="shared" si="175"/>
        <v>-1.2104465583155632</v>
      </c>
      <c r="X957" s="142">
        <f t="shared" si="165"/>
        <v>1.7857142857142857E-4</v>
      </c>
      <c r="Y957" s="139">
        <f t="shared" si="158"/>
        <v>-1.7794067168912239E-2</v>
      </c>
      <c r="Z957" s="139">
        <f t="shared" si="159"/>
        <v>-1.7794067168912239E-2</v>
      </c>
      <c r="AA957" s="139">
        <f t="shared" si="160"/>
        <v>3.1662882641176043E-4</v>
      </c>
      <c r="AB957" s="144">
        <f t="shared" si="161"/>
        <v>8.1143612035754185</v>
      </c>
      <c r="AC957" s="144">
        <f t="shared" si="162"/>
        <v>-2.6586260861807685E-2</v>
      </c>
      <c r="AD957" s="144">
        <f t="shared" si="163"/>
        <v>-4.1785076168458134E-2</v>
      </c>
      <c r="AE957" s="144">
        <f t="shared" si="164"/>
        <v>-3.4017145178509761E-2</v>
      </c>
    </row>
    <row r="958" spans="1:31">
      <c r="A958" s="88">
        <v>45362</v>
      </c>
      <c r="B958" s="78">
        <v>48904590.479999997</v>
      </c>
      <c r="D958" s="67">
        <f t="shared" si="169"/>
        <v>48904590.479999997</v>
      </c>
      <c r="E958" s="67">
        <f t="shared" si="166"/>
        <v>47170258.159999996</v>
      </c>
      <c r="F958" s="67">
        <f t="shared" si="170"/>
        <v>-1331742.2300000042</v>
      </c>
      <c r="G958" s="70">
        <f t="shared" si="171"/>
        <v>-2.6509543156499334E-2</v>
      </c>
      <c r="H958" s="70"/>
      <c r="I958" s="70"/>
      <c r="J958" s="67">
        <f t="shared" si="167"/>
        <v>1734332.3200000003</v>
      </c>
      <c r="K958" s="70">
        <f t="shared" si="176"/>
        <v>3.6767496885796058E-2</v>
      </c>
      <c r="L958" s="70">
        <f t="shared" si="149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2"/>
        <v>-174213.99000000209</v>
      </c>
      <c r="R958" s="70">
        <f t="shared" si="151"/>
        <v>-3.7981447544972978E-3</v>
      </c>
      <c r="S958" s="67">
        <f t="shared" si="173"/>
        <v>14429015.879999995</v>
      </c>
      <c r="T958" s="70">
        <f t="shared" si="153"/>
        <v>0.42911818281646524</v>
      </c>
      <c r="U958" s="67">
        <f t="shared" si="174"/>
        <v>17786163.489999998</v>
      </c>
      <c r="V958" s="70">
        <f t="shared" si="155"/>
        <v>0.56869873038504015</v>
      </c>
      <c r="W958" s="87">
        <f t="shared" si="175"/>
        <v>-1.6025214331012603</v>
      </c>
      <c r="X958" s="142">
        <f t="shared" si="165"/>
        <v>1.7857142857142857E-4</v>
      </c>
      <c r="Y958" s="139">
        <f t="shared" si="158"/>
        <v>-2.6688114585070762E-2</v>
      </c>
      <c r="Z958" s="139">
        <f t="shared" si="159"/>
        <v>-2.6688114585070762E-2</v>
      </c>
      <c r="AA958" s="139">
        <f t="shared" si="160"/>
        <v>7.1225546010586667E-4</v>
      </c>
      <c r="AB958" s="144">
        <f t="shared" si="161"/>
        <v>7.7256711389105188</v>
      </c>
      <c r="AC958" s="144">
        <f t="shared" si="162"/>
        <v>-2.8483151606661983E-2</v>
      </c>
      <c r="AD958" s="144">
        <f t="shared" si="163"/>
        <v>-4.2524121371315164E-2</v>
      </c>
      <c r="AE958" s="144">
        <f t="shared" si="164"/>
        <v>-3.4190365921409886E-2</v>
      </c>
    </row>
    <row r="959" spans="1:31">
      <c r="A959" s="88">
        <v>45363</v>
      </c>
      <c r="B959" s="78">
        <v>50430912.140000001</v>
      </c>
      <c r="D959" s="67">
        <f t="shared" si="169"/>
        <v>50430912.140000001</v>
      </c>
      <c r="E959" s="67">
        <f t="shared" si="166"/>
        <v>47170258.159999996</v>
      </c>
      <c r="F959" s="67">
        <f t="shared" si="170"/>
        <v>1526321.6600000039</v>
      </c>
      <c r="G959" s="70">
        <f t="shared" si="171"/>
        <v>3.1210192029400754E-2</v>
      </c>
      <c r="H959" s="70"/>
      <c r="I959" s="70"/>
      <c r="J959" s="67">
        <f t="shared" si="167"/>
        <v>3260653.9800000042</v>
      </c>
      <c r="K959" s="70">
        <f t="shared" si="176"/>
        <v>6.9125209553442923E-2</v>
      </c>
      <c r="L959" s="70">
        <f t="shared" si="149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2"/>
        <v>1527919.5099999979</v>
      </c>
      <c r="R959" s="70">
        <f t="shared" si="151"/>
        <v>3.2037759187695233E-2</v>
      </c>
      <c r="S959" s="67">
        <f t="shared" si="173"/>
        <v>15331766.490000002</v>
      </c>
      <c r="T959" s="70">
        <f t="shared" si="153"/>
        <v>0.44795515876725406</v>
      </c>
      <c r="U959" s="67">
        <f t="shared" si="174"/>
        <v>18674197.68</v>
      </c>
      <c r="V959" s="70">
        <f t="shared" si="155"/>
        <v>0.58580624408230875</v>
      </c>
      <c r="W959" s="87">
        <f t="shared" si="175"/>
        <v>-1.0644791557051441</v>
      </c>
      <c r="X959" s="142">
        <f t="shared" si="165"/>
        <v>1.7857142857142857E-4</v>
      </c>
      <c r="Y959" s="139">
        <f t="shared" si="158"/>
        <v>3.1031620600829327E-2</v>
      </c>
      <c r="Z959" s="139">
        <f t="shared" si="159"/>
        <v>0</v>
      </c>
      <c r="AA959" s="139">
        <f t="shared" si="160"/>
        <v>0</v>
      </c>
      <c r="AB959" s="144">
        <f t="shared" si="161"/>
        <v>7.8601378592814291</v>
      </c>
      <c r="AC959" s="144">
        <f t="shared" si="162"/>
        <v>-2.8606967758754029E-2</v>
      </c>
      <c r="AD959" s="144">
        <f t="shared" si="163"/>
        <v>-4.2496748047174557E-2</v>
      </c>
      <c r="AE959" s="144">
        <f t="shared" si="164"/>
        <v>-3.4066331564295699E-2</v>
      </c>
    </row>
    <row r="960" spans="1:31">
      <c r="A960" s="88">
        <v>45364</v>
      </c>
      <c r="B960" s="78">
        <v>49284299.43</v>
      </c>
      <c r="D960" s="67">
        <f t="shared" si="169"/>
        <v>49284299.43</v>
      </c>
      <c r="E960" s="67">
        <f t="shared" si="166"/>
        <v>47170258.159999996</v>
      </c>
      <c r="F960" s="67">
        <f t="shared" si="170"/>
        <v>-1146612.7100000009</v>
      </c>
      <c r="G960" s="70">
        <f t="shared" si="171"/>
        <v>-2.2736307184310248E-2</v>
      </c>
      <c r="H960" s="70"/>
      <c r="I960" s="70"/>
      <c r="J960" s="67">
        <f t="shared" si="167"/>
        <v>2114041.2700000033</v>
      </c>
      <c r="K960" s="70">
        <f t="shared" si="176"/>
        <v>4.4817250370545736E-2</v>
      </c>
      <c r="L960" s="70">
        <f t="shared" si="149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2"/>
        <v>1807459.6599999964</v>
      </c>
      <c r="R960" s="70">
        <f t="shared" si="151"/>
        <v>3.6827703517204206E-2</v>
      </c>
      <c r="S960" s="67">
        <f t="shared" si="173"/>
        <v>14074165</v>
      </c>
      <c r="T960" s="70">
        <f t="shared" si="153"/>
        <v>0.4082358354659591</v>
      </c>
      <c r="U960" s="67">
        <f t="shared" si="174"/>
        <v>17315735.329999998</v>
      </c>
      <c r="V960" s="70">
        <f t="shared" si="155"/>
        <v>0.5564463568664465</v>
      </c>
      <c r="W960" s="87">
        <f t="shared" si="175"/>
        <v>-1.385724557339548</v>
      </c>
      <c r="X960" s="142">
        <f t="shared" si="165"/>
        <v>1.7857142857142857E-4</v>
      </c>
      <c r="Y960" s="139">
        <f t="shared" si="158"/>
        <v>-2.2914878612881676E-2</v>
      </c>
      <c r="Z960" s="139">
        <f t="shared" si="159"/>
        <v>-2.2914878612881676E-2</v>
      </c>
      <c r="AA960" s="139">
        <f t="shared" si="160"/>
        <v>5.2509166184310202E-4</v>
      </c>
      <c r="AB960" s="144">
        <f t="shared" si="161"/>
        <v>7.1554772202930694</v>
      </c>
      <c r="AC960" s="144">
        <f t="shared" si="162"/>
        <v>-3.00713058321685E-2</v>
      </c>
      <c r="AD960" s="144">
        <f t="shared" si="163"/>
        <v>-4.3115877470068099E-2</v>
      </c>
      <c r="AE960" s="144">
        <f t="shared" si="164"/>
        <v>-3.4207464977173592E-2</v>
      </c>
    </row>
    <row r="961" spans="1:31">
      <c r="A961" s="88">
        <v>45365</v>
      </c>
      <c r="B961" s="78">
        <v>48450129.340000004</v>
      </c>
      <c r="D961" s="67">
        <f t="shared" si="169"/>
        <v>48450129.340000004</v>
      </c>
      <c r="E961" s="67">
        <f t="shared" si="166"/>
        <v>47170258.159999996</v>
      </c>
      <c r="F961" s="67">
        <f t="shared" si="170"/>
        <v>-834170.08999999613</v>
      </c>
      <c r="G961" s="70">
        <f t="shared" si="171"/>
        <v>-1.6925676120947877E-2</v>
      </c>
      <c r="H961" s="70"/>
      <c r="I961" s="70"/>
      <c r="J961" s="67">
        <f t="shared" si="167"/>
        <v>1279871.1800000072</v>
      </c>
      <c r="K961" s="70">
        <f t="shared" si="176"/>
        <v>2.7133011985194688E-2</v>
      </c>
      <c r="L961" s="70">
        <f t="shared" si="149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2"/>
        <v>203490.61000000685</v>
      </c>
      <c r="R961" s="70">
        <f t="shared" si="151"/>
        <v>4.1611075121642683E-3</v>
      </c>
      <c r="S961" s="67">
        <f t="shared" si="173"/>
        <v>13896105.460000001</v>
      </c>
      <c r="T961" s="70">
        <f t="shared" si="153"/>
        <v>0.39591007708758863</v>
      </c>
      <c r="U961" s="67">
        <f t="shared" si="174"/>
        <v>16455020.010000005</v>
      </c>
      <c r="V961" s="70">
        <f t="shared" si="155"/>
        <v>0.51815876704519781</v>
      </c>
      <c r="W961" s="87">
        <f t="shared" si="175"/>
        <v>-1.6168912091812737</v>
      </c>
      <c r="X961" s="142">
        <f t="shared" si="165"/>
        <v>1.7857142857142857E-4</v>
      </c>
      <c r="Y961" s="139">
        <f t="shared" si="158"/>
        <v>-1.7104247549519305E-2</v>
      </c>
      <c r="Z961" s="139">
        <f t="shared" si="159"/>
        <v>-1.7104247549519305E-2</v>
      </c>
      <c r="AA961" s="139">
        <f t="shared" si="160"/>
        <v>2.9255528423523713E-4</v>
      </c>
      <c r="AB961" s="144">
        <f t="shared" si="161"/>
        <v>7.292415174411591</v>
      </c>
      <c r="AC961" s="144">
        <f t="shared" si="162"/>
        <v>-2.8763898320379094E-2</v>
      </c>
      <c r="AD961" s="144">
        <f t="shared" si="163"/>
        <v>-4.3475240664682849E-2</v>
      </c>
      <c r="AE961" s="144">
        <f t="shared" si="164"/>
        <v>-3.4303814040515079E-2</v>
      </c>
    </row>
    <row r="962" spans="1:31">
      <c r="A962" s="88">
        <v>45366</v>
      </c>
      <c r="B962" s="78">
        <v>47620728.399999999</v>
      </c>
      <c r="D962" s="67">
        <f t="shared" si="169"/>
        <v>47620728.399999999</v>
      </c>
      <c r="E962" s="67">
        <f t="shared" si="166"/>
        <v>47170258.159999996</v>
      </c>
      <c r="F962" s="67">
        <f t="shared" si="170"/>
        <v>-829400.94000000507</v>
      </c>
      <c r="G962" s="70">
        <f t="shared" si="171"/>
        <v>-1.7118652752806149E-2</v>
      </c>
      <c r="H962" s="70"/>
      <c r="I962" s="70"/>
      <c r="J962" s="67">
        <f t="shared" si="167"/>
        <v>450470.24000000209</v>
      </c>
      <c r="K962" s="70">
        <f t="shared" si="176"/>
        <v>9.5498786220762355E-3</v>
      </c>
      <c r="L962" s="70">
        <f t="shared" ref="L962:L1015" si="177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2"/>
        <v>-416923.13000000268</v>
      </c>
      <c r="R962" s="70">
        <f t="shared" si="151"/>
        <v>-8.7816108237147444E-3</v>
      </c>
      <c r="S962" s="67">
        <f t="shared" si="173"/>
        <v>11543326.219999999</v>
      </c>
      <c r="T962" s="70">
        <f t="shared" si="153"/>
        <v>0.32784101528918813</v>
      </c>
      <c r="U962" s="67">
        <f t="shared" si="174"/>
        <v>15765174.32</v>
      </c>
      <c r="V962" s="70">
        <f t="shared" si="155"/>
        <v>0.49314615040842574</v>
      </c>
      <c r="W962" s="87">
        <f t="shared" si="175"/>
        <v>-1.8443777414533769</v>
      </c>
      <c r="X962" s="142">
        <f t="shared" si="165"/>
        <v>1.7857142857142857E-4</v>
      </c>
      <c r="Y962" s="139">
        <f t="shared" si="158"/>
        <v>-1.7297224181377576E-2</v>
      </c>
      <c r="Z962" s="139">
        <f t="shared" si="159"/>
        <v>-1.7297224181377576E-2</v>
      </c>
      <c r="AA962" s="139">
        <f t="shared" si="160"/>
        <v>2.9919396438083317E-4</v>
      </c>
      <c r="AB962" s="144">
        <f t="shared" si="161"/>
        <v>7.1241878496511069</v>
      </c>
      <c r="AC962" s="144">
        <f t="shared" si="162"/>
        <v>-2.9951526999944453E-2</v>
      </c>
      <c r="AD962" s="144">
        <f t="shared" si="163"/>
        <v>-4.3437447968744353E-2</v>
      </c>
      <c r="AE962" s="144">
        <f t="shared" si="164"/>
        <v>-3.4388176075869803E-2</v>
      </c>
    </row>
    <row r="963" spans="1:31">
      <c r="A963" s="88">
        <v>45369</v>
      </c>
      <c r="B963" s="78">
        <v>48230813.75</v>
      </c>
      <c r="D963" s="67">
        <f t="shared" si="169"/>
        <v>48230813.75</v>
      </c>
      <c r="E963" s="67">
        <f t="shared" si="166"/>
        <v>47170258.159999996</v>
      </c>
      <c r="F963" s="67">
        <f t="shared" si="170"/>
        <v>610085.35000000149</v>
      </c>
      <c r="G963" s="70">
        <f t="shared" si="171"/>
        <v>1.2811340155813356E-2</v>
      </c>
      <c r="H963" s="70"/>
      <c r="I963" s="70"/>
      <c r="J963" s="67">
        <f t="shared" si="167"/>
        <v>1060555.5900000036</v>
      </c>
      <c r="K963" s="70">
        <f t="shared" si="176"/>
        <v>2.2483565521363769E-2</v>
      </c>
      <c r="L963" s="70">
        <f t="shared" si="177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2"/>
        <v>1600127.3999999985</v>
      </c>
      <c r="R963" s="70">
        <f t="shared" si="151"/>
        <v>3.3165572610243443E-2</v>
      </c>
      <c r="S963" s="67">
        <f t="shared" si="173"/>
        <v>12349070.100000001</v>
      </c>
      <c r="T963" s="70">
        <f t="shared" si="153"/>
        <v>0.35738442917346275</v>
      </c>
      <c r="U963" s="67">
        <f t="shared" si="174"/>
        <v>15683226.620000001</v>
      </c>
      <c r="V963" s="70">
        <f t="shared" si="155"/>
        <v>0.49017574711941148</v>
      </c>
      <c r="W963" s="87">
        <f t="shared" si="175"/>
        <v>-1.6333898376779561</v>
      </c>
      <c r="X963" s="142">
        <f t="shared" si="165"/>
        <v>1.7857142857142857E-4</v>
      </c>
      <c r="Y963" s="139">
        <f t="shared" si="158"/>
        <v>1.2632768727241927E-2</v>
      </c>
      <c r="Z963" s="139">
        <f t="shared" si="159"/>
        <v>0</v>
      </c>
      <c r="AA963" s="139">
        <f t="shared" si="160"/>
        <v>0</v>
      </c>
      <c r="AB963" s="144">
        <f t="shared" si="161"/>
        <v>7.0288852729436391</v>
      </c>
      <c r="AC963" s="144">
        <f t="shared" si="162"/>
        <v>-2.9607355214012247E-2</v>
      </c>
      <c r="AD963" s="144">
        <f t="shared" si="163"/>
        <v>-4.3272435064807914E-2</v>
      </c>
      <c r="AE963" s="144">
        <f t="shared" si="164"/>
        <v>-3.4351821742775929E-2</v>
      </c>
    </row>
    <row r="964" spans="1:31">
      <c r="A964" s="88">
        <v>45370</v>
      </c>
      <c r="B964" s="78">
        <v>48570528.859999999</v>
      </c>
      <c r="D964" s="67">
        <f t="shared" si="169"/>
        <v>48570528.859999999</v>
      </c>
      <c r="E964" s="67">
        <f t="shared" si="166"/>
        <v>47170258.159999996</v>
      </c>
      <c r="F964" s="67">
        <f t="shared" si="170"/>
        <v>339715.1099999994</v>
      </c>
      <c r="G964" s="70">
        <f t="shared" si="171"/>
        <v>7.0435284745739837E-3</v>
      </c>
      <c r="H964" s="70"/>
      <c r="I964" s="70"/>
      <c r="J964" s="67">
        <f t="shared" si="167"/>
        <v>1400270.700000003</v>
      </c>
      <c r="K964" s="70">
        <f t="shared" si="176"/>
        <v>2.9685457629897494E-2</v>
      </c>
      <c r="L964" s="70">
        <f t="shared" si="177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2"/>
        <v>1357613.6199999973</v>
      </c>
      <c r="R964" s="70">
        <f t="shared" si="151"/>
        <v>2.8261448608747117E-2</v>
      </c>
      <c r="S964" s="67">
        <f t="shared" si="173"/>
        <v>12546845.189999998</v>
      </c>
      <c r="T964" s="70">
        <f t="shared" si="153"/>
        <v>0.34777573860225203</v>
      </c>
      <c r="U964" s="67">
        <f t="shared" si="174"/>
        <v>15690181.98</v>
      </c>
      <c r="V964" s="70">
        <f t="shared" si="155"/>
        <v>0.4925414871327205</v>
      </c>
      <c r="W964" s="87">
        <f t="shared" si="175"/>
        <v>-1.5153939510236973</v>
      </c>
      <c r="X964" s="142">
        <f t="shared" si="165"/>
        <v>1.7857142857142857E-4</v>
      </c>
      <c r="Y964" s="139">
        <f t="shared" si="158"/>
        <v>6.8649570460025547E-3</v>
      </c>
      <c r="Z964" s="139">
        <f t="shared" si="159"/>
        <v>0</v>
      </c>
      <c r="AA964" s="139">
        <f t="shared" si="160"/>
        <v>0</v>
      </c>
      <c r="AB964" s="144">
        <f t="shared" si="161"/>
        <v>6.9544075458808505</v>
      </c>
      <c r="AC964" s="144">
        <f t="shared" si="162"/>
        <v>-2.700095854111486E-2</v>
      </c>
      <c r="AD964" s="144">
        <f t="shared" si="163"/>
        <v>-4.3114431462874893E-2</v>
      </c>
      <c r="AE964" s="144">
        <f t="shared" si="164"/>
        <v>-3.4351764322118505E-2</v>
      </c>
    </row>
    <row r="965" spans="1:31">
      <c r="A965" s="88">
        <v>45371</v>
      </c>
      <c r="B965" s="78">
        <v>50644289.619999997</v>
      </c>
      <c r="D965" s="67">
        <f t="shared" si="169"/>
        <v>50644289.619999997</v>
      </c>
      <c r="E965" s="67">
        <f t="shared" si="166"/>
        <v>47170258.159999996</v>
      </c>
      <c r="F965" s="67">
        <f t="shared" si="170"/>
        <v>2073760.7599999979</v>
      </c>
      <c r="G965" s="70">
        <f t="shared" si="171"/>
        <v>4.269586534619417E-2</v>
      </c>
      <c r="H965" s="70"/>
      <c r="I965" s="70"/>
      <c r="J965" s="67">
        <f t="shared" si="167"/>
        <v>3474031.4600000009</v>
      </c>
      <c r="K965" s="70">
        <f t="shared" si="176"/>
        <v>7.3648769277797843E-2</v>
      </c>
      <c r="L965" s="70">
        <f t="shared" si="177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2"/>
        <v>3183310.4799999967</v>
      </c>
      <c r="R965" s="70">
        <f t="shared" si="151"/>
        <v>6.8266429880674412E-2</v>
      </c>
      <c r="S965" s="67">
        <f t="shared" si="173"/>
        <v>14623017.579999998</v>
      </c>
      <c r="T965" s="70">
        <f t="shared" si="153"/>
        <v>0.4075336394640342</v>
      </c>
      <c r="U965" s="67">
        <f t="shared" si="174"/>
        <v>17280039.409999996</v>
      </c>
      <c r="V965" s="70">
        <f t="shared" si="155"/>
        <v>0.5309161426000919</v>
      </c>
      <c r="W965" s="87">
        <f t="shared" si="175"/>
        <v>-0.8599969516802346</v>
      </c>
      <c r="X965" s="142">
        <f t="shared" si="165"/>
        <v>1.7857142857142857E-4</v>
      </c>
      <c r="Y965" s="139">
        <f t="shared" si="158"/>
        <v>4.2517293917622739E-2</v>
      </c>
      <c r="Z965" s="139">
        <f t="shared" si="159"/>
        <v>0</v>
      </c>
      <c r="AA965" s="139">
        <f t="shared" si="160"/>
        <v>0</v>
      </c>
      <c r="AB965" s="144">
        <f t="shared" si="161"/>
        <v>7.2882016294408665</v>
      </c>
      <c r="AC965" s="144">
        <f t="shared" si="162"/>
        <v>-2.8420243206887151E-2</v>
      </c>
      <c r="AD965" s="144">
        <f t="shared" si="163"/>
        <v>-4.3185230138585252E-2</v>
      </c>
      <c r="AE965" s="144">
        <f t="shared" si="164"/>
        <v>-3.4433295323753187E-2</v>
      </c>
    </row>
    <row r="966" spans="1:31">
      <c r="A966" s="88">
        <v>45372</v>
      </c>
      <c r="B966" s="78">
        <v>52077532</v>
      </c>
      <c r="D966" s="67">
        <f t="shared" si="169"/>
        <v>52077532</v>
      </c>
      <c r="E966" s="67">
        <f t="shared" si="166"/>
        <v>47170258.159999996</v>
      </c>
      <c r="F966" s="67">
        <f t="shared" si="170"/>
        <v>1433242.3800000027</v>
      </c>
      <c r="G966" s="70">
        <f t="shared" si="171"/>
        <v>2.8300177389278636E-2</v>
      </c>
      <c r="H966" s="70"/>
      <c r="I966" s="70"/>
      <c r="J966" s="67">
        <f t="shared" si="167"/>
        <v>4907273.8400000036</v>
      </c>
      <c r="K966" s="70">
        <f t="shared" si="176"/>
        <v>0.10403321990214009</v>
      </c>
      <c r="L966" s="70">
        <f t="shared" si="177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2"/>
        <v>5169670.0099999979</v>
      </c>
      <c r="R966" s="70">
        <f t="shared" si="151"/>
        <v>0.10949694556501607</v>
      </c>
      <c r="S966" s="67">
        <f t="shared" si="173"/>
        <v>16020634.880000003</v>
      </c>
      <c r="T966" s="70">
        <f t="shared" si="153"/>
        <v>0.44472505995664607</v>
      </c>
      <c r="U966" s="67">
        <f t="shared" si="174"/>
        <v>19291737.989999998</v>
      </c>
      <c r="V966" s="70">
        <f t="shared" si="155"/>
        <v>0.5867255008107749</v>
      </c>
      <c r="W966" s="87">
        <f t="shared" si="175"/>
        <v>-0.46399145368637457</v>
      </c>
      <c r="X966" s="142">
        <f t="shared" si="165"/>
        <v>1.7857142857142857E-4</v>
      </c>
      <c r="Y966" s="139">
        <f t="shared" si="158"/>
        <v>2.8121605960707209E-2</v>
      </c>
      <c r="Z966" s="139">
        <f t="shared" si="159"/>
        <v>0</v>
      </c>
      <c r="AA966" s="139">
        <f t="shared" si="160"/>
        <v>0</v>
      </c>
      <c r="AB966" s="144">
        <f t="shared" si="161"/>
        <v>7.6913545345888936</v>
      </c>
      <c r="AC966" s="144">
        <f t="shared" si="162"/>
        <v>-2.8602395987518788E-2</v>
      </c>
      <c r="AD966" s="144">
        <f t="shared" si="163"/>
        <v>-4.3058472253806615E-2</v>
      </c>
      <c r="AE966" s="144">
        <f t="shared" si="164"/>
        <v>-3.4453022288345764E-2</v>
      </c>
    </row>
    <row r="967" spans="1:31">
      <c r="A967" s="88">
        <v>45373</v>
      </c>
      <c r="B967" s="78">
        <v>51833231.240000002</v>
      </c>
      <c r="D967" s="67">
        <f t="shared" si="169"/>
        <v>51833231.240000002</v>
      </c>
      <c r="E967" s="67">
        <f t="shared" si="166"/>
        <v>47170258.159999996</v>
      </c>
      <c r="F967" s="67">
        <f t="shared" si="170"/>
        <v>-244300.75999999791</v>
      </c>
      <c r="G967" s="70">
        <f t="shared" si="171"/>
        <v>-4.6910971126665124E-3</v>
      </c>
      <c r="H967" s="70"/>
      <c r="I967" s="70"/>
      <c r="J967" s="67">
        <f t="shared" si="167"/>
        <v>4662973.0800000057</v>
      </c>
      <c r="K967" s="70">
        <f t="shared" si="176"/>
        <v>9.8854092851969222E-2</v>
      </c>
      <c r="L967" s="70">
        <f t="shared" si="177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2"/>
        <v>5037161.4900000021</v>
      </c>
      <c r="R967" s="70">
        <f t="shared" si="151"/>
        <v>0.10613269218785869</v>
      </c>
      <c r="S967" s="67">
        <f t="shared" si="173"/>
        <v>15721862.130000003</v>
      </c>
      <c r="T967" s="70">
        <f t="shared" si="153"/>
        <v>0.43646049235966966</v>
      </c>
      <c r="U967" s="67">
        <f t="shared" si="174"/>
        <v>19393446.720000003</v>
      </c>
      <c r="V967" s="70">
        <f t="shared" si="155"/>
        <v>0.58126427532267333</v>
      </c>
      <c r="W967" s="87">
        <f t="shared" si="175"/>
        <v>-0.52137220981011467</v>
      </c>
      <c r="X967" s="142">
        <f t="shared" si="165"/>
        <v>1.7857142857142857E-4</v>
      </c>
      <c r="Y967" s="139">
        <f t="shared" si="158"/>
        <v>-4.8696685412379414E-3</v>
      </c>
      <c r="Z967" s="139">
        <f t="shared" si="159"/>
        <v>-4.8696685412379414E-3</v>
      </c>
      <c r="AA967" s="139">
        <f t="shared" si="160"/>
        <v>2.3713671701522459E-5</v>
      </c>
      <c r="AB967" s="144">
        <f t="shared" si="161"/>
        <v>7.5466994329529786</v>
      </c>
      <c r="AC967" s="144">
        <f t="shared" si="162"/>
        <v>-2.8133710414750619E-2</v>
      </c>
      <c r="AD967" s="144">
        <f t="shared" si="163"/>
        <v>-4.3142964550434218E-2</v>
      </c>
      <c r="AE967" s="144">
        <f t="shared" si="164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69"/>
        <v>54501565.909999996</v>
      </c>
      <c r="E968" s="67">
        <f t="shared" si="166"/>
        <v>47170258.159999996</v>
      </c>
      <c r="F968" s="67">
        <f t="shared" si="170"/>
        <v>-245665.33000000566</v>
      </c>
      <c r="G968" s="70">
        <f t="shared" si="171"/>
        <v>-4.7395333866514641E-3</v>
      </c>
      <c r="H968" s="70"/>
      <c r="I968" s="70"/>
      <c r="J968" s="67">
        <f t="shared" si="167"/>
        <v>4417307.75</v>
      </c>
      <c r="K968" s="70">
        <f t="shared" si="176"/>
        <v>9.3646037191838616E-2</v>
      </c>
      <c r="L968" s="70">
        <f t="shared" si="177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2"/>
        <v>4397787.9899999946</v>
      </c>
      <c r="R968" s="70">
        <f t="shared" si="151"/>
        <v>9.375375051068266E-2</v>
      </c>
      <c r="S968" s="67">
        <f t="shared" si="173"/>
        <v>14908866.619999997</v>
      </c>
      <c r="T968" s="70">
        <f t="shared" si="153"/>
        <v>0.4134816861911938</v>
      </c>
      <c r="U968" s="67">
        <f t="shared" si="174"/>
        <v>18238812.309999995</v>
      </c>
      <c r="V968" s="70">
        <f t="shared" si="155"/>
        <v>0.55630229069446879</v>
      </c>
      <c r="W968" s="87">
        <f t="shared" si="175"/>
        <v>-0.57843082098028453</v>
      </c>
      <c r="X968" s="142">
        <f t="shared" si="165"/>
        <v>1.7857142857142857E-4</v>
      </c>
      <c r="Y968" s="139">
        <f t="shared" si="158"/>
        <v>-4.9181048152228931E-3</v>
      </c>
      <c r="Z968" s="139">
        <f t="shared" si="159"/>
        <v>-4.9181048152228931E-3</v>
      </c>
      <c r="AA968" s="139">
        <f t="shared" si="160"/>
        <v>2.4187754973518609E-5</v>
      </c>
      <c r="AB968" s="144">
        <f t="shared" si="161"/>
        <v>7.4947151156196599</v>
      </c>
      <c r="AC968" s="144">
        <f t="shared" si="162"/>
        <v>-2.8261075980346918E-2</v>
      </c>
      <c r="AD968" s="144">
        <f t="shared" si="163"/>
        <v>-4.3234705143577579E-2</v>
      </c>
      <c r="AE968" s="144">
        <f t="shared" si="164"/>
        <v>-3.4358999706771191E-2</v>
      </c>
    </row>
    <row r="969" spans="1:31">
      <c r="A969" s="88">
        <v>45377</v>
      </c>
      <c r="B969" s="78">
        <v>53988282.090000004</v>
      </c>
      <c r="D969" s="67">
        <f t="shared" si="169"/>
        <v>53988282.090000004</v>
      </c>
      <c r="E969" s="67">
        <f t="shared" si="166"/>
        <v>47170258.159999996</v>
      </c>
      <c r="F969" s="67">
        <f t="shared" si="170"/>
        <v>-513283.81999999285</v>
      </c>
      <c r="G969" s="70">
        <f t="shared" si="171"/>
        <v>-9.4177811486663189E-3</v>
      </c>
      <c r="H969" s="70"/>
      <c r="I969" s="70"/>
      <c r="J969" s="67">
        <f t="shared" si="167"/>
        <v>3904023.9300000072</v>
      </c>
      <c r="K969" s="70">
        <f t="shared" si="176"/>
        <v>8.3346318159459809E-2</v>
      </c>
      <c r="L969" s="70">
        <f t="shared" si="177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2"/>
        <v>7846900.1800000072</v>
      </c>
      <c r="R969" s="70">
        <f t="shared" si="151"/>
        <v>0.1676828892238329</v>
      </c>
      <c r="S969" s="67">
        <f t="shared" si="173"/>
        <v>17390700.230000004</v>
      </c>
      <c r="T969" s="70">
        <f t="shared" si="153"/>
        <v>0.48158518102777093</v>
      </c>
      <c r="U969" s="67">
        <f t="shared" si="174"/>
        <v>21071287.260000005</v>
      </c>
      <c r="V969" s="70">
        <f t="shared" si="155"/>
        <v>0.6495507775956092</v>
      </c>
      <c r="W969" s="87">
        <f t="shared" si="175"/>
        <v>-0.69395539857687605</v>
      </c>
      <c r="X969" s="142">
        <f t="shared" si="165"/>
        <v>1.7857142857142857E-4</v>
      </c>
      <c r="Y969" s="139">
        <f t="shared" si="158"/>
        <v>-9.5963525772377479E-3</v>
      </c>
      <c r="Z969" s="139">
        <f t="shared" si="159"/>
        <v>-9.5963525772377479E-3</v>
      </c>
      <c r="AA969" s="139">
        <f t="shared" si="160"/>
        <v>9.2089982786657562E-5</v>
      </c>
      <c r="AB969" s="144">
        <f t="shared" si="161"/>
        <v>7.113398151017531</v>
      </c>
      <c r="AC969" s="144">
        <f t="shared" si="162"/>
        <v>-2.9045817557525704E-2</v>
      </c>
      <c r="AD969" s="144">
        <f t="shared" si="163"/>
        <v>-4.3523494741796516E-2</v>
      </c>
      <c r="AE969" s="144">
        <f t="shared" si="164"/>
        <v>-3.4399640854938629E-2</v>
      </c>
    </row>
    <row r="970" spans="1:31">
      <c r="A970" s="88">
        <v>45378</v>
      </c>
      <c r="B970" s="78">
        <v>54592656.039999999</v>
      </c>
      <c r="D970" s="67">
        <f t="shared" si="169"/>
        <v>54592656.039999999</v>
      </c>
      <c r="E970" s="67">
        <f t="shared" si="166"/>
        <v>47170258.159999996</v>
      </c>
      <c r="F970" s="67">
        <f t="shared" si="170"/>
        <v>604373.94999999553</v>
      </c>
      <c r="G970" s="70">
        <f t="shared" si="171"/>
        <v>1.1194539381573337E-2</v>
      </c>
      <c r="H970" s="70"/>
      <c r="I970" s="70"/>
      <c r="J970" s="67">
        <f t="shared" si="167"/>
        <v>4508397.8800000027</v>
      </c>
      <c r="K970" s="70">
        <f t="shared" si="176"/>
        <v>9.5473881181978415E-2</v>
      </c>
      <c r="L970" s="70">
        <f t="shared" si="177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2"/>
        <v>7507411.8500000015</v>
      </c>
      <c r="R970" s="70">
        <f t="shared" si="151"/>
        <v>0.15908978979996863</v>
      </c>
      <c r="S970" s="67">
        <f t="shared" si="173"/>
        <v>17614567.130000003</v>
      </c>
      <c r="T970" s="70">
        <f t="shared" si="153"/>
        <v>0.48023968872861311</v>
      </c>
      <c r="U970" s="67">
        <f t="shared" si="174"/>
        <v>21973370.09</v>
      </c>
      <c r="V970" s="70">
        <f t="shared" si="155"/>
        <v>0.65889629200414856</v>
      </c>
      <c r="W970" s="87">
        <f t="shared" si="175"/>
        <v>-0.54407771314722053</v>
      </c>
      <c r="X970" s="142">
        <f t="shared" si="165"/>
        <v>1.7857142857142857E-4</v>
      </c>
      <c r="Y970" s="139">
        <f t="shared" si="158"/>
        <v>1.1015967953001908E-2</v>
      </c>
      <c r="Z970" s="139">
        <f t="shared" si="159"/>
        <v>0</v>
      </c>
      <c r="AA970" s="139">
        <f t="shared" si="160"/>
        <v>0</v>
      </c>
      <c r="AB970" s="144">
        <f t="shared" si="161"/>
        <v>7.3897042812545966</v>
      </c>
      <c r="AC970" s="144">
        <f t="shared" si="162"/>
        <v>-2.7049185133168237E-2</v>
      </c>
      <c r="AD970" s="144">
        <f t="shared" si="163"/>
        <v>-4.3381620402802849E-2</v>
      </c>
      <c r="AE970" s="144">
        <f t="shared" si="164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69"/>
        <v>54958718.710000001</v>
      </c>
      <c r="E971" s="80">
        <f t="shared" si="166"/>
        <v>47170258.159999996</v>
      </c>
      <c r="F971" s="80">
        <f t="shared" si="170"/>
        <v>366062.67000000179</v>
      </c>
      <c r="G971" s="81">
        <f t="shared" si="171"/>
        <v>6.705346406516436E-3</v>
      </c>
      <c r="H971" s="81"/>
      <c r="I971" s="81"/>
      <c r="J971" s="80">
        <f t="shared" si="167"/>
        <v>4874460.5500000045</v>
      </c>
      <c r="K971" s="81">
        <f t="shared" si="176"/>
        <v>0.10281941303459474</v>
      </c>
      <c r="L971" s="81">
        <f t="shared" si="177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2"/>
        <v>7336971.2700000033</v>
      </c>
      <c r="R971" s="81">
        <f t="shared" si="151"/>
        <v>0.15901065304699721</v>
      </c>
      <c r="S971" s="80">
        <f t="shared" si="173"/>
        <v>17955584.189804599</v>
      </c>
      <c r="T971" s="81">
        <f t="shared" si="153"/>
        <v>0.49062214707222185</v>
      </c>
      <c r="U971" s="80">
        <f t="shared" si="174"/>
        <v>23223318.470000003</v>
      </c>
      <c r="V971" s="81">
        <f t="shared" si="155"/>
        <v>0.70551150218715164</v>
      </c>
      <c r="W971" s="136">
        <f t="shared" si="175"/>
        <v>-0.45472110166155622</v>
      </c>
      <c r="X971" s="143">
        <f t="shared" si="165"/>
        <v>1.7857142857142857E-4</v>
      </c>
      <c r="Y971" s="140">
        <f t="shared" si="158"/>
        <v>6.526774977945007E-3</v>
      </c>
      <c r="Z971" s="140">
        <f t="shared" si="159"/>
        <v>0</v>
      </c>
      <c r="AA971" s="140">
        <f t="shared" si="160"/>
        <v>0</v>
      </c>
      <c r="AB971" s="145">
        <f t="shared" si="161"/>
        <v>7.5959482478492895</v>
      </c>
      <c r="AC971" s="145">
        <f t="shared" si="162"/>
        <v>-2.7096903415193635E-2</v>
      </c>
      <c r="AD971" s="145">
        <f t="shared" si="163"/>
        <v>-4.3411149078748511E-2</v>
      </c>
      <c r="AE971" s="145">
        <f t="shared" si="164"/>
        <v>-3.4270868144341007E-2</v>
      </c>
    </row>
    <row r="972" spans="1:31">
      <c r="A972" s="88">
        <v>45383</v>
      </c>
      <c r="B972" s="78">
        <v>54694013.359999999</v>
      </c>
      <c r="D972" s="67">
        <f t="shared" si="169"/>
        <v>54694013.359999999</v>
      </c>
      <c r="E972" s="67">
        <f t="shared" si="166"/>
        <v>54958718.710000001</v>
      </c>
      <c r="F972" s="67">
        <f t="shared" si="170"/>
        <v>-264705.35000000149</v>
      </c>
      <c r="G972" s="70">
        <f t="shared" si="171"/>
        <v>-4.8164396152823169E-3</v>
      </c>
      <c r="H972" s="70"/>
      <c r="I972" s="70"/>
      <c r="J972" s="67">
        <f t="shared" si="167"/>
        <v>-264705.35000000149</v>
      </c>
      <c r="K972" s="70">
        <f>G972</f>
        <v>-4.8164396152823169E-3</v>
      </c>
      <c r="L972" s="70">
        <f t="shared" si="177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2"/>
        <v>7013865.9799999967</v>
      </c>
      <c r="R972" s="70">
        <f t="shared" si="151"/>
        <v>0.14896101954356239</v>
      </c>
      <c r="S972" s="67">
        <f t="shared" si="173"/>
        <v>17784311.600000001</v>
      </c>
      <c r="T972" s="70">
        <f t="shared" si="153"/>
        <v>0.48094188002210642</v>
      </c>
      <c r="U972" s="67">
        <f t="shared" si="174"/>
        <v>23347127.52</v>
      </c>
      <c r="V972" s="70">
        <f t="shared" si="155"/>
        <v>0.71574612503128687</v>
      </c>
      <c r="W972" s="87">
        <f t="shared" si="175"/>
        <v>-0.51125996516468786</v>
      </c>
      <c r="X972" s="142">
        <f t="shared" si="165"/>
        <v>1.7857142857142857E-4</v>
      </c>
      <c r="Y972" s="139">
        <f t="shared" si="158"/>
        <v>-4.9950110438537459E-3</v>
      </c>
      <c r="Z972" s="139">
        <f t="shared" si="159"/>
        <v>-4.9950110438537459E-3</v>
      </c>
      <c r="AA972" s="139">
        <f t="shared" si="160"/>
        <v>2.4950135328220889E-5</v>
      </c>
      <c r="AB972" s="144">
        <f t="shared" si="161"/>
        <v>7.7414979001707831</v>
      </c>
      <c r="AC972" s="144">
        <f t="shared" si="162"/>
        <v>-2.7634032845952797E-2</v>
      </c>
      <c r="AD972" s="144">
        <f t="shared" si="163"/>
        <v>-4.3492549551162087E-2</v>
      </c>
      <c r="AE972" s="144">
        <f t="shared" si="164"/>
        <v>-3.4128992487129049E-2</v>
      </c>
    </row>
    <row r="973" spans="1:31">
      <c r="A973" s="88">
        <v>45384</v>
      </c>
      <c r="B973" s="78">
        <v>53680468.049999997</v>
      </c>
      <c r="D973" s="67">
        <f t="shared" si="169"/>
        <v>53680468.049999997</v>
      </c>
      <c r="E973" s="67">
        <f t="shared" si="166"/>
        <v>54958718.710000001</v>
      </c>
      <c r="F973" s="67">
        <f t="shared" si="170"/>
        <v>-1013545.3100000024</v>
      </c>
      <c r="G973" s="70">
        <f t="shared" si="171"/>
        <v>-1.8531192862530913E-2</v>
      </c>
      <c r="H973" s="70"/>
      <c r="I973" s="70"/>
      <c r="J973" s="67">
        <f t="shared" si="167"/>
        <v>-1278250.6600000039</v>
      </c>
      <c r="K973" s="70">
        <f t="shared" ref="K973:K993" si="178">(1+K972)*(1+G973)-1</f>
        <v>-2.3258378106391753E-2</v>
      </c>
      <c r="L973" s="70">
        <f t="shared" si="177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79">B973-C973-D944</f>
        <v>6287334.7599999979</v>
      </c>
      <c r="R973" s="70">
        <f t="shared" ref="R973:R1036" si="180">Q973/B942</f>
        <v>0.13202654455134372</v>
      </c>
      <c r="S973" s="67">
        <f t="shared" ref="S973:S1004" si="181">B973-C973-D884</f>
        <v>16635597.219999999</v>
      </c>
      <c r="T973" s="70">
        <f t="shared" ref="T973:T1036" si="182">S973/B882</f>
        <v>0.44957264933652308</v>
      </c>
      <c r="U973" s="67">
        <f t="shared" ref="U973:U1004" si="183">B973-C973-D609</f>
        <v>22011566.809999999</v>
      </c>
      <c r="V973" s="70">
        <f t="shared" ref="V973:V1036" si="184">U973/B607</f>
        <v>0.6935966347843987</v>
      </c>
      <c r="W973" s="87">
        <f t="shared" ref="W973:W1004" si="185">O973/P973</f>
        <v>-0.7326289277345357</v>
      </c>
      <c r="X973" s="142">
        <f t="shared" si="165"/>
        <v>1.7857142857142857E-4</v>
      </c>
      <c r="Y973" s="139">
        <f t="shared" si="158"/>
        <v>-1.870976429110234E-2</v>
      </c>
      <c r="Z973" s="139">
        <f t="shared" si="159"/>
        <v>-1.870976429110234E-2</v>
      </c>
      <c r="AA973" s="139">
        <f t="shared" si="160"/>
        <v>3.5005527982860825E-4</v>
      </c>
      <c r="AB973" s="144">
        <f t="shared" si="161"/>
        <v>7.5490081865818865</v>
      </c>
      <c r="AC973" s="144">
        <f t="shared" si="162"/>
        <v>-2.8964783986933432E-2</v>
      </c>
      <c r="AD973" s="144">
        <f t="shared" si="163"/>
        <v>-4.3815556337103906E-2</v>
      </c>
      <c r="AE973" s="144">
        <f t="shared" si="164"/>
        <v>-3.4168337463324185E-2</v>
      </c>
    </row>
    <row r="974" spans="1:31">
      <c r="A974" s="88">
        <v>45385</v>
      </c>
      <c r="B974" s="78">
        <v>54398508.520000003</v>
      </c>
      <c r="D974" s="67">
        <f t="shared" si="169"/>
        <v>54398508.520000003</v>
      </c>
      <c r="E974" s="67">
        <f t="shared" si="166"/>
        <v>54958718.710000001</v>
      </c>
      <c r="F974" s="67">
        <f t="shared" si="170"/>
        <v>718040.47000000626</v>
      </c>
      <c r="G974" s="70">
        <f t="shared" si="171"/>
        <v>1.3376196148871066E-2</v>
      </c>
      <c r="H974" s="70"/>
      <c r="I974" s="70"/>
      <c r="J974" s="67">
        <f t="shared" si="167"/>
        <v>-560210.18999999762</v>
      </c>
      <c r="K974" s="70">
        <f t="shared" si="178"/>
        <v>-1.0193290585176484E-2</v>
      </c>
      <c r="L974" s="70">
        <f t="shared" si="177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79"/>
        <v>7517956.25</v>
      </c>
      <c r="R974" s="70">
        <f t="shared" si="180"/>
        <v>0.15767476954472451</v>
      </c>
      <c r="S974" s="67">
        <f t="shared" si="181"/>
        <v>17024225.540000007</v>
      </c>
      <c r="T974" s="70">
        <f t="shared" si="182"/>
        <v>0.46123985641221305</v>
      </c>
      <c r="U974" s="67">
        <f t="shared" si="183"/>
        <v>22522907.900000002</v>
      </c>
      <c r="V974" s="70">
        <f t="shared" si="184"/>
        <v>0.71850543671102995</v>
      </c>
      <c r="W974" s="87">
        <f t="shared" si="185"/>
        <v>-0.56123683034376348</v>
      </c>
      <c r="X974" s="142">
        <f t="shared" si="165"/>
        <v>1.7857142857142857E-4</v>
      </c>
      <c r="Y974" s="139">
        <f t="shared" ref="Y974:Y1015" si="186">G974-X974</f>
        <v>1.3197624720299637E-2</v>
      </c>
      <c r="Z974" s="139">
        <f t="shared" ref="Z974:Z1015" si="187">IF(Y974&lt;0,Y974,0)</f>
        <v>0</v>
      </c>
      <c r="AA974" s="139">
        <f t="shared" ref="AA974:AA1015" si="188">Z974^2</f>
        <v>0</v>
      </c>
      <c r="AB974" s="144">
        <f t="shared" ref="AB974:AB1007" si="189">AVERAGE(Y723:Y974)/AVERAGE(AA723:AA974)</f>
        <v>7.3336763396799576</v>
      </c>
      <c r="AC974" s="144">
        <f t="shared" ref="AC974:AC1007" si="190">AVERAGE(G945:G974)-_xlfn.NORM.S.INV(0.95)*_xlfn.STDEV.S(G945:G974)</f>
        <v>-2.8379568760066424E-2</v>
      </c>
      <c r="AD974" s="144">
        <f t="shared" ref="AD974:AD1007" si="191">AVERAGE(G885:G974)-_xlfn.NORM.S.INV(0.95)*_xlfn.STDEV.S(G885:G974)</f>
        <v>-4.3738827672089566E-2</v>
      </c>
      <c r="AE974" s="144">
        <f t="shared" ref="AE974:AE1007" si="192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69"/>
        <v>51227159.189999998</v>
      </c>
      <c r="E975" s="67">
        <f t="shared" si="166"/>
        <v>54958718.710000001</v>
      </c>
      <c r="F975" s="67">
        <f t="shared" si="170"/>
        <v>-3171349.3300000057</v>
      </c>
      <c r="G975" s="70">
        <f t="shared" si="171"/>
        <v>-5.8298461047586188E-2</v>
      </c>
      <c r="H975" s="70"/>
      <c r="I975" s="70"/>
      <c r="J975" s="67">
        <f t="shared" si="167"/>
        <v>-3731559.5200000033</v>
      </c>
      <c r="K975" s="70">
        <f t="shared" si="178"/>
        <v>-6.789749847863602E-2</v>
      </c>
      <c r="L975" s="70">
        <f t="shared" si="177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79"/>
        <v>3350915.4899999946</v>
      </c>
      <c r="R975" s="70">
        <f t="shared" si="180"/>
        <v>7.070466241376451E-2</v>
      </c>
      <c r="S975" s="67">
        <f t="shared" si="181"/>
        <v>14100329.18</v>
      </c>
      <c r="T975" s="70">
        <f t="shared" si="182"/>
        <v>0.38062838023398232</v>
      </c>
      <c r="U975" s="67">
        <f t="shared" si="183"/>
        <v>19218713.689999998</v>
      </c>
      <c r="V975" s="70">
        <f t="shared" si="184"/>
        <v>0.60686392446497139</v>
      </c>
      <c r="W975" s="87">
        <f t="shared" si="185"/>
        <v>-1.18797814124993</v>
      </c>
      <c r="X975" s="142">
        <f t="shared" si="165"/>
        <v>1.7857142857142857E-4</v>
      </c>
      <c r="Y975" s="139">
        <f t="shared" si="186"/>
        <v>-5.8477032476157619E-2</v>
      </c>
      <c r="Z975" s="139">
        <f t="shared" si="187"/>
        <v>-5.8477032476157619E-2</v>
      </c>
      <c r="AA975" s="139">
        <f t="shared" si="188"/>
        <v>3.4195633272175929E-3</v>
      </c>
      <c r="AB975" s="144">
        <f t="shared" si="189"/>
        <v>6.2764594495367625</v>
      </c>
      <c r="AC975" s="144">
        <f t="shared" si="190"/>
        <v>-3.4783030808407188E-2</v>
      </c>
      <c r="AD975" s="144">
        <f t="shared" si="191"/>
        <v>-4.5675095286502737E-2</v>
      </c>
      <c r="AE975" s="144">
        <f t="shared" si="192"/>
        <v>-3.4710904650312062E-2</v>
      </c>
    </row>
    <row r="976" spans="1:31">
      <c r="A976" s="88">
        <v>45387</v>
      </c>
      <c r="B976" s="78">
        <v>53255987.509999998</v>
      </c>
      <c r="D976" s="67">
        <f t="shared" si="169"/>
        <v>53255987.509999998</v>
      </c>
      <c r="E976" s="67">
        <f t="shared" si="166"/>
        <v>54958718.710000001</v>
      </c>
      <c r="F976" s="67">
        <f t="shared" si="170"/>
        <v>2028828.3200000003</v>
      </c>
      <c r="G976" s="70">
        <f t="shared" si="171"/>
        <v>3.9604544778193473E-2</v>
      </c>
      <c r="H976" s="70"/>
      <c r="I976" s="70"/>
      <c r="J976" s="67">
        <f t="shared" si="167"/>
        <v>-1702731.200000003</v>
      </c>
      <c r="K976" s="70">
        <f t="shared" si="178"/>
        <v>-3.0982003219267029E-2</v>
      </c>
      <c r="L976" s="70">
        <f t="shared" si="177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79"/>
        <v>5420792.5799999982</v>
      </c>
      <c r="R976" s="70">
        <f t="shared" si="180"/>
        <v>0.115629878862773</v>
      </c>
      <c r="S976" s="67">
        <f t="shared" si="181"/>
        <v>16260065.009999998</v>
      </c>
      <c r="T976" s="70">
        <f t="shared" si="182"/>
        <v>0.43506025302749496</v>
      </c>
      <c r="U976" s="67">
        <f t="shared" si="183"/>
        <v>21968825.829999998</v>
      </c>
      <c r="V976" s="70">
        <f t="shared" si="184"/>
        <v>0.6892050785771201</v>
      </c>
      <c r="W976" s="87">
        <f t="shared" si="185"/>
        <v>-0.71127222240692722</v>
      </c>
      <c r="X976" s="142">
        <f t="shared" ref="X976:X1072" si="193">4.5%/252</f>
        <v>1.7857142857142857E-4</v>
      </c>
      <c r="Y976" s="139">
        <f t="shared" si="186"/>
        <v>3.9425973349622043E-2</v>
      </c>
      <c r="Z976" s="139">
        <f t="shared" si="187"/>
        <v>0</v>
      </c>
      <c r="AA976" s="139">
        <f t="shared" si="188"/>
        <v>0</v>
      </c>
      <c r="AB976" s="144">
        <f t="shared" si="189"/>
        <v>7.21401682836298</v>
      </c>
      <c r="AC976" s="144">
        <f t="shared" si="190"/>
        <v>-3.5509377023382936E-2</v>
      </c>
      <c r="AD976" s="144">
        <f t="shared" si="191"/>
        <v>-4.5548344550441273E-2</v>
      </c>
      <c r="AE976" s="144">
        <f t="shared" si="192"/>
        <v>-3.4763924349275173E-2</v>
      </c>
    </row>
    <row r="977" spans="1:31">
      <c r="A977" s="88">
        <v>45390</v>
      </c>
      <c r="B977" s="78">
        <v>53410125.670000002</v>
      </c>
      <c r="D977" s="67">
        <f t="shared" si="169"/>
        <v>53410125.670000002</v>
      </c>
      <c r="E977" s="67">
        <f t="shared" si="166"/>
        <v>54958718.710000001</v>
      </c>
      <c r="F977" s="67">
        <f t="shared" si="170"/>
        <v>154138.16000000387</v>
      </c>
      <c r="G977" s="70">
        <f t="shared" si="171"/>
        <v>2.8942878952542377E-3</v>
      </c>
      <c r="H977" s="70"/>
      <c r="I977" s="70"/>
      <c r="J977" s="67">
        <f t="shared" si="167"/>
        <v>-1548593.0399999991</v>
      </c>
      <c r="K977" s="70">
        <f t="shared" si="178"/>
        <v>-2.8177386160901041E-2</v>
      </c>
      <c r="L977" s="70">
        <f t="shared" si="177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79"/>
        <v>6077898.5100000054</v>
      </c>
      <c r="R977" s="70">
        <f t="shared" si="180"/>
        <v>0.12695019576065875</v>
      </c>
      <c r="S977" s="67">
        <f t="shared" si="181"/>
        <v>14815990.660000004</v>
      </c>
      <c r="T977" s="70">
        <f t="shared" si="182"/>
        <v>0.39906425234821724</v>
      </c>
      <c r="U977" s="67">
        <f t="shared" si="183"/>
        <v>20314615.960000001</v>
      </c>
      <c r="V977" s="70">
        <f t="shared" si="184"/>
        <v>0.63466424697194368</v>
      </c>
      <c r="W977" s="87">
        <f t="shared" si="185"/>
        <v>-0.67444592984263718</v>
      </c>
      <c r="X977" s="142">
        <f t="shared" si="193"/>
        <v>1.7857142857142857E-4</v>
      </c>
      <c r="Y977" s="139">
        <f t="shared" si="186"/>
        <v>2.7157164666828091E-3</v>
      </c>
      <c r="Z977" s="139">
        <f t="shared" si="187"/>
        <v>0</v>
      </c>
      <c r="AA977" s="139">
        <f t="shared" si="188"/>
        <v>0</v>
      </c>
      <c r="AB977" s="144">
        <f t="shared" si="189"/>
        <v>7.197950732963549</v>
      </c>
      <c r="AC977" s="144">
        <f t="shared" si="190"/>
        <v>-3.5374842095046488E-2</v>
      </c>
      <c r="AD977" s="144">
        <f t="shared" si="191"/>
        <v>-4.5462261478081516E-2</v>
      </c>
      <c r="AE977" s="144">
        <f t="shared" si="192"/>
        <v>-3.4635461934176139E-2</v>
      </c>
    </row>
    <row r="978" spans="1:31">
      <c r="A978" s="88">
        <v>45391</v>
      </c>
      <c r="B978" s="78">
        <v>53587856.920000002</v>
      </c>
      <c r="D978" s="67">
        <f t="shared" si="169"/>
        <v>53587856.920000002</v>
      </c>
      <c r="E978" s="67">
        <f t="shared" si="166"/>
        <v>54958718.710000001</v>
      </c>
      <c r="F978" s="67">
        <f t="shared" si="170"/>
        <v>177731.25</v>
      </c>
      <c r="G978" s="70">
        <f t="shared" si="171"/>
        <v>3.3276695714616169E-3</v>
      </c>
      <c r="H978" s="70"/>
      <c r="I978" s="70"/>
      <c r="J978" s="67">
        <f t="shared" si="167"/>
        <v>-1370861.7899999991</v>
      </c>
      <c r="K978" s="70">
        <f t="shared" si="178"/>
        <v>-2.4943481619970287E-2</v>
      </c>
      <c r="L978" s="70">
        <f t="shared" si="177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79"/>
        <v>6358233.4299999997</v>
      </c>
      <c r="R978" s="70">
        <f t="shared" si="180"/>
        <v>0.13291956768033181</v>
      </c>
      <c r="S978" s="67">
        <f t="shared" si="181"/>
        <v>16025876.260000005</v>
      </c>
      <c r="T978" s="70">
        <f t="shared" si="182"/>
        <v>0.43317952836559231</v>
      </c>
      <c r="U978" s="67">
        <f t="shared" si="183"/>
        <v>20055135.530000001</v>
      </c>
      <c r="V978" s="70">
        <f t="shared" si="184"/>
        <v>0.64100207411335886</v>
      </c>
      <c r="W978" s="87">
        <f t="shared" si="185"/>
        <v>-0.63346854761075566</v>
      </c>
      <c r="X978" s="142">
        <f t="shared" si="193"/>
        <v>1.7857142857142857E-4</v>
      </c>
      <c r="Y978" s="139">
        <f t="shared" si="186"/>
        <v>3.1490981428901883E-3</v>
      </c>
      <c r="Z978" s="139">
        <f t="shared" si="187"/>
        <v>0</v>
      </c>
      <c r="AA978" s="139">
        <f t="shared" si="188"/>
        <v>0</v>
      </c>
      <c r="AB978" s="144">
        <f t="shared" si="189"/>
        <v>7.4296725518862283</v>
      </c>
      <c r="AC978" s="144">
        <f t="shared" si="190"/>
        <v>-3.470884359711647E-2</v>
      </c>
      <c r="AD978" s="144">
        <f t="shared" si="191"/>
        <v>-4.5404956360575129E-2</v>
      </c>
      <c r="AE978" s="144">
        <f t="shared" si="192"/>
        <v>-3.4455702038121053E-2</v>
      </c>
    </row>
    <row r="979" spans="1:31">
      <c r="A979" s="88">
        <v>45392</v>
      </c>
      <c r="B979" s="78">
        <v>51021853.770000003</v>
      </c>
      <c r="D979" s="67">
        <f t="shared" si="169"/>
        <v>51021853.770000003</v>
      </c>
      <c r="E979" s="67">
        <f t="shared" si="166"/>
        <v>54958718.710000001</v>
      </c>
      <c r="F979" s="67">
        <f t="shared" si="170"/>
        <v>-2566003.1499999985</v>
      </c>
      <c r="G979" s="70">
        <f t="shared" si="171"/>
        <v>-4.788404122655477E-2</v>
      </c>
      <c r="H979" s="70"/>
      <c r="I979" s="70"/>
      <c r="J979" s="67">
        <f t="shared" si="167"/>
        <v>-3936864.9399999976</v>
      </c>
      <c r="K979" s="70">
        <f t="shared" si="178"/>
        <v>-7.1633128144300562E-2</v>
      </c>
      <c r="L979" s="70">
        <f t="shared" si="177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79"/>
        <v>4127529.3500000015</v>
      </c>
      <c r="R979" s="70">
        <f t="shared" si="180"/>
        <v>8.720336222606774E-2</v>
      </c>
      <c r="S979" s="67">
        <f t="shared" si="181"/>
        <v>12844018.900000006</v>
      </c>
      <c r="T979" s="70">
        <f t="shared" si="182"/>
        <v>0.33279716974281287</v>
      </c>
      <c r="U979" s="67">
        <f t="shared" si="183"/>
        <v>17833263.210000005</v>
      </c>
      <c r="V979" s="70">
        <f t="shared" si="184"/>
        <v>0.53884237971447768</v>
      </c>
      <c r="W979" s="87">
        <f t="shared" si="185"/>
        <v>-1.1046361280340815</v>
      </c>
      <c r="X979" s="142">
        <f t="shared" si="193"/>
        <v>1.7857142857142857E-4</v>
      </c>
      <c r="Y979" s="139">
        <f t="shared" si="186"/>
        <v>-4.8062612655126201E-2</v>
      </c>
      <c r="Z979" s="139">
        <f t="shared" si="187"/>
        <v>-4.8062612655126201E-2</v>
      </c>
      <c r="AA979" s="139">
        <f t="shared" si="188"/>
        <v>2.310014735236697E-3</v>
      </c>
      <c r="AB979" s="144">
        <f t="shared" si="189"/>
        <v>6.3111367042854898</v>
      </c>
      <c r="AC979" s="144">
        <f t="shared" si="190"/>
        <v>-3.918541835247169E-2</v>
      </c>
      <c r="AD979" s="144">
        <f t="shared" si="191"/>
        <v>-4.6170539645990043E-2</v>
      </c>
      <c r="AE979" s="144">
        <f t="shared" si="192"/>
        <v>-3.4857940515183455E-2</v>
      </c>
    </row>
    <row r="980" spans="1:31">
      <c r="A980" s="88">
        <v>45393</v>
      </c>
      <c r="B980" s="78">
        <v>54085413.049999997</v>
      </c>
      <c r="D980" s="67">
        <f t="shared" si="169"/>
        <v>54085413.049999997</v>
      </c>
      <c r="E980" s="67">
        <f t="shared" si="166"/>
        <v>54958718.710000001</v>
      </c>
      <c r="F980" s="67">
        <f t="shared" si="170"/>
        <v>3063559.2799999937</v>
      </c>
      <c r="G980" s="70">
        <f t="shared" si="171"/>
        <v>6.0044060606071419E-2</v>
      </c>
      <c r="H980" s="70"/>
      <c r="I980" s="70"/>
      <c r="J980" s="67">
        <f t="shared" si="167"/>
        <v>-873305.66000000387</v>
      </c>
      <c r="K980" s="70">
        <f t="shared" si="178"/>
        <v>-1.5890211425927947E-2</v>
      </c>
      <c r="L980" s="70">
        <f t="shared" si="177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79"/>
        <v>6915154.8900000006</v>
      </c>
      <c r="R980" s="70">
        <f t="shared" si="180"/>
        <v>0.14641562602048175</v>
      </c>
      <c r="S980" s="67">
        <f t="shared" si="181"/>
        <v>16536350.57</v>
      </c>
      <c r="T980" s="70">
        <f t="shared" si="182"/>
        <v>0.44024170928796813</v>
      </c>
      <c r="U980" s="67">
        <f t="shared" si="183"/>
        <v>20423134.469999999</v>
      </c>
      <c r="V980" s="70">
        <f t="shared" si="184"/>
        <v>0.60905090978063314</v>
      </c>
      <c r="W980" s="87">
        <f t="shared" si="185"/>
        <v>-0.45268301376302517</v>
      </c>
      <c r="X980" s="142">
        <f t="shared" si="193"/>
        <v>1.7857142857142857E-4</v>
      </c>
      <c r="Y980" s="139">
        <f t="shared" si="186"/>
        <v>5.9865489177499988E-2</v>
      </c>
      <c r="Z980" s="139">
        <f t="shared" si="187"/>
        <v>0</v>
      </c>
      <c r="AA980" s="139">
        <f t="shared" si="188"/>
        <v>0</v>
      </c>
      <c r="AB980" s="144">
        <f t="shared" si="189"/>
        <v>7.3576198989382826</v>
      </c>
      <c r="AC980" s="144">
        <f t="shared" si="190"/>
        <v>-4.0571829499422896E-2</v>
      </c>
      <c r="AD980" s="144">
        <f t="shared" si="191"/>
        <v>-4.6632546159236801E-2</v>
      </c>
      <c r="AE980" s="144">
        <f t="shared" si="192"/>
        <v>-3.5007261139477774E-2</v>
      </c>
    </row>
    <row r="981" spans="1:31">
      <c r="A981" s="88">
        <v>45394</v>
      </c>
      <c r="B981" s="78">
        <v>49126001.969999999</v>
      </c>
      <c r="D981" s="67">
        <f t="shared" si="169"/>
        <v>49126001.969999999</v>
      </c>
      <c r="E981" s="67">
        <f t="shared" si="166"/>
        <v>54958718.710000001</v>
      </c>
      <c r="F981" s="67">
        <f t="shared" si="170"/>
        <v>-4959411.0799999982</v>
      </c>
      <c r="G981" s="70">
        <f t="shared" si="171"/>
        <v>-9.169590838504281E-2</v>
      </c>
      <c r="H981" s="70"/>
      <c r="I981" s="70"/>
      <c r="J981" s="67">
        <f t="shared" si="167"/>
        <v>-5832716.7400000021</v>
      </c>
      <c r="K981" s="70">
        <f t="shared" si="178"/>
        <v>-0.10612905243983994</v>
      </c>
      <c r="L981" s="70">
        <f t="shared" si="177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79"/>
        <v>219138.5700000003</v>
      </c>
      <c r="R981" s="70">
        <f t="shared" si="180"/>
        <v>4.6730296834501294E-3</v>
      </c>
      <c r="S981" s="67">
        <f t="shared" si="181"/>
        <v>10335344.399999999</v>
      </c>
      <c r="T981" s="70">
        <f t="shared" si="182"/>
        <v>0.27071583381281461</v>
      </c>
      <c r="U981" s="67">
        <f t="shared" si="183"/>
        <v>15902198.689999998</v>
      </c>
      <c r="V981" s="70">
        <f t="shared" si="184"/>
        <v>0.47914655071751855</v>
      </c>
      <c r="W981" s="87">
        <f t="shared" si="185"/>
        <v>-1.2092196583285386</v>
      </c>
      <c r="X981" s="142">
        <f t="shared" si="193"/>
        <v>1.7857142857142857E-4</v>
      </c>
      <c r="Y981" s="139">
        <f t="shared" si="186"/>
        <v>-9.187447981361424E-2</v>
      </c>
      <c r="Z981" s="139">
        <f t="shared" si="187"/>
        <v>-9.187447981361424E-2</v>
      </c>
      <c r="AA981" s="139">
        <f t="shared" si="188"/>
        <v>8.440920041022211E-3</v>
      </c>
      <c r="AB981" s="144">
        <f t="shared" si="189"/>
        <v>4.9540748794860798</v>
      </c>
      <c r="AC981" s="144">
        <f t="shared" si="190"/>
        <v>-5.2263054904553762E-2</v>
      </c>
      <c r="AD981" s="144">
        <f t="shared" si="191"/>
        <v>-5.0012873412469794E-2</v>
      </c>
      <c r="AE981" s="144">
        <f t="shared" si="192"/>
        <v>-3.6152335282325324E-2</v>
      </c>
    </row>
    <row r="982" spans="1:31">
      <c r="A982" s="88">
        <v>45397</v>
      </c>
      <c r="B982" s="78">
        <v>46705599.299999997</v>
      </c>
      <c r="D982" s="67">
        <f t="shared" si="169"/>
        <v>46705599.299999997</v>
      </c>
      <c r="E982" s="67">
        <f t="shared" ref="E982:E1008" si="194">IF(MONTH(A982)=MONTH(A981),E981,D981)</f>
        <v>54958718.710000001</v>
      </c>
      <c r="F982" s="67">
        <f t="shared" si="170"/>
        <v>-2420402.6700000018</v>
      </c>
      <c r="G982" s="70">
        <f t="shared" si="171"/>
        <v>-4.9269278446027021E-2</v>
      </c>
      <c r="H982" s="70"/>
      <c r="I982" s="70"/>
      <c r="J982" s="67">
        <f t="shared" ref="J982:J1008" si="195">IF(MONTH(A982)=MONTH(A981),J981+F982,F982)</f>
        <v>-8253119.4100000039</v>
      </c>
      <c r="K982" s="70">
        <f t="shared" si="178"/>
        <v>-0.15016942904999553</v>
      </c>
      <c r="L982" s="70">
        <f t="shared" si="177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79"/>
        <v>-2673884.5400000066</v>
      </c>
      <c r="R982" s="70">
        <f t="shared" si="180"/>
        <v>-5.6685815263725639E-2</v>
      </c>
      <c r="S982" s="67">
        <f t="shared" si="181"/>
        <v>7556256.099999994</v>
      </c>
      <c r="T982" s="70">
        <f t="shared" si="182"/>
        <v>0.20123687785879427</v>
      </c>
      <c r="U982" s="67">
        <f t="shared" si="183"/>
        <v>13637165.779999997</v>
      </c>
      <c r="V982" s="70">
        <f t="shared" si="184"/>
        <v>0.405117132745207</v>
      </c>
      <c r="W982" s="87">
        <f t="shared" si="185"/>
        <v>-1.5905834899845119</v>
      </c>
      <c r="X982" s="142">
        <f t="shared" si="193"/>
        <v>1.7857142857142857E-4</v>
      </c>
      <c r="Y982" s="139">
        <f t="shared" si="186"/>
        <v>-4.9447849874598451E-2</v>
      </c>
      <c r="Z982" s="139">
        <f t="shared" si="187"/>
        <v>-4.9447849874598451E-2</v>
      </c>
      <c r="AA982" s="139">
        <f t="shared" si="188"/>
        <v>2.4450898572208261E-3</v>
      </c>
      <c r="AB982" s="144">
        <f t="shared" si="189"/>
        <v>4.1812718981241312</v>
      </c>
      <c r="AC982" s="144">
        <f t="shared" si="190"/>
        <v>-5.586642686063617E-2</v>
      </c>
      <c r="AD982" s="144">
        <f t="shared" si="191"/>
        <v>-5.1404601468952579E-2</v>
      </c>
      <c r="AE982" s="144">
        <f t="shared" si="192"/>
        <v>-3.6483684569230151E-2</v>
      </c>
    </row>
    <row r="983" spans="1:31">
      <c r="A983" s="88">
        <v>45398</v>
      </c>
      <c r="B983" s="78">
        <v>45847393.68</v>
      </c>
      <c r="D983" s="67">
        <f t="shared" si="169"/>
        <v>45847393.68</v>
      </c>
      <c r="E983" s="67">
        <f t="shared" si="194"/>
        <v>54958718.710000001</v>
      </c>
      <c r="F983" s="67">
        <f t="shared" si="170"/>
        <v>-858205.61999999732</v>
      </c>
      <c r="G983" s="70">
        <f t="shared" si="171"/>
        <v>-1.8374790878660181E-2</v>
      </c>
      <c r="H983" s="70"/>
      <c r="I983" s="70"/>
      <c r="J983" s="67">
        <f t="shared" si="195"/>
        <v>-9111325.0300000012</v>
      </c>
      <c r="K983" s="70">
        <f t="shared" si="178"/>
        <v>-0.16578488807349434</v>
      </c>
      <c r="L983" s="70">
        <f t="shared" si="177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79"/>
        <v>-2636528.2800000012</v>
      </c>
      <c r="R983" s="70">
        <f t="shared" si="180"/>
        <v>-5.3909167276509525E-2</v>
      </c>
      <c r="S983" s="67">
        <f t="shared" si="181"/>
        <v>6122199.6499999985</v>
      </c>
      <c r="T983" s="70">
        <f t="shared" si="182"/>
        <v>0.15782665294993087</v>
      </c>
      <c r="U983" s="67">
        <f t="shared" si="183"/>
        <v>12749346.280000001</v>
      </c>
      <c r="V983" s="70">
        <f t="shared" si="184"/>
        <v>0.38374132463259641</v>
      </c>
      <c r="W983" s="87">
        <f t="shared" si="185"/>
        <v>-1.7304830762084829</v>
      </c>
      <c r="X983" s="142">
        <f t="shared" si="193"/>
        <v>1.7857142857142857E-4</v>
      </c>
      <c r="Y983" s="139">
        <f t="shared" si="186"/>
        <v>-1.8553362307231609E-2</v>
      </c>
      <c r="Z983" s="139">
        <f t="shared" si="187"/>
        <v>-1.8553362307231609E-2</v>
      </c>
      <c r="AA983" s="139">
        <f t="shared" si="188"/>
        <v>3.442272529034026E-4</v>
      </c>
      <c r="AB983" s="144">
        <f t="shared" si="189"/>
        <v>4.0803470555972208</v>
      </c>
      <c r="AC983" s="144">
        <f t="shared" si="190"/>
        <v>-5.6852213719398345E-2</v>
      </c>
      <c r="AD983" s="144">
        <f t="shared" si="191"/>
        <v>-5.1804808589151777E-2</v>
      </c>
      <c r="AE983" s="144">
        <f t="shared" si="192"/>
        <v>-3.655505460168737E-2</v>
      </c>
    </row>
    <row r="984" spans="1:31">
      <c r="A984" s="88">
        <v>45399</v>
      </c>
      <c r="B984" s="78">
        <v>42944863.299999997</v>
      </c>
      <c r="D984" s="67">
        <f t="shared" si="169"/>
        <v>42944863.299999997</v>
      </c>
      <c r="E984" s="67">
        <f t="shared" si="194"/>
        <v>54958718.710000001</v>
      </c>
      <c r="F984" s="67">
        <f t="shared" si="170"/>
        <v>-2902530.3800000027</v>
      </c>
      <c r="G984" s="70">
        <f t="shared" si="171"/>
        <v>-6.3308514334723745E-2</v>
      </c>
      <c r="H984" s="70"/>
      <c r="I984" s="70"/>
      <c r="J984" s="67">
        <f t="shared" si="195"/>
        <v>-12013855.410000004</v>
      </c>
      <c r="K984" s="70">
        <f t="shared" si="178"/>
        <v>-0.21859780744513668</v>
      </c>
      <c r="L984" s="70">
        <f t="shared" si="177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79"/>
        <v>-6846841</v>
      </c>
      <c r="R984" s="70">
        <f t="shared" si="180"/>
        <v>-0.13865760570088614</v>
      </c>
      <c r="S984" s="67">
        <f t="shared" si="181"/>
        <v>1807897.5399999991</v>
      </c>
      <c r="T984" s="70">
        <f t="shared" si="182"/>
        <v>4.6179511384497482E-2</v>
      </c>
      <c r="U984" s="67">
        <f t="shared" si="183"/>
        <v>10235021.449999996</v>
      </c>
      <c r="V984" s="70">
        <f t="shared" si="184"/>
        <v>0.3095103202820233</v>
      </c>
      <c r="W984" s="87">
        <f t="shared" si="185"/>
        <v>-2.1661866753435559</v>
      </c>
      <c r="X984" s="142">
        <f t="shared" si="193"/>
        <v>1.7857142857142857E-4</v>
      </c>
      <c r="Y984" s="139">
        <f t="shared" si="186"/>
        <v>-6.3487085763295176E-2</v>
      </c>
      <c r="Z984" s="139">
        <f t="shared" si="187"/>
        <v>-6.3487085763295176E-2</v>
      </c>
      <c r="AA984" s="139">
        <f t="shared" si="188"/>
        <v>4.0306100587159969E-3</v>
      </c>
      <c r="AB984" s="144">
        <f t="shared" si="189"/>
        <v>2.5400102694972517</v>
      </c>
      <c r="AC984" s="144">
        <f t="shared" si="190"/>
        <v>-6.1157680911040541E-2</v>
      </c>
      <c r="AD984" s="144">
        <f t="shared" si="191"/>
        <v>-5.3780767167830042E-2</v>
      </c>
      <c r="AE984" s="144">
        <f t="shared" si="192"/>
        <v>-3.7136704377186365E-2</v>
      </c>
    </row>
    <row r="985" spans="1:31">
      <c r="A985" s="88">
        <v>45400</v>
      </c>
      <c r="B985" s="78">
        <v>42064797.170000002</v>
      </c>
      <c r="D985" s="67">
        <f t="shared" si="169"/>
        <v>42064797.170000002</v>
      </c>
      <c r="E985" s="67">
        <f t="shared" si="194"/>
        <v>54958718.710000001</v>
      </c>
      <c r="F985" s="67">
        <f t="shared" si="170"/>
        <v>-880066.12999999523</v>
      </c>
      <c r="G985" s="70">
        <f t="shared" si="171"/>
        <v>-2.0492931223278461E-2</v>
      </c>
      <c r="H985" s="70"/>
      <c r="I985" s="70"/>
      <c r="J985" s="67">
        <f t="shared" si="195"/>
        <v>-12893921.539999999</v>
      </c>
      <c r="K985" s="70">
        <f t="shared" si="178"/>
        <v>-0.2346110288348825</v>
      </c>
      <c r="L985" s="70">
        <f t="shared" si="177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79"/>
        <v>-9072341.5899999961</v>
      </c>
      <c r="R985" s="70">
        <f t="shared" si="180"/>
        <v>-0.18712062108929267</v>
      </c>
      <c r="S985" s="67">
        <f t="shared" si="181"/>
        <v>-4819852.6599999964</v>
      </c>
      <c r="T985" s="70">
        <f t="shared" si="182"/>
        <v>-0.12132987082102356</v>
      </c>
      <c r="U985" s="67">
        <f t="shared" si="183"/>
        <v>8866526.9100000001</v>
      </c>
      <c r="V985" s="70">
        <f t="shared" si="184"/>
        <v>0.26788670651308572</v>
      </c>
      <c r="W985" s="87">
        <f t="shared" si="185"/>
        <v>-2.3097332892040314</v>
      </c>
      <c r="X985" s="142">
        <f t="shared" si="193"/>
        <v>1.7857142857142857E-4</v>
      </c>
      <c r="Y985" s="139">
        <f t="shared" si="186"/>
        <v>-2.0671502651849888E-2</v>
      </c>
      <c r="Z985" s="139">
        <f t="shared" si="187"/>
        <v>-2.0671502651849888E-2</v>
      </c>
      <c r="AA985" s="139">
        <f t="shared" si="188"/>
        <v>4.2731102188543697E-4</v>
      </c>
      <c r="AB985" s="144">
        <f t="shared" si="189"/>
        <v>1.9113190577196275</v>
      </c>
      <c r="AC985" s="144">
        <f t="shared" si="190"/>
        <v>-6.1995986969980328E-2</v>
      </c>
      <c r="AD985" s="144">
        <f t="shared" si="191"/>
        <v>-5.4165381131790993E-2</v>
      </c>
      <c r="AE985" s="144">
        <f t="shared" si="192"/>
        <v>-3.7189647039886899E-2</v>
      </c>
    </row>
    <row r="986" spans="1:31">
      <c r="A986" s="88">
        <v>45401</v>
      </c>
      <c r="B986" s="78">
        <v>38769186.829999998</v>
      </c>
      <c r="D986" s="67">
        <f t="shared" si="169"/>
        <v>38769186.829999998</v>
      </c>
      <c r="E986" s="67">
        <f t="shared" si="194"/>
        <v>54958718.710000001</v>
      </c>
      <c r="F986" s="67">
        <f t="shared" si="170"/>
        <v>-3295610.3400000036</v>
      </c>
      <c r="G986" s="70">
        <f t="shared" si="171"/>
        <v>-7.8346041386605919E-2</v>
      </c>
      <c r="H986" s="70"/>
      <c r="I986" s="70"/>
      <c r="J986" s="67">
        <f t="shared" si="195"/>
        <v>-16189531.880000003</v>
      </c>
      <c r="K986" s="70">
        <f t="shared" si="178"/>
        <v>-0.29457622484663659</v>
      </c>
      <c r="L986" s="70">
        <f t="shared" si="177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79"/>
        <v>-11467145.880000003</v>
      </c>
      <c r="R986" s="70">
        <f t="shared" si="180"/>
        <v>-0.23030233733132136</v>
      </c>
      <c r="S986" s="67">
        <f t="shared" si="181"/>
        <v>-10712988.060000002</v>
      </c>
      <c r="T986" s="70">
        <f t="shared" si="182"/>
        <v>-0.26042241721232878</v>
      </c>
      <c r="U986" s="67">
        <f t="shared" si="183"/>
        <v>5241265.5299999975</v>
      </c>
      <c r="V986" s="70">
        <f t="shared" si="184"/>
        <v>0.16023512293441422</v>
      </c>
      <c r="W986" s="87">
        <f t="shared" si="185"/>
        <v>-2.7701289630596184</v>
      </c>
      <c r="X986" s="142">
        <f t="shared" si="193"/>
        <v>1.7857142857142857E-4</v>
      </c>
      <c r="Y986" s="139">
        <f t="shared" si="186"/>
        <v>-7.852461281517735E-2</v>
      </c>
      <c r="Z986" s="139">
        <f t="shared" si="187"/>
        <v>-7.852461281517735E-2</v>
      </c>
      <c r="AA986" s="139">
        <f t="shared" si="188"/>
        <v>6.166114817773515E-3</v>
      </c>
      <c r="AB986" s="144">
        <f t="shared" si="189"/>
        <v>1.1764162459473919</v>
      </c>
      <c r="AC986" s="144">
        <f t="shared" si="190"/>
        <v>-6.8466406897128157E-2</v>
      </c>
      <c r="AD986" s="144">
        <f t="shared" si="191"/>
        <v>-5.2462395111610084E-2</v>
      </c>
      <c r="AE986" s="144">
        <f t="shared" si="192"/>
        <v>-3.8031321656299098E-2</v>
      </c>
    </row>
    <row r="987" spans="1:31">
      <c r="A987" s="88">
        <v>45404</v>
      </c>
      <c r="B987" s="78">
        <v>40992184.68</v>
      </c>
      <c r="D987" s="67">
        <f t="shared" si="169"/>
        <v>40992184.68</v>
      </c>
      <c r="E987" s="67">
        <f t="shared" si="194"/>
        <v>54958718.710000001</v>
      </c>
      <c r="F987" s="67">
        <f t="shared" si="170"/>
        <v>2222997.8500000015</v>
      </c>
      <c r="G987" s="70">
        <f t="shared" si="171"/>
        <v>5.733929524360884E-2</v>
      </c>
      <c r="H987" s="70"/>
      <c r="I987" s="70"/>
      <c r="J987" s="67">
        <f t="shared" si="195"/>
        <v>-13966534.030000001</v>
      </c>
      <c r="K987" s="70">
        <f t="shared" si="178"/>
        <v>-0.25412772273125672</v>
      </c>
      <c r="L987" s="70">
        <f t="shared" si="177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79"/>
        <v>-7912405.799999997</v>
      </c>
      <c r="R987" s="70">
        <f t="shared" si="180"/>
        <v>-0.15472914581973371</v>
      </c>
      <c r="S987" s="67">
        <f t="shared" si="181"/>
        <v>-7918263.7808300033</v>
      </c>
      <c r="T987" s="70">
        <f t="shared" si="182"/>
        <v>-0.16888819282091252</v>
      </c>
      <c r="U987" s="67">
        <f t="shared" si="183"/>
        <v>7310979.0200000033</v>
      </c>
      <c r="V987" s="70">
        <f t="shared" si="184"/>
        <v>0.22022168512824206</v>
      </c>
      <c r="W987" s="87">
        <f>O987/P987</f>
        <v>-2.248901891946566</v>
      </c>
      <c r="X987" s="142">
        <f t="shared" si="193"/>
        <v>1.7857142857142857E-4</v>
      </c>
      <c r="Y987" s="139">
        <f t="shared" si="186"/>
        <v>5.7160723815037409E-2</v>
      </c>
      <c r="Z987" s="139">
        <f t="shared" si="187"/>
        <v>0</v>
      </c>
      <c r="AA987" s="139">
        <f t="shared" si="188"/>
        <v>0</v>
      </c>
      <c r="AB987" s="144">
        <f t="shared" si="189"/>
        <v>1.7207419961966197</v>
      </c>
      <c r="AC987" s="144">
        <f t="shared" si="190"/>
        <v>-6.9360188684141663E-2</v>
      </c>
      <c r="AD987" s="144">
        <f t="shared" si="191"/>
        <v>-5.2510833216810528E-2</v>
      </c>
      <c r="AE987" s="144">
        <f t="shared" si="192"/>
        <v>-3.8203658743035093E-2</v>
      </c>
    </row>
    <row r="988" spans="1:31">
      <c r="A988" s="88">
        <v>45405</v>
      </c>
      <c r="B988" s="78">
        <v>43830529.549999997</v>
      </c>
      <c r="D988" s="67">
        <f t="shared" si="169"/>
        <v>43830529.549999997</v>
      </c>
      <c r="E988" s="67">
        <f t="shared" si="194"/>
        <v>54958718.710000001</v>
      </c>
      <c r="F988" s="67">
        <f t="shared" si="170"/>
        <v>2838344.8699999973</v>
      </c>
      <c r="G988" s="70">
        <f t="shared" si="171"/>
        <v>6.9241122232375676E-2</v>
      </c>
      <c r="H988" s="70"/>
      <c r="I988" s="70"/>
      <c r="J988" s="67">
        <f t="shared" si="195"/>
        <v>-11128189.160000004</v>
      </c>
      <c r="K988" s="70">
        <f t="shared" si="178"/>
        <v>-0.20248268921115131</v>
      </c>
      <c r="L988" s="70">
        <f t="shared" si="177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79"/>
        <v>-6600382.5900000036</v>
      </c>
      <c r="R988" s="70">
        <f t="shared" si="180"/>
        <v>-0.1313866326210977</v>
      </c>
      <c r="S988" s="67">
        <f t="shared" si="181"/>
        <v>-5464192.4100000039</v>
      </c>
      <c r="T988" s="70">
        <f t="shared" si="182"/>
        <v>-0.11042749075090227</v>
      </c>
      <c r="U988" s="67">
        <f t="shared" si="183"/>
        <v>10358107.369999997</v>
      </c>
      <c r="V988" s="70">
        <f t="shared" si="184"/>
        <v>0.30893974241105121</v>
      </c>
      <c r="W988" s="87">
        <f t="shared" si="185"/>
        <v>-1.6648494209620861</v>
      </c>
      <c r="X988" s="142">
        <f t="shared" si="193"/>
        <v>1.7857142857142857E-4</v>
      </c>
      <c r="Y988" s="139">
        <f t="shared" si="186"/>
        <v>6.9062550803804246E-2</v>
      </c>
      <c r="Z988" s="139">
        <f t="shared" si="187"/>
        <v>0</v>
      </c>
      <c r="AA988" s="139">
        <f t="shared" si="188"/>
        <v>0</v>
      </c>
      <c r="AB988" s="144">
        <f t="shared" si="189"/>
        <v>2.6993633917748672</v>
      </c>
      <c r="AC988" s="144">
        <f t="shared" si="190"/>
        <v>-7.0064052126932147E-2</v>
      </c>
      <c r="AD988" s="144">
        <f t="shared" si="191"/>
        <v>-5.3125619444278918E-2</v>
      </c>
      <c r="AE988" s="144">
        <f t="shared" si="192"/>
        <v>-3.8473212740325585E-2</v>
      </c>
    </row>
    <row r="989" spans="1:31">
      <c r="A989" s="88">
        <v>45406</v>
      </c>
      <c r="B989" s="78">
        <v>44070358.350000001</v>
      </c>
      <c r="D989" s="67">
        <f t="shared" si="169"/>
        <v>44070358.350000001</v>
      </c>
      <c r="E989" s="67">
        <f t="shared" si="194"/>
        <v>54958718.710000001</v>
      </c>
      <c r="F989" s="67">
        <f t="shared" si="170"/>
        <v>239828.80000000447</v>
      </c>
      <c r="G989" s="70">
        <f t="shared" si="171"/>
        <v>5.4717294648794516E-3</v>
      </c>
      <c r="H989" s="70"/>
      <c r="I989" s="70"/>
      <c r="J989" s="67">
        <f t="shared" si="195"/>
        <v>-10888360.359999999</v>
      </c>
      <c r="K989" s="70">
        <f t="shared" si="178"/>
        <v>-0.19811889024295659</v>
      </c>
      <c r="L989" s="70">
        <f t="shared" si="177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79"/>
        <v>-5213941.0799999982</v>
      </c>
      <c r="R989" s="70">
        <f t="shared" si="180"/>
        <v>-0.10661455353832867</v>
      </c>
      <c r="S989" s="67">
        <f t="shared" si="181"/>
        <v>-8012162.0300000012</v>
      </c>
      <c r="T989" s="70">
        <f t="shared" si="182"/>
        <v>-0.16381289238058308</v>
      </c>
      <c r="U989" s="67">
        <f t="shared" si="183"/>
        <v>11182713.700000003</v>
      </c>
      <c r="V989" s="70">
        <f t="shared" si="184"/>
        <v>0.33201643114814805</v>
      </c>
      <c r="W989" s="87">
        <f t="shared" si="185"/>
        <v>-1.6162642934796518</v>
      </c>
      <c r="X989" s="142">
        <f t="shared" si="193"/>
        <v>1.7857142857142857E-4</v>
      </c>
      <c r="Y989" s="139">
        <f t="shared" si="186"/>
        <v>5.2931580363080226E-3</v>
      </c>
      <c r="Z989" s="139">
        <f t="shared" si="187"/>
        <v>0</v>
      </c>
      <c r="AA989" s="139">
        <f t="shared" si="188"/>
        <v>0</v>
      </c>
      <c r="AB989" s="144">
        <f t="shared" si="189"/>
        <v>2.7925676865361249</v>
      </c>
      <c r="AC989" s="144">
        <f t="shared" si="190"/>
        <v>-7.0054269089845245E-2</v>
      </c>
      <c r="AD989" s="144">
        <f t="shared" si="191"/>
        <v>-5.3140092638448051E-2</v>
      </c>
      <c r="AE989" s="144">
        <f t="shared" si="192"/>
        <v>-3.8438741286091371E-2</v>
      </c>
    </row>
    <row r="990" spans="1:31">
      <c r="A990" s="88">
        <v>45407</v>
      </c>
      <c r="B990" s="78">
        <v>44821425.310000002</v>
      </c>
      <c r="D990" s="67">
        <f t="shared" si="169"/>
        <v>44821425.310000002</v>
      </c>
      <c r="E990" s="67">
        <f t="shared" si="194"/>
        <v>54958718.710000001</v>
      </c>
      <c r="F990" s="67">
        <f t="shared" si="170"/>
        <v>751066.96000000089</v>
      </c>
      <c r="G990" s="70">
        <f t="shared" si="171"/>
        <v>1.7042451845640617E-2</v>
      </c>
      <c r="H990" s="70"/>
      <c r="I990" s="70"/>
      <c r="J990" s="67">
        <f t="shared" si="195"/>
        <v>-10137293.399999999</v>
      </c>
      <c r="K990" s="70">
        <f t="shared" si="178"/>
        <v>-0.18445287004399324</v>
      </c>
      <c r="L990" s="70">
        <f t="shared" si="177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79"/>
        <v>-3628704.0300000012</v>
      </c>
      <c r="R990" s="70">
        <f t="shared" si="180"/>
        <v>-7.1953963868954945E-2</v>
      </c>
      <c r="S990" s="67">
        <f t="shared" si="181"/>
        <v>-2834560.0899999961</v>
      </c>
      <c r="T990" s="70">
        <f t="shared" si="182"/>
        <v>-5.7502304045858869E-2</v>
      </c>
      <c r="U990" s="67">
        <f t="shared" si="183"/>
        <v>12115768.550000001</v>
      </c>
      <c r="V990" s="70">
        <f t="shared" si="184"/>
        <v>0.36196270723542845</v>
      </c>
      <c r="W990" s="87">
        <f>O990/P990</f>
        <v>-1.4859302323692805</v>
      </c>
      <c r="X990" s="142">
        <f t="shared" si="193"/>
        <v>1.7857142857142857E-4</v>
      </c>
      <c r="Y990" s="139">
        <f t="shared" si="186"/>
        <v>1.6863880417069189E-2</v>
      </c>
      <c r="Z990" s="139">
        <f t="shared" si="187"/>
        <v>0</v>
      </c>
      <c r="AA990" s="139">
        <f t="shared" si="188"/>
        <v>0</v>
      </c>
      <c r="AB990" s="144">
        <f t="shared" si="189"/>
        <v>2.8067759192453052</v>
      </c>
      <c r="AC990" s="144">
        <f t="shared" si="190"/>
        <v>-6.8845768598961563E-2</v>
      </c>
      <c r="AD990" s="144">
        <f t="shared" si="191"/>
        <v>-5.2660394263796401E-2</v>
      </c>
      <c r="AE990" s="144">
        <f t="shared" si="192"/>
        <v>-3.8337363636305632E-2</v>
      </c>
    </row>
    <row r="991" spans="1:31">
      <c r="A991" s="88">
        <v>45408</v>
      </c>
      <c r="B991" s="78">
        <v>47991336.32</v>
      </c>
      <c r="D991" s="67">
        <f t="shared" si="169"/>
        <v>47991336.32</v>
      </c>
      <c r="E991" s="67">
        <f t="shared" si="194"/>
        <v>54958718.710000001</v>
      </c>
      <c r="F991" s="67">
        <f t="shared" si="170"/>
        <v>3169911.0099999979</v>
      </c>
      <c r="G991" s="70">
        <f t="shared" si="171"/>
        <v>7.0723119313494176E-2</v>
      </c>
      <c r="H991" s="70"/>
      <c r="I991" s="70"/>
      <c r="J991" s="67">
        <f t="shared" si="195"/>
        <v>-6967382.3900000006</v>
      </c>
      <c r="K991" s="70">
        <f t="shared" si="178"/>
        <v>-0.12677483306633675</v>
      </c>
      <c r="L991" s="70">
        <f t="shared" si="177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79"/>
        <v>370607.92000000179</v>
      </c>
      <c r="R991" s="70">
        <f t="shared" si="180"/>
        <v>7.5197968579504221E-3</v>
      </c>
      <c r="S991" s="67">
        <f t="shared" si="181"/>
        <v>-2785563.6700000018</v>
      </c>
      <c r="T991" s="70">
        <f t="shared" si="182"/>
        <v>-5.3483657274575269E-2</v>
      </c>
      <c r="U991" s="67">
        <f t="shared" si="183"/>
        <v>13964550.25</v>
      </c>
      <c r="V991" s="70">
        <f t="shared" si="184"/>
        <v>0.42461387547253254</v>
      </c>
      <c r="W991" s="87">
        <f t="shared" si="185"/>
        <v>-0.96141299451631856</v>
      </c>
      <c r="X991" s="142">
        <f t="shared" si="193"/>
        <v>1.7857142857142857E-4</v>
      </c>
      <c r="Y991" s="139">
        <f t="shared" si="186"/>
        <v>7.0544547884922745E-2</v>
      </c>
      <c r="Z991" s="139">
        <f t="shared" si="187"/>
        <v>0</v>
      </c>
      <c r="AA991" s="139">
        <f t="shared" si="188"/>
        <v>0</v>
      </c>
      <c r="AB991" s="144">
        <f t="shared" si="189"/>
        <v>3.8357824444714765</v>
      </c>
      <c r="AC991" s="144">
        <f t="shared" si="190"/>
        <v>-6.9574993976112873E-2</v>
      </c>
      <c r="AD991" s="144">
        <f t="shared" si="191"/>
        <v>-5.0391336694776148E-2</v>
      </c>
      <c r="AE991" s="144">
        <f t="shared" si="192"/>
        <v>-3.8582766999907793E-2</v>
      </c>
    </row>
    <row r="992" spans="1:31">
      <c r="A992" s="88">
        <v>45411</v>
      </c>
      <c r="B992" s="78">
        <v>48790788.32</v>
      </c>
      <c r="D992" s="67">
        <f t="shared" si="169"/>
        <v>48790788.32</v>
      </c>
      <c r="E992" s="67">
        <f t="shared" si="194"/>
        <v>54958718.710000001</v>
      </c>
      <c r="F992" s="67">
        <f t="shared" si="170"/>
        <v>799452</v>
      </c>
      <c r="G992" s="70">
        <f t="shared" si="171"/>
        <v>1.6658256704280078E-2</v>
      </c>
      <c r="H992" s="70"/>
      <c r="I992" s="70"/>
      <c r="J992" s="67">
        <f t="shared" si="195"/>
        <v>-6167930.3900000006</v>
      </c>
      <c r="K992" s="70">
        <f t="shared" si="178"/>
        <v>-0.11222842407491795</v>
      </c>
      <c r="L992" s="70">
        <f t="shared" si="177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79"/>
        <v>559974.5700000003</v>
      </c>
      <c r="R992" s="70">
        <f t="shared" si="180"/>
        <v>1.1557751808470204E-2</v>
      </c>
      <c r="S992" s="67">
        <f t="shared" si="181"/>
        <v>-2517554.6300000027</v>
      </c>
      <c r="T992" s="70">
        <f t="shared" si="182"/>
        <v>-5.2827669155698601E-2</v>
      </c>
      <c r="U992" s="67">
        <f t="shared" si="183"/>
        <v>14458807.329999998</v>
      </c>
      <c r="V992" s="70">
        <f t="shared" si="184"/>
        <v>0.44208888499323923</v>
      </c>
      <c r="W992" s="87">
        <f t="shared" si="185"/>
        <v>-0.84619632963809333</v>
      </c>
      <c r="X992" s="142">
        <f t="shared" si="193"/>
        <v>1.7857142857142857E-4</v>
      </c>
      <c r="Y992" s="139">
        <f t="shared" si="186"/>
        <v>1.6479685275708651E-2</v>
      </c>
      <c r="Z992" s="139">
        <f t="shared" si="187"/>
        <v>0</v>
      </c>
      <c r="AA992" s="139">
        <f t="shared" si="188"/>
        <v>0</v>
      </c>
      <c r="AB992" s="144">
        <f t="shared" si="189"/>
        <v>4.1052467007637166</v>
      </c>
      <c r="AC992" s="144">
        <f t="shared" si="190"/>
        <v>-6.8472749063940463E-2</v>
      </c>
      <c r="AD992" s="144">
        <f t="shared" si="191"/>
        <v>-4.9669257384517836E-2</v>
      </c>
      <c r="AE992" s="144">
        <f t="shared" si="192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69"/>
        <v>45196322.469999999</v>
      </c>
      <c r="E993" s="80">
        <f t="shared" si="194"/>
        <v>54958718.710000001</v>
      </c>
      <c r="F993" s="80">
        <f t="shared" si="170"/>
        <v>-3594465.8500000015</v>
      </c>
      <c r="G993" s="81">
        <f t="shared" si="171"/>
        <v>-7.3670993516753269E-2</v>
      </c>
      <c r="H993" s="81"/>
      <c r="I993" s="81"/>
      <c r="J993" s="80">
        <f t="shared" si="195"/>
        <v>-9762396.2400000021</v>
      </c>
      <c r="K993" s="81">
        <f t="shared" si="178"/>
        <v>-0.17763143808925241</v>
      </c>
      <c r="L993" s="81">
        <f t="shared" si="177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79"/>
        <v>-3374206.3900000006</v>
      </c>
      <c r="R993" s="81">
        <f t="shared" si="180"/>
        <v>-7.0855833234167845E-2</v>
      </c>
      <c r="S993" s="80">
        <f t="shared" si="181"/>
        <v>-6095339.6700000018</v>
      </c>
      <c r="T993" s="81">
        <f t="shared" si="182"/>
        <v>-0.12004158724145068</v>
      </c>
      <c r="U993" s="80">
        <f t="shared" si="183"/>
        <v>10799983.089999996</v>
      </c>
      <c r="V993" s="81">
        <f t="shared" si="184"/>
        <v>0.31739650837967009</v>
      </c>
      <c r="W993" s="136">
        <f t="shared" si="185"/>
        <v>-1.2682050447873532</v>
      </c>
      <c r="X993" s="143">
        <f t="shared" si="193"/>
        <v>1.7857142857142857E-4</v>
      </c>
      <c r="Y993" s="140">
        <f t="shared" si="186"/>
        <v>-7.38495649453247E-2</v>
      </c>
      <c r="Z993" s="140">
        <f t="shared" si="187"/>
        <v>-7.38495649453247E-2</v>
      </c>
      <c r="AA993" s="140">
        <f t="shared" si="188"/>
        <v>5.4537582426137307E-3</v>
      </c>
      <c r="AB993" s="145">
        <f t="shared" si="189"/>
        <v>2.6642952986338071</v>
      </c>
      <c r="AC993" s="145">
        <f t="shared" si="190"/>
        <v>-7.4678206962796354E-2</v>
      </c>
      <c r="AD993" s="145">
        <f t="shared" si="191"/>
        <v>-5.2160682576613257E-2</v>
      </c>
      <c r="AE993" s="145">
        <f t="shared" si="192"/>
        <v>-3.9265080746546631E-2</v>
      </c>
    </row>
    <row r="994" spans="1:31">
      <c r="A994" s="88">
        <v>45413</v>
      </c>
      <c r="B994" s="78">
        <v>43019740.469999999</v>
      </c>
      <c r="D994" s="67">
        <f t="shared" si="169"/>
        <v>43019740.469999999</v>
      </c>
      <c r="E994" s="67">
        <f t="shared" si="194"/>
        <v>45196322.469999999</v>
      </c>
      <c r="F994" s="67">
        <f t="shared" si="170"/>
        <v>-2176582</v>
      </c>
      <c r="G994" s="70">
        <f t="shared" si="171"/>
        <v>-4.8158387254731878E-2</v>
      </c>
      <c r="H994" s="70"/>
      <c r="I994" s="70"/>
      <c r="J994" s="67">
        <f t="shared" si="195"/>
        <v>-2176582</v>
      </c>
      <c r="K994" s="85">
        <f>G994</f>
        <v>-4.8158387254731878E-2</v>
      </c>
      <c r="L994" s="70">
        <f t="shared" si="177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79"/>
        <v>-7624549.1499999985</v>
      </c>
      <c r="R994" s="70">
        <f t="shared" si="180"/>
        <v>-0.15808460519702508</v>
      </c>
      <c r="S994" s="67">
        <f t="shared" si="181"/>
        <v>-10555597.280000001</v>
      </c>
      <c r="T994" s="70">
        <f t="shared" si="182"/>
        <v>-0.20572867243610721</v>
      </c>
      <c r="U994" s="67">
        <f t="shared" si="183"/>
        <v>9308395.9499999955</v>
      </c>
      <c r="V994" s="70">
        <f t="shared" si="184"/>
        <v>0.27112900804387852</v>
      </c>
      <c r="W994" s="87">
        <f t="shared" si="185"/>
        <v>-1.536429819465313</v>
      </c>
      <c r="X994" s="142">
        <f t="shared" si="193"/>
        <v>1.7857142857142857E-4</v>
      </c>
      <c r="Y994" s="139">
        <f t="shared" si="186"/>
        <v>-4.8336958683303309E-2</v>
      </c>
      <c r="Z994" s="139">
        <f t="shared" si="187"/>
        <v>-4.8336958683303309E-2</v>
      </c>
      <c r="AA994" s="139">
        <f t="shared" si="188"/>
        <v>2.3364615747513712E-3</v>
      </c>
      <c r="AB994" s="144">
        <f t="shared" si="189"/>
        <v>1.9412700895880914</v>
      </c>
      <c r="AC994" s="144">
        <f t="shared" si="190"/>
        <v>-7.7700450693419951E-2</v>
      </c>
      <c r="AD994" s="144">
        <f t="shared" si="191"/>
        <v>-5.3324531937345376E-2</v>
      </c>
      <c r="AE994" s="144">
        <f t="shared" si="192"/>
        <v>-3.9623117716486689E-2</v>
      </c>
    </row>
    <row r="995" spans="1:31">
      <c r="A995" s="88">
        <v>45414</v>
      </c>
      <c r="B995" s="78">
        <v>45778333.640000001</v>
      </c>
      <c r="D995" s="151">
        <f t="shared" si="169"/>
        <v>45778333.640000001</v>
      </c>
      <c r="E995" s="67">
        <f t="shared" si="194"/>
        <v>45196322.469999999</v>
      </c>
      <c r="F995" s="67">
        <f t="shared" si="170"/>
        <v>2758593.1700000018</v>
      </c>
      <c r="G995" s="70">
        <f t="shared" si="171"/>
        <v>6.4123891494039076E-2</v>
      </c>
      <c r="H995" s="70"/>
      <c r="I995" s="70"/>
      <c r="J995" s="67">
        <f t="shared" si="195"/>
        <v>582011.17000000179</v>
      </c>
      <c r="K995" s="70">
        <f t="shared" ref="K995:K1007" si="196">(1+K994)*(1+G995)-1</f>
        <v>1.2877401040456649E-2</v>
      </c>
      <c r="L995" s="70">
        <f t="shared" si="177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79"/>
        <v>-6299198.3599999994</v>
      </c>
      <c r="R995" s="70">
        <f t="shared" si="180"/>
        <v>-0.1296917803418787</v>
      </c>
      <c r="S995" s="67">
        <f t="shared" si="181"/>
        <v>-9885672.6899999976</v>
      </c>
      <c r="T995" s="70">
        <f t="shared" si="182"/>
        <v>-0.19273449674953344</v>
      </c>
      <c r="U995" s="67">
        <f t="shared" si="183"/>
        <v>12481333.780000001</v>
      </c>
      <c r="V995" s="70">
        <f t="shared" si="184"/>
        <v>0.36286808436531948</v>
      </c>
      <c r="W995" s="87">
        <f t="shared" si="185"/>
        <v>-1.1098577850757261</v>
      </c>
      <c r="X995" s="142">
        <f t="shared" si="193"/>
        <v>1.7857142857142857E-4</v>
      </c>
      <c r="Y995" s="139">
        <f t="shared" si="186"/>
        <v>6.3945320065467645E-2</v>
      </c>
      <c r="Z995" s="139">
        <f t="shared" si="187"/>
        <v>0</v>
      </c>
      <c r="AA995" s="139">
        <f t="shared" si="188"/>
        <v>0</v>
      </c>
      <c r="AB995" s="144">
        <f t="shared" si="189"/>
        <v>2.8214294265679145</v>
      </c>
      <c r="AC995" s="144">
        <f t="shared" si="190"/>
        <v>-7.8560679766911945E-2</v>
      </c>
      <c r="AD995" s="144">
        <f t="shared" si="191"/>
        <v>-5.3769174329535395E-2</v>
      </c>
      <c r="AE995" s="144">
        <f t="shared" si="192"/>
        <v>-3.9722349794236549E-2</v>
      </c>
    </row>
    <row r="996" spans="1:31">
      <c r="A996" s="88">
        <v>45415</v>
      </c>
      <c r="B996" s="78">
        <v>49014173.869999997</v>
      </c>
      <c r="D996" s="67">
        <f t="shared" si="169"/>
        <v>49014173.869999997</v>
      </c>
      <c r="E996" s="67">
        <f t="shared" si="194"/>
        <v>45196322.469999999</v>
      </c>
      <c r="F996" s="67">
        <f t="shared" si="170"/>
        <v>3235840.2299999967</v>
      </c>
      <c r="G996" s="70">
        <f t="shared" si="171"/>
        <v>7.0684971966139848E-2</v>
      </c>
      <c r="H996" s="70"/>
      <c r="I996" s="70"/>
      <c r="J996" s="67">
        <f t="shared" si="195"/>
        <v>3817851.3999999985</v>
      </c>
      <c r="K996" s="70">
        <f t="shared" si="196"/>
        <v>8.4472611738137804E-2</v>
      </c>
      <c r="L996" s="70">
        <f t="shared" si="177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79"/>
        <v>-2819057.3700000048</v>
      </c>
      <c r="R996" s="70">
        <f t="shared" si="180"/>
        <v>-5.5663874271952025E-2</v>
      </c>
      <c r="S996" s="67">
        <f t="shared" si="181"/>
        <v>-5797330.0500000045</v>
      </c>
      <c r="T996" s="70">
        <f t="shared" si="182"/>
        <v>-0.10820893144999361</v>
      </c>
      <c r="U996" s="67">
        <f t="shared" si="183"/>
        <v>15634382.019999996</v>
      </c>
      <c r="V996" s="70">
        <f t="shared" si="184"/>
        <v>0.46377212901504272</v>
      </c>
      <c r="W996" s="87">
        <f t="shared" si="185"/>
        <v>-0.67020471572802909</v>
      </c>
      <c r="X996" s="142">
        <f t="shared" si="193"/>
        <v>1.7857142857142857E-4</v>
      </c>
      <c r="Y996" s="139">
        <f t="shared" si="186"/>
        <v>7.0506400537568417E-2</v>
      </c>
      <c r="Z996" s="139">
        <f t="shared" si="187"/>
        <v>0</v>
      </c>
      <c r="AA996" s="139">
        <f t="shared" si="188"/>
        <v>0</v>
      </c>
      <c r="AB996" s="144">
        <f t="shared" si="189"/>
        <v>3.6650629281077882</v>
      </c>
      <c r="AC996" s="144">
        <f t="shared" si="190"/>
        <v>-7.9913023741876033E-2</v>
      </c>
      <c r="AD996" s="144">
        <f t="shared" si="191"/>
        <v>-5.4474745232662339E-2</v>
      </c>
      <c r="AE996" s="144">
        <f t="shared" si="192"/>
        <v>-3.9921013488802046E-2</v>
      </c>
    </row>
    <row r="997" spans="1:31">
      <c r="A997" s="88">
        <v>45418</v>
      </c>
      <c r="B997" s="78">
        <v>51602916.840000004</v>
      </c>
      <c r="D997" s="67">
        <f t="shared" si="169"/>
        <v>51602916.840000004</v>
      </c>
      <c r="E997" s="67">
        <f t="shared" si="194"/>
        <v>45196322.469999999</v>
      </c>
      <c r="F997" s="67">
        <f t="shared" si="170"/>
        <v>2588742.9700000063</v>
      </c>
      <c r="G997" s="70">
        <f t="shared" si="171"/>
        <v>5.2816211426231809E-2</v>
      </c>
      <c r="H997" s="70"/>
      <c r="I997" s="70"/>
      <c r="J997" s="67">
        <f t="shared" si="195"/>
        <v>6406594.3700000048</v>
      </c>
      <c r="K997" s="70">
        <f t="shared" si="196"/>
        <v>0.1417503464856571</v>
      </c>
      <c r="L997" s="70">
        <f t="shared" si="177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79"/>
        <v>-2898649.0699999928</v>
      </c>
      <c r="R997" s="70">
        <f t="shared" si="180"/>
        <v>-5.5660261895667272E-2</v>
      </c>
      <c r="S997" s="67">
        <f t="shared" si="181"/>
        <v>-649204.56999999285</v>
      </c>
      <c r="T997" s="70">
        <f t="shared" si="182"/>
        <v>-1.166291492120116E-2</v>
      </c>
      <c r="U997" s="67">
        <f t="shared" si="183"/>
        <v>18005863.230000004</v>
      </c>
      <c r="V997" s="70">
        <f t="shared" si="184"/>
        <v>0.54076533338460375</v>
      </c>
      <c r="W997" s="87">
        <f t="shared" si="185"/>
        <v>-0.36324786172245344</v>
      </c>
      <c r="X997" s="142">
        <f t="shared" si="193"/>
        <v>1.7857142857142857E-4</v>
      </c>
      <c r="Y997" s="139">
        <f t="shared" si="186"/>
        <v>5.2637639997660378E-2</v>
      </c>
      <c r="Z997" s="139">
        <f t="shared" si="187"/>
        <v>0</v>
      </c>
      <c r="AA997" s="139">
        <f t="shared" si="188"/>
        <v>0</v>
      </c>
      <c r="AB997" s="144">
        <f t="shared" si="189"/>
        <v>4.3877036173450632</v>
      </c>
      <c r="AC997" s="144">
        <f t="shared" si="190"/>
        <v>-7.977558069496514E-2</v>
      </c>
      <c r="AD997" s="144">
        <f t="shared" si="191"/>
        <v>-5.4515978337941036E-2</v>
      </c>
      <c r="AE997" s="144">
        <f t="shared" si="192"/>
        <v>-4.0023712515494352E-2</v>
      </c>
    </row>
    <row r="998" spans="1:31">
      <c r="A998" s="88">
        <v>45419</v>
      </c>
      <c r="B998" s="78">
        <v>50913463.380000003</v>
      </c>
      <c r="D998" s="67">
        <f t="shared" si="169"/>
        <v>50913463.380000003</v>
      </c>
      <c r="E998" s="67">
        <f t="shared" si="194"/>
        <v>45196322.469999999</v>
      </c>
      <c r="F998" s="67">
        <f t="shared" si="170"/>
        <v>-689453.46000000089</v>
      </c>
      <c r="G998" s="70">
        <f t="shared" si="171"/>
        <v>-1.3360745907788898E-2</v>
      </c>
      <c r="H998" s="70"/>
      <c r="I998" s="70"/>
      <c r="J998" s="67">
        <f t="shared" si="195"/>
        <v>5717140.9100000039</v>
      </c>
      <c r="K998" s="70">
        <f t="shared" si="196"/>
        <v>0.12649571021613237</v>
      </c>
      <c r="L998" s="70">
        <f t="shared" si="177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79"/>
        <v>-3074818.7100000009</v>
      </c>
      <c r="R998" s="70">
        <f t="shared" si="180"/>
        <v>-5.932137812830672E-2</v>
      </c>
      <c r="S998" s="67">
        <f t="shared" si="181"/>
        <v>-1322161.1999999955</v>
      </c>
      <c r="T998" s="70">
        <f t="shared" si="182"/>
        <v>-2.4121965380292296E-2</v>
      </c>
      <c r="U998" s="67">
        <f t="shared" si="183"/>
        <v>17917799.300000004</v>
      </c>
      <c r="V998" s="70">
        <f t="shared" si="184"/>
        <v>0.53678583079600606</v>
      </c>
      <c r="W998" s="87">
        <f t="shared" si="185"/>
        <v>-0.43446888321856747</v>
      </c>
      <c r="X998" s="142">
        <f t="shared" si="193"/>
        <v>1.7857142857142857E-4</v>
      </c>
      <c r="Y998" s="139">
        <f t="shared" si="186"/>
        <v>-1.3539317336360327E-2</v>
      </c>
      <c r="Z998" s="139">
        <f t="shared" si="187"/>
        <v>-1.3539317336360327E-2</v>
      </c>
      <c r="AA998" s="139">
        <f t="shared" si="188"/>
        <v>1.8331311393466731E-4</v>
      </c>
      <c r="AB998" s="144">
        <f t="shared" si="189"/>
        <v>4.0189114900697138</v>
      </c>
      <c r="AC998" s="144">
        <f t="shared" si="190"/>
        <v>-8.0144935060494582E-2</v>
      </c>
      <c r="AD998" s="144">
        <f t="shared" si="191"/>
        <v>-5.3591726319038226E-2</v>
      </c>
      <c r="AE998" s="144">
        <f t="shared" si="192"/>
        <v>-4.0094787034206547E-2</v>
      </c>
    </row>
    <row r="999" spans="1:31">
      <c r="A999" s="88">
        <v>45420</v>
      </c>
      <c r="B999" s="78">
        <v>50852301.509999998</v>
      </c>
      <c r="D999" s="67">
        <f t="shared" si="169"/>
        <v>50852301.509999998</v>
      </c>
      <c r="E999" s="67">
        <f t="shared" si="194"/>
        <v>45196322.469999999</v>
      </c>
      <c r="F999" s="67">
        <f t="shared" si="170"/>
        <v>-61161.870000004768</v>
      </c>
      <c r="G999" s="70">
        <f t="shared" si="171"/>
        <v>-1.2012906987590747E-3</v>
      </c>
      <c r="H999" s="70"/>
      <c r="I999" s="70"/>
      <c r="J999" s="67">
        <f t="shared" si="195"/>
        <v>5655979.0399999991</v>
      </c>
      <c r="K999" s="70">
        <f t="shared" si="196"/>
        <v>0.12514246139725782</v>
      </c>
      <c r="L999" s="70">
        <f t="shared" si="177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79"/>
        <v>-3740354.5300000012</v>
      </c>
      <c r="R999" s="70">
        <f t="shared" si="180"/>
        <v>-6.8628386497675248E-2</v>
      </c>
      <c r="S999" s="67">
        <f t="shared" si="181"/>
        <v>1922941.799999997</v>
      </c>
      <c r="T999" s="70">
        <f t="shared" si="182"/>
        <v>3.6801219703818285E-2</v>
      </c>
      <c r="U999" s="67">
        <f t="shared" si="183"/>
        <v>17518811.859999999</v>
      </c>
      <c r="V999" s="70">
        <f t="shared" si="184"/>
        <v>0.52143893519238871</v>
      </c>
      <c r="W999" s="87">
        <f t="shared" si="185"/>
        <v>-0.43867703359112376</v>
      </c>
      <c r="X999" s="142">
        <f t="shared" si="193"/>
        <v>1.7857142857142857E-4</v>
      </c>
      <c r="Y999" s="139">
        <f t="shared" si="186"/>
        <v>-1.3798621273305033E-3</v>
      </c>
      <c r="Z999" s="139">
        <f t="shared" si="187"/>
        <v>-1.3798621273305033E-3</v>
      </c>
      <c r="AA999" s="139">
        <f t="shared" si="188"/>
        <v>1.904019490441062E-6</v>
      </c>
      <c r="AB999" s="144">
        <f t="shared" si="189"/>
        <v>3.738321114021582</v>
      </c>
      <c r="AC999" s="144">
        <f t="shared" si="190"/>
        <v>-7.9829311317651655E-2</v>
      </c>
      <c r="AD999" s="144">
        <f t="shared" si="191"/>
        <v>-5.3601502945814852E-2</v>
      </c>
      <c r="AE999" s="144">
        <f t="shared" si="192"/>
        <v>-4.0016647718407877E-2</v>
      </c>
    </row>
    <row r="1000" spans="1:31">
      <c r="A1000" s="88">
        <v>45421</v>
      </c>
      <c r="B1000" s="78">
        <v>51220956.68</v>
      </c>
      <c r="D1000" s="67">
        <f t="shared" si="169"/>
        <v>51220956.68</v>
      </c>
      <c r="E1000" s="67">
        <f t="shared" si="194"/>
        <v>45196322.469999999</v>
      </c>
      <c r="F1000" s="67">
        <f t="shared" si="170"/>
        <v>368655.17000000179</v>
      </c>
      <c r="G1000" s="70">
        <f t="shared" si="171"/>
        <v>7.249527731355611E-3</v>
      </c>
      <c r="H1000" s="70"/>
      <c r="I1000" s="70"/>
      <c r="J1000" s="67">
        <f t="shared" si="195"/>
        <v>6024634.2100000009</v>
      </c>
      <c r="K1000" s="70">
        <f t="shared" si="196"/>
        <v>0.13329921287288293</v>
      </c>
      <c r="L1000" s="70">
        <f t="shared" si="177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79"/>
        <v>-3737762.0300000012</v>
      </c>
      <c r="R1000" s="70">
        <f t="shared" si="180"/>
        <v>-6.9232838780997799E-2</v>
      </c>
      <c r="S1000" s="67">
        <f t="shared" si="181"/>
        <v>5229936.3299999982</v>
      </c>
      <c r="T1000" s="70">
        <f t="shared" si="182"/>
        <v>0.10012202155236484</v>
      </c>
      <c r="U1000" s="67">
        <f t="shared" si="183"/>
        <v>17454339.43</v>
      </c>
      <c r="V1000" s="70">
        <f t="shared" si="184"/>
        <v>0.52898888131728128</v>
      </c>
      <c r="W1000" s="87">
        <f t="shared" si="185"/>
        <v>-0.39670301080538634</v>
      </c>
      <c r="X1000" s="142">
        <f t="shared" si="193"/>
        <v>1.7857142857142857E-4</v>
      </c>
      <c r="Y1000" s="139">
        <f t="shared" si="186"/>
        <v>7.070956302784182E-3</v>
      </c>
      <c r="Z1000" s="139">
        <f t="shared" si="187"/>
        <v>0</v>
      </c>
      <c r="AA1000" s="139">
        <f t="shared" si="188"/>
        <v>0</v>
      </c>
      <c r="AB1000" s="144">
        <f t="shared" si="189"/>
        <v>3.9031488759831916</v>
      </c>
      <c r="AC1000" s="144">
        <f t="shared" si="190"/>
        <v>-7.9913438873892823E-2</v>
      </c>
      <c r="AD1000" s="144">
        <f t="shared" si="191"/>
        <v>-5.1685641056016994E-2</v>
      </c>
      <c r="AE1000" s="144">
        <f t="shared" si="192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69"/>
        <v>52543620.479999997</v>
      </c>
      <c r="E1001" s="67">
        <f t="shared" si="194"/>
        <v>45196322.469999999</v>
      </c>
      <c r="F1001" s="67">
        <f t="shared" si="170"/>
        <v>1322663.799999997</v>
      </c>
      <c r="G1001" s="70">
        <f t="shared" si="171"/>
        <v>2.5822707847166219E-2</v>
      </c>
      <c r="H1001" s="70"/>
      <c r="I1001" s="70"/>
      <c r="J1001" s="67">
        <f t="shared" si="195"/>
        <v>7347298.0099999979</v>
      </c>
      <c r="K1001" s="70">
        <f t="shared" si="196"/>
        <v>0.16256406735032281</v>
      </c>
      <c r="L1001" s="70">
        <f t="shared" si="177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79"/>
        <v>-2150392.8800000027</v>
      </c>
      <c r="R1001" s="70">
        <f t="shared" si="180"/>
        <v>-3.9389783095081718E-2</v>
      </c>
      <c r="S1001" s="67">
        <f t="shared" si="181"/>
        <v>6954351.1999999955</v>
      </c>
      <c r="T1001" s="70">
        <f t="shared" si="182"/>
        <v>0.14213043541174097</v>
      </c>
      <c r="U1001" s="67">
        <f t="shared" si="183"/>
        <v>19281923.679999996</v>
      </c>
      <c r="V1001" s="70">
        <f t="shared" si="184"/>
        <v>0.57845499773528808</v>
      </c>
      <c r="W1001" s="87">
        <f t="shared" si="185"/>
        <v>-0.25383292624692522</v>
      </c>
      <c r="X1001" s="142">
        <f t="shared" si="193"/>
        <v>1.7857142857142857E-4</v>
      </c>
      <c r="Y1001" s="139">
        <f t="shared" si="186"/>
        <v>2.5644136418594792E-2</v>
      </c>
      <c r="Z1001" s="139">
        <f t="shared" si="187"/>
        <v>0</v>
      </c>
      <c r="AA1001" s="139">
        <f t="shared" si="188"/>
        <v>0</v>
      </c>
      <c r="AB1001" s="144">
        <f t="shared" si="189"/>
        <v>4.2830455282630968</v>
      </c>
      <c r="AC1001" s="144">
        <f t="shared" si="190"/>
        <v>-7.9658353646636398E-2</v>
      </c>
      <c r="AD1001" s="144">
        <f t="shared" si="191"/>
        <v>-4.9838639258303209E-2</v>
      </c>
      <c r="AE1001" s="144">
        <f t="shared" si="192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69"/>
        <v>52296576.380000003</v>
      </c>
      <c r="E1002" s="67">
        <f t="shared" si="194"/>
        <v>45196322.469999999</v>
      </c>
      <c r="F1002" s="67">
        <f t="shared" si="170"/>
        <v>-247044.09999999404</v>
      </c>
      <c r="G1002" s="70">
        <f t="shared" si="171"/>
        <v>-4.7016954245478375E-3</v>
      </c>
      <c r="H1002" s="70"/>
      <c r="I1002" s="70"/>
      <c r="J1002" s="67">
        <f t="shared" si="195"/>
        <v>7100253.9100000039</v>
      </c>
      <c r="K1002" s="70">
        <f t="shared" si="196"/>
        <v>0.15709804519411819</v>
      </c>
      <c r="L1002" s="70">
        <f t="shared" si="177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79"/>
        <v>-1383891.6699999943</v>
      </c>
      <c r="R1002" s="70">
        <f t="shared" si="180"/>
        <v>-2.5180566477583995E-2</v>
      </c>
      <c r="S1002" s="67">
        <f t="shared" si="181"/>
        <v>6671370.0600000024</v>
      </c>
      <c r="T1002" s="70">
        <f t="shared" si="182"/>
        <v>0.1450581006733416</v>
      </c>
      <c r="U1002" s="67">
        <f t="shared" si="183"/>
        <v>20344767.150000002</v>
      </c>
      <c r="V1002" s="70">
        <f t="shared" si="184"/>
        <v>0.60251126132571076</v>
      </c>
      <c r="W1002" s="87">
        <f t="shared" si="185"/>
        <v>-0.27768820598571808</v>
      </c>
      <c r="X1002" s="142">
        <f t="shared" si="193"/>
        <v>1.7857142857142857E-4</v>
      </c>
      <c r="Y1002" s="139">
        <f t="shared" si="186"/>
        <v>-4.8802668531192665E-3</v>
      </c>
      <c r="Z1002" s="139">
        <f t="shared" si="187"/>
        <v>-4.8802668531192665E-3</v>
      </c>
      <c r="AA1002" s="139">
        <f t="shared" si="188"/>
        <v>2.3817004557654627E-5</v>
      </c>
      <c r="AB1002" s="144">
        <f t="shared" si="189"/>
        <v>4.6198851507593277</v>
      </c>
      <c r="AC1002" s="144">
        <f t="shared" si="190"/>
        <v>-7.9653935523654587E-2</v>
      </c>
      <c r="AD1002" s="144">
        <f t="shared" si="191"/>
        <v>-4.9775450992848538E-2</v>
      </c>
      <c r="AE1002" s="144">
        <f t="shared" si="192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7">B1003</f>
        <v>53525324.399999999</v>
      </c>
      <c r="E1003" s="67">
        <f t="shared" si="194"/>
        <v>45196322.469999999</v>
      </c>
      <c r="F1003" s="67">
        <f t="shared" si="170"/>
        <v>1228748.0199999958</v>
      </c>
      <c r="G1003" s="70">
        <f t="shared" si="171"/>
        <v>2.3495764064393153E-2</v>
      </c>
      <c r="H1003" s="70"/>
      <c r="I1003" s="70"/>
      <c r="J1003" s="67">
        <f t="shared" si="195"/>
        <v>8329001.9299999997</v>
      </c>
      <c r="K1003" s="70">
        <f t="shared" si="196"/>
        <v>0.18428494786336969</v>
      </c>
      <c r="L1003" s="70">
        <f t="shared" si="177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79"/>
        <v>-873184.12000000477</v>
      </c>
      <c r="R1003" s="70">
        <f t="shared" si="180"/>
        <v>-1.5964893895290568E-2</v>
      </c>
      <c r="S1003" s="67">
        <f t="shared" si="181"/>
        <v>6591803.6999999955</v>
      </c>
      <c r="T1003" s="70">
        <f t="shared" si="182"/>
        <v>0.14459112427344428</v>
      </c>
      <c r="U1003" s="67">
        <f t="shared" si="183"/>
        <v>22206939.169999998</v>
      </c>
      <c r="V1003" s="70">
        <f t="shared" si="184"/>
        <v>0.6676430040093444</v>
      </c>
      <c r="W1003" s="87">
        <f t="shared" si="185"/>
        <v>-0.15040701639148604</v>
      </c>
      <c r="X1003" s="142">
        <f t="shared" si="193"/>
        <v>1.7857142857142857E-4</v>
      </c>
      <c r="Y1003" s="139">
        <f t="shared" si="186"/>
        <v>2.3317192635821726E-2</v>
      </c>
      <c r="Z1003" s="139">
        <f t="shared" si="187"/>
        <v>0</v>
      </c>
      <c r="AA1003" s="139">
        <f t="shared" si="188"/>
        <v>0</v>
      </c>
      <c r="AB1003" s="144">
        <f t="shared" si="189"/>
        <v>5.0949947751662661</v>
      </c>
      <c r="AC1003" s="144">
        <f t="shared" si="190"/>
        <v>-7.8359000298952555E-2</v>
      </c>
      <c r="AD1003" s="144">
        <f t="shared" si="191"/>
        <v>-4.9674407322804981E-2</v>
      </c>
      <c r="AE1003" s="144">
        <f t="shared" si="192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7"/>
        <v>56275447.950000003</v>
      </c>
      <c r="E1004" s="67">
        <f t="shared" si="194"/>
        <v>45196322.469999999</v>
      </c>
      <c r="F1004" s="67">
        <f t="shared" si="170"/>
        <v>2750123.5500000045</v>
      </c>
      <c r="G1004" s="70">
        <f t="shared" ref="G1004:G1008" si="198">F1004/B1003</f>
        <v>5.1379857680974736E-2</v>
      </c>
      <c r="H1004" s="70"/>
      <c r="I1004" s="70"/>
      <c r="J1004" s="67">
        <f t="shared" si="195"/>
        <v>11079125.480000004</v>
      </c>
      <c r="K1004" s="70">
        <f t="shared" si="196"/>
        <v>0.24513333993831021</v>
      </c>
      <c r="L1004" s="70">
        <f t="shared" si="177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79"/>
        <v>5048288.7600000054</v>
      </c>
      <c r="R1004" s="70">
        <f t="shared" si="180"/>
        <v>9.4043307433494067E-2</v>
      </c>
      <c r="S1004" s="67">
        <f t="shared" si="181"/>
        <v>9867988.6200000048</v>
      </c>
      <c r="T1004" s="70">
        <f t="shared" si="182"/>
        <v>0.21628370402950553</v>
      </c>
      <c r="U1004" s="67">
        <f t="shared" si="183"/>
        <v>25802168.370000005</v>
      </c>
      <c r="V1004" s="70">
        <f t="shared" si="184"/>
        <v>0.80753387654098752</v>
      </c>
      <c r="W1004" s="87">
        <f t="shared" si="185"/>
        <v>0.12055176302456248</v>
      </c>
      <c r="X1004" s="142">
        <f t="shared" si="193"/>
        <v>1.7857142857142857E-4</v>
      </c>
      <c r="Y1004" s="139">
        <f t="shared" si="186"/>
        <v>5.1201286252403305E-2</v>
      </c>
      <c r="Z1004" s="139">
        <f t="shared" si="187"/>
        <v>0</v>
      </c>
      <c r="AA1004" s="139">
        <f t="shared" si="188"/>
        <v>0</v>
      </c>
      <c r="AB1004" s="144">
        <f t="shared" si="189"/>
        <v>5.3103779657422923</v>
      </c>
      <c r="AC1004" s="144">
        <f t="shared" si="190"/>
        <v>-7.845177426916991E-2</v>
      </c>
      <c r="AD1004" s="144">
        <f t="shared" si="191"/>
        <v>-4.9945732754975346E-2</v>
      </c>
      <c r="AE1004" s="144">
        <f t="shared" si="192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7"/>
        <v>55642300.700000003</v>
      </c>
      <c r="E1005" s="67">
        <f t="shared" si="194"/>
        <v>45196322.469999999</v>
      </c>
      <c r="F1005" s="67">
        <f t="shared" si="170"/>
        <v>-633147.25</v>
      </c>
      <c r="G1005" s="70">
        <f t="shared" si="198"/>
        <v>-1.1250861131528319E-2</v>
      </c>
      <c r="H1005" s="70"/>
      <c r="I1005" s="70"/>
      <c r="J1005" s="67">
        <f t="shared" si="195"/>
        <v>10445978.230000004</v>
      </c>
      <c r="K1005" s="70">
        <f t="shared" si="196"/>
        <v>0.23112451764042818</v>
      </c>
      <c r="L1005" s="70">
        <f t="shared" si="177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199">B1005-C1005-D976</f>
        <v>2386313.1900000051</v>
      </c>
      <c r="R1005" s="70">
        <f t="shared" si="180"/>
        <v>4.3867253991396842E-2</v>
      </c>
      <c r="S1005" s="67">
        <f t="shared" ref="S1005:S1008" si="200">B1005-C1005-D916</f>
        <v>8970716.75</v>
      </c>
      <c r="T1005" s="70">
        <f t="shared" si="182"/>
        <v>0.19113666769942531</v>
      </c>
      <c r="U1005" s="67">
        <f t="shared" ref="U1005:U1008" si="201">B1005-C1005-D641</f>
        <v>25851614.880000003</v>
      </c>
      <c r="V1005" s="70">
        <f t="shared" si="184"/>
        <v>0.82544533155677013</v>
      </c>
      <c r="W1005" s="87">
        <f t="shared" ref="W1005:W1015" si="202">O1005/P1005</f>
        <v>6.1487550743944359E-2</v>
      </c>
      <c r="X1005" s="142">
        <f t="shared" si="193"/>
        <v>1.7857142857142857E-4</v>
      </c>
      <c r="Y1005" s="139">
        <f t="shared" si="186"/>
        <v>-1.1429432560099748E-2</v>
      </c>
      <c r="Z1005" s="139">
        <f t="shared" si="187"/>
        <v>-1.1429432560099748E-2</v>
      </c>
      <c r="AA1005" s="139">
        <f t="shared" si="188"/>
        <v>1.3063192864586827E-4</v>
      </c>
      <c r="AB1005" s="144">
        <f t="shared" si="189"/>
        <v>4.6631332883754526</v>
      </c>
      <c r="AC1005" s="144">
        <f t="shared" si="190"/>
        <v>-7.4798631978956406E-2</v>
      </c>
      <c r="AD1005" s="144">
        <f t="shared" si="191"/>
        <v>-4.9946517416222247E-2</v>
      </c>
      <c r="AE1005" s="144">
        <f t="shared" si="192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7"/>
        <v>55873372.060000002</v>
      </c>
      <c r="E1006" s="67">
        <f t="shared" si="194"/>
        <v>45196322.469999999</v>
      </c>
      <c r="F1006" s="67">
        <f t="shared" si="170"/>
        <v>231071.3599999994</v>
      </c>
      <c r="G1006" s="70">
        <f t="shared" si="198"/>
        <v>4.1528002453715832E-3</v>
      </c>
      <c r="H1006" s="70"/>
      <c r="I1006" s="70"/>
      <c r="J1006" s="67">
        <f t="shared" si="195"/>
        <v>10677049.590000004</v>
      </c>
      <c r="K1006" s="70">
        <f t="shared" si="196"/>
        <v>0.23623713183936834</v>
      </c>
      <c r="L1006" s="70">
        <f t="shared" si="177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199"/>
        <v>2463246.3900000006</v>
      </c>
      <c r="R1006" s="70">
        <f t="shared" si="180"/>
        <v>4.8084774345262704E-2</v>
      </c>
      <c r="S1006" s="67">
        <f t="shared" si="200"/>
        <v>9567905.8599999994</v>
      </c>
      <c r="T1006" s="70">
        <f t="shared" si="182"/>
        <v>0.20617172321292856</v>
      </c>
      <c r="U1006" s="67">
        <f t="shared" si="201"/>
        <v>25617634.860000003</v>
      </c>
      <c r="V1006" s="70">
        <f t="shared" si="184"/>
        <v>0.84065893835769434</v>
      </c>
      <c r="W1006" s="87">
        <f t="shared" si="202"/>
        <v>8.2603594492525134E-2</v>
      </c>
      <c r="X1006" s="142">
        <f t="shared" si="193"/>
        <v>1.7857142857142857E-4</v>
      </c>
      <c r="Y1006" s="139">
        <f t="shared" si="186"/>
        <v>3.9742288168001542E-3</v>
      </c>
      <c r="Z1006" s="139">
        <f t="shared" si="187"/>
        <v>0</v>
      </c>
      <c r="AA1006" s="139">
        <f t="shared" si="188"/>
        <v>0</v>
      </c>
      <c r="AB1006" s="144">
        <f t="shared" si="189"/>
        <v>4.6920728527897309</v>
      </c>
      <c r="AC1006" s="144">
        <f t="shared" si="190"/>
        <v>-7.5194635220387884E-2</v>
      </c>
      <c r="AD1006" s="144">
        <f t="shared" si="191"/>
        <v>-4.996039692632142E-2</v>
      </c>
      <c r="AE1006" s="144">
        <f t="shared" si="192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7"/>
        <v>56786088.689999998</v>
      </c>
      <c r="E1007" s="67">
        <f t="shared" si="194"/>
        <v>45196322.469999999</v>
      </c>
      <c r="F1007" s="67">
        <f t="shared" si="170"/>
        <v>912716.62999999523</v>
      </c>
      <c r="G1007" s="70">
        <f t="shared" si="198"/>
        <v>1.6335449183555062E-2</v>
      </c>
      <c r="H1007" s="70"/>
      <c r="I1007" s="70"/>
      <c r="J1007" s="67">
        <f t="shared" si="195"/>
        <v>11589766.219999999</v>
      </c>
      <c r="K1007" s="70">
        <f t="shared" si="196"/>
        <v>0.25643162068535408</v>
      </c>
      <c r="L1007" s="70">
        <f t="shared" si="177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199"/>
        <v>3198231.7699999958</v>
      </c>
      <c r="R1007" s="70">
        <f t="shared" si="180"/>
        <v>6.0053937961425587E-2</v>
      </c>
      <c r="S1007" s="67">
        <f t="shared" si="200"/>
        <v>10718490.93</v>
      </c>
      <c r="T1007" s="70">
        <f t="shared" si="182"/>
        <v>0.22965774938092709</v>
      </c>
      <c r="U1007" s="67">
        <f t="shared" si="201"/>
        <v>27308562.529999997</v>
      </c>
      <c r="V1007" s="70">
        <f t="shared" si="184"/>
        <v>0.91668123033496507</v>
      </c>
      <c r="W1007" s="87">
        <f t="shared" si="202"/>
        <v>0.16584928041477254</v>
      </c>
      <c r="X1007" s="142">
        <f t="shared" si="193"/>
        <v>1.7857142857142857E-4</v>
      </c>
      <c r="Y1007" s="139">
        <f t="shared" si="186"/>
        <v>1.6156877754983635E-2</v>
      </c>
      <c r="Z1007" s="139">
        <f t="shared" si="187"/>
        <v>0</v>
      </c>
      <c r="AA1007" s="139">
        <f t="shared" si="188"/>
        <v>0</v>
      </c>
      <c r="AB1007" s="144">
        <f t="shared" si="189"/>
        <v>4.6812202840167085</v>
      </c>
      <c r="AC1007" s="144">
        <f t="shared" si="190"/>
        <v>-7.4854379040152672E-2</v>
      </c>
      <c r="AD1007" s="144">
        <f t="shared" si="191"/>
        <v>-4.9730774356453657E-2</v>
      </c>
      <c r="AE1007" s="144">
        <f t="shared" si="192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7"/>
        <v>56786088.689999998</v>
      </c>
      <c r="E1008" s="67">
        <f t="shared" si="194"/>
        <v>45196322.469999999</v>
      </c>
      <c r="F1008" s="67">
        <f t="shared" si="170"/>
        <v>0</v>
      </c>
      <c r="G1008" s="70">
        <f t="shared" si="198"/>
        <v>0</v>
      </c>
      <c r="H1008" s="70"/>
      <c r="I1008" s="70"/>
      <c r="J1008" s="67">
        <f t="shared" si="195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199"/>
        <v>5764234.9199999943</v>
      </c>
      <c r="R1008" s="70">
        <f t="shared" si="180"/>
        <v>0.10792400968338696</v>
      </c>
      <c r="S1008" s="67">
        <f t="shared" si="200"/>
        <v>10744772.759999998</v>
      </c>
      <c r="T1008" s="70">
        <f t="shared" si="182"/>
        <v>0.23204113124769699</v>
      </c>
      <c r="U1008" s="67">
        <f t="shared" si="201"/>
        <v>27575849.499999996</v>
      </c>
      <c r="V1008" s="70">
        <f t="shared" si="184"/>
        <v>0.91142547007580421</v>
      </c>
      <c r="W1008" s="87">
        <f>O1008/P1008</f>
        <v>0.16502627855160645</v>
      </c>
      <c r="X1008" s="142">
        <f t="shared" si="193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4.7690155554625049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-4.9660783551317332E-2</v>
      </c>
      <c r="AE1008" s="144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7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7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0"/>
        <v>7.9968944389724517E-2</v>
      </c>
      <c r="S1009" s="67">
        <f>B1009-C1009-D919</f>
        <v>9265902.1899999976</v>
      </c>
      <c r="T1009" s="70">
        <f t="shared" si="182"/>
        <v>0.20113708203915684</v>
      </c>
      <c r="U1009" s="67">
        <f>B1009-C1009-D644</f>
        <v>26096978.929999996</v>
      </c>
      <c r="V1009" s="70">
        <f t="shared" si="184"/>
        <v>0.88531781087561912</v>
      </c>
      <c r="W1009" s="87">
        <f t="shared" si="202"/>
        <v>0.11270110990908729</v>
      </c>
      <c r="X1009" s="142">
        <f t="shared" si="193"/>
        <v>1.7857142857142857E-4</v>
      </c>
      <c r="Y1009" s="139">
        <f t="shared" si="186"/>
        <v>-1.031137564507794E-2</v>
      </c>
      <c r="Z1009" s="139">
        <f t="shared" si="187"/>
        <v>-1.031137564507794E-2</v>
      </c>
      <c r="AA1009" s="139">
        <f t="shared" si="188"/>
        <v>1.0632446769390651E-4</v>
      </c>
      <c r="AB1009" s="144">
        <f>AVERAGE(Y757:Y1009)/AVERAGE(AA757:AA1009)</f>
        <v>4.6437584309885223</v>
      </c>
      <c r="AC1009" s="144">
        <f>AVERAGE(G979:G1009)-_xlfn.NORM.S.INV(0.95)*_xlfn.STDEV.S(G979:G1009)</f>
        <v>-7.4183018955808283E-2</v>
      </c>
      <c r="AD1009" s="144">
        <f>AVERAGE(G919:G1009)-_xlfn.NORM.S.INV(0.95)*_xlfn.STDEV.S(G919:G1009)</f>
        <v>-4.9545514912552817E-2</v>
      </c>
      <c r="AE1009" s="144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7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3">(1+K1009)*(1+G1010)-1</f>
        <v>0.21033242729671131</v>
      </c>
      <c r="L1010" s="70">
        <f t="shared" si="177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0"/>
        <v>1.2096025220527823E-2</v>
      </c>
      <c r="S1010" s="67">
        <f>B1010-C1010-D920</f>
        <v>9610153.6499999985</v>
      </c>
      <c r="T1010" s="70">
        <f t="shared" si="182"/>
        <v>0.20872890915218459</v>
      </c>
      <c r="U1010" s="67">
        <f>B1010-C1010-D645</f>
        <v>25537535.75</v>
      </c>
      <c r="V1010" s="70">
        <f t="shared" si="184"/>
        <v>0.87426657426148924</v>
      </c>
      <c r="W1010" s="87">
        <f t="shared" si="202"/>
        <v>5.6906467213381023E-2</v>
      </c>
      <c r="X1010" s="142">
        <f t="shared" si="193"/>
        <v>1.7857142857142857E-4</v>
      </c>
      <c r="Y1010" s="139">
        <f t="shared" si="186"/>
        <v>-1.1111022210820205E-2</v>
      </c>
      <c r="Z1010" s="139">
        <f t="shared" si="187"/>
        <v>-1.1111022210820205E-2</v>
      </c>
      <c r="AA1010" s="139">
        <f t="shared" si="188"/>
        <v>1.234548145693399E-4</v>
      </c>
      <c r="AB1010" s="144">
        <f>AVERAGE(Y758:Y1010)/AVERAGE(AA758:AA1010)</f>
        <v>4.2409003949683592</v>
      </c>
      <c r="AC1010" s="144">
        <f>AVERAGE(G980:G1010)-_xlfn.NORM.S.INV(0.95)*_xlfn.STDEV.S(G980:G1010)</f>
        <v>-7.1562577094764435E-2</v>
      </c>
      <c r="AD1010" s="144">
        <f>AVERAGE(G920:G1010)-_xlfn.NORM.S.INV(0.95)*_xlfn.STDEV.S(G920:G1010)</f>
        <v>-4.9703677553362149E-2</v>
      </c>
      <c r="AE1010" s="144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7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3"/>
        <v>0.24095616025460198</v>
      </c>
      <c r="L1011" s="70">
        <f t="shared" si="177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0"/>
        <v>0.12869741446857641</v>
      </c>
      <c r="S1011" s="67">
        <f>B1011-C1011-D921</f>
        <v>11553728.420000002</v>
      </c>
      <c r="T1011" s="70">
        <f t="shared" si="182"/>
        <v>0.25622328888292123</v>
      </c>
      <c r="U1011" s="67">
        <f>B1011-C1011-D646</f>
        <v>27771834.09</v>
      </c>
      <c r="V1011" s="70">
        <f t="shared" si="184"/>
        <v>0.95223031097802135</v>
      </c>
      <c r="W1011" s="87">
        <f t="shared" si="202"/>
        <v>0.1831137857928174</v>
      </c>
      <c r="X1011" s="142">
        <f t="shared" si="193"/>
        <v>1.7857142857142857E-4</v>
      </c>
      <c r="Y1011" s="139">
        <f t="shared" si="186"/>
        <v>2.5123347504798957E-2</v>
      </c>
      <c r="Z1011" s="139">
        <f t="shared" si="187"/>
        <v>0</v>
      </c>
      <c r="AA1011" s="139">
        <f t="shared" si="188"/>
        <v>0</v>
      </c>
      <c r="AB1011" s="144">
        <f>AVERAGE(Y759:Y1011)/AVERAGE(AA759:AA1011)</f>
        <v>4.3971878539489762</v>
      </c>
      <c r="AC1011" s="144">
        <f>AVERAGE(G981:G1011)-_xlfn.NORM.S.INV(0.95)*_xlfn.STDEV.S(G981:G1011)</f>
        <v>-7.102536962153147E-2</v>
      </c>
      <c r="AD1011" s="144">
        <f>AVERAGE(G921:G1011)-_xlfn.NORM.S.INV(0.95)*_xlfn.STDEV.S(G921:G1011)</f>
        <v>-4.921612528107084E-2</v>
      </c>
      <c r="AE1011" s="144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7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0"/>
        <v>0.19095906676323415</v>
      </c>
      <c r="S1012" s="67">
        <f>B1012-C1012-D922</f>
        <v>11290031.710000001</v>
      </c>
      <c r="T1012" s="70">
        <f t="shared" si="182"/>
        <v>0.25352099289854058</v>
      </c>
      <c r="U1012" s="67">
        <f>B1012-C1012-D647</f>
        <v>28397134.009999998</v>
      </c>
      <c r="V1012" s="70">
        <f t="shared" si="184"/>
        <v>1.002907075092303</v>
      </c>
      <c r="W1012" s="87">
        <f>O1012/P1012</f>
        <v>0.18223977598944105</v>
      </c>
      <c r="X1012" s="142">
        <f t="shared" si="193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4.3826529079574481</v>
      </c>
      <c r="AC1012" s="144">
        <f>AVERAGE(G982:G1012)-_xlfn.NORM.S.INV(0.95)*_xlfn.STDEV.S(G982:G1012)</f>
        <v>-6.2225393772515777E-2</v>
      </c>
      <c r="AD1012" s="144">
        <f>AVERAGE(G922:G1012)-_xlfn.NORM.S.INV(0.95)*_xlfn.STDEV.S(G922:G1012)</f>
        <v>-4.9019686341091467E-2</v>
      </c>
      <c r="AE1012" s="144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7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7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4">B1013-C1013-D982</f>
        <v>10872941.620000005</v>
      </c>
      <c r="R1013" s="70">
        <f t="shared" si="180"/>
        <v>0.2327973900979364</v>
      </c>
      <c r="S1013" s="67">
        <f t="shared" ref="S1013:S1044" si="205">B1013-C1013-D922</f>
        <v>12781917.840000004</v>
      </c>
      <c r="T1013" s="70">
        <f t="shared" si="182"/>
        <v>0.28533217374830755</v>
      </c>
      <c r="U1013" s="67">
        <f t="shared" ref="U1013:U1044" si="206">B1013-C1013-D647</f>
        <v>29889020.140000001</v>
      </c>
      <c r="V1013" s="70">
        <f t="shared" si="184"/>
        <v>1.0794343599326097</v>
      </c>
      <c r="W1013" s="87">
        <f t="shared" si="202"/>
        <v>0.31217897644435522</v>
      </c>
      <c r="X1013" s="142">
        <f t="shared" si="193"/>
        <v>1.7857142857142857E-4</v>
      </c>
      <c r="Y1013" s="139">
        <f t="shared" si="186"/>
        <v>2.6421091817274346E-2</v>
      </c>
      <c r="Z1013" s="139">
        <f t="shared" si="187"/>
        <v>0</v>
      </c>
      <c r="AA1013" s="139">
        <f t="shared" si="188"/>
        <v>0</v>
      </c>
      <c r="AB1013" s="144">
        <f t="shared" ref="AB1013:AB1023" si="207">AVERAGE(Y760:Y1013)/AVERAGE(AA760:AA1013)</f>
        <v>4.6881225975217049</v>
      </c>
      <c r="AC1013" s="144">
        <f t="shared" ref="AC1013:AC1023" si="208">AVERAGE(G982:G1013)-_xlfn.NORM.S.INV(0.95)*_xlfn.STDEV.S(G982:G1013)</f>
        <v>-6.0744525317219931E-2</v>
      </c>
      <c r="AD1013" s="144">
        <f t="shared" ref="AD1013:AD1023" si="209">AVERAGE(G922:G1013)-_xlfn.NORM.S.INV(0.95)*_xlfn.STDEV.S(G922:G1013)</f>
        <v>-4.8644977650139906E-2</v>
      </c>
      <c r="AE1013" s="144">
        <f t="shared" ref="AE1013:AE1023" si="210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7"/>
        <v>56010419.289999999</v>
      </c>
      <c r="E1014" s="67">
        <f t="shared" ref="E1014:E1045" si="211">IF(MONTH(A1014)=MONTH(A1013),E1013,D1013)</f>
        <v>45196322.469999999</v>
      </c>
      <c r="F1014" s="67">
        <f t="shared" ref="F1014:F1045" si="212">B1014-C1014-D1013</f>
        <v>-1568121.6300000027</v>
      </c>
      <c r="G1014" s="70">
        <f t="shared" ref="G1014:G1045" si="213">F1014/B1013</f>
        <v>-2.723448015431237E-2</v>
      </c>
      <c r="H1014" s="70"/>
      <c r="I1014" s="70"/>
      <c r="J1014" s="67">
        <f t="shared" ref="J1014:J1045" si="214">IF(MONTH(A1014)=MONTH(A1013),J1013+F1014,F1014)</f>
        <v>10814096.82</v>
      </c>
      <c r="K1014" s="70">
        <f t="shared" si="203"/>
        <v>0.23926939691117721</v>
      </c>
      <c r="L1014" s="70">
        <f t="shared" si="177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4"/>
        <v>10163025.609999999</v>
      </c>
      <c r="R1014" s="70">
        <f t="shared" si="180"/>
        <v>0.2216707383833994</v>
      </c>
      <c r="S1014" s="67">
        <f t="shared" si="205"/>
        <v>10143095.009999998</v>
      </c>
      <c r="T1014" s="70">
        <f t="shared" si="182"/>
        <v>0.2211398892178848</v>
      </c>
      <c r="U1014" s="67">
        <f t="shared" si="206"/>
        <v>27568849.619999997</v>
      </c>
      <c r="V1014" s="70">
        <f t="shared" si="184"/>
        <v>0.96931533455691987</v>
      </c>
      <c r="W1014" s="87">
        <f t="shared" si="202"/>
        <v>0.17608021988881217</v>
      </c>
      <c r="X1014" s="142">
        <f t="shared" si="193"/>
        <v>1.7857142857142857E-4</v>
      </c>
      <c r="Y1014" s="139">
        <f t="shared" si="186"/>
        <v>-2.7413051582883798E-2</v>
      </c>
      <c r="Z1014" s="139">
        <f t="shared" si="187"/>
        <v>-2.7413051582883798E-2</v>
      </c>
      <c r="AA1014" s="139">
        <f t="shared" si="188"/>
        <v>7.5147539708584786E-4</v>
      </c>
      <c r="AB1014" s="144">
        <f t="shared" si="207"/>
        <v>4.3280413155253958</v>
      </c>
      <c r="AC1014" s="144">
        <f t="shared" si="208"/>
        <v>-5.8755635071662031E-2</v>
      </c>
      <c r="AD1014" s="144">
        <f t="shared" si="209"/>
        <v>-4.9253022216800071E-2</v>
      </c>
      <c r="AE1014" s="144">
        <f t="shared" si="210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7"/>
        <v>54746627.030000001</v>
      </c>
      <c r="E1015" s="67">
        <f t="shared" si="211"/>
        <v>45196322.469999999</v>
      </c>
      <c r="F1015" s="67">
        <f t="shared" si="212"/>
        <v>-1263792.2599999979</v>
      </c>
      <c r="G1015" s="70">
        <f t="shared" si="213"/>
        <v>-2.2563520788097959E-2</v>
      </c>
      <c r="H1015" s="70"/>
      <c r="I1015" s="70"/>
      <c r="J1015" s="67">
        <f t="shared" si="214"/>
        <v>9550304.5600000024</v>
      </c>
      <c r="K1015" s="70">
        <f t="shared" si="203"/>
        <v>0.21130711611191821</v>
      </c>
      <c r="L1015" s="70">
        <f t="shared" si="177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4"/>
        <v>11801763.730000004</v>
      </c>
      <c r="R1015" s="70">
        <f t="shared" si="180"/>
        <v>0.27481199899406838</v>
      </c>
      <c r="S1015" s="67">
        <f t="shared" si="205"/>
        <v>8304644.9900000021</v>
      </c>
      <c r="T1015" s="70">
        <f t="shared" si="182"/>
        <v>0.17881762632023968</v>
      </c>
      <c r="U1015" s="67">
        <f t="shared" si="206"/>
        <v>26383187.990000002</v>
      </c>
      <c r="V1015" s="70">
        <f t="shared" si="184"/>
        <v>0.93018297085881174</v>
      </c>
      <c r="W1015" s="87">
        <f t="shared" si="202"/>
        <v>6.5067464364013103E-2</v>
      </c>
      <c r="X1015" s="142">
        <f t="shared" si="193"/>
        <v>1.7857142857142857E-4</v>
      </c>
      <c r="Y1015" s="139">
        <f t="shared" si="186"/>
        <v>-2.2742092216669386E-2</v>
      </c>
      <c r="Z1015" s="139">
        <f t="shared" si="187"/>
        <v>-2.2742092216669386E-2</v>
      </c>
      <c r="AA1015" s="139">
        <f t="shared" si="188"/>
        <v>5.1720275839149427E-4</v>
      </c>
      <c r="AB1015" s="144">
        <f t="shared" si="207"/>
        <v>4.5141031537284304</v>
      </c>
      <c r="AC1015" s="144">
        <f t="shared" si="208"/>
        <v>-5.9038636358617724E-2</v>
      </c>
      <c r="AD1015" s="144">
        <f t="shared" si="209"/>
        <v>-4.9787437045010548E-2</v>
      </c>
      <c r="AE1015" s="144">
        <f t="shared" si="210"/>
        <v>-3.9248376066934758E-2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7"/>
        <v>55303668.579999998</v>
      </c>
      <c r="E1016" s="80">
        <f t="shared" si="211"/>
        <v>45196322.469999999</v>
      </c>
      <c r="F1016" s="80">
        <f t="shared" si="212"/>
        <v>557041.54999999702</v>
      </c>
      <c r="G1016" s="81">
        <f t="shared" si="213"/>
        <v>1.0174901728553065E-2</v>
      </c>
      <c r="H1016" s="81"/>
      <c r="I1016" s="81"/>
      <c r="J1016" s="80">
        <f t="shared" si="214"/>
        <v>10107346.109999999</v>
      </c>
      <c r="K1016" s="81">
        <f>(1+K1015)*(1+G1016)-1</f>
        <v>0.22363204698145389</v>
      </c>
      <c r="L1016" s="81">
        <f t="shared" ref="L1016:L1023" si="215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4"/>
        <v>13238871.409999996</v>
      </c>
      <c r="R1016" s="81">
        <f t="shared" si="180"/>
        <v>0.31472566850843553</v>
      </c>
      <c r="S1016" s="80">
        <f t="shared" si="205"/>
        <v>8735990.1299999952</v>
      </c>
      <c r="T1016" s="81">
        <f t="shared" si="182"/>
        <v>0.18759771628684219</v>
      </c>
      <c r="U1016" s="80">
        <f t="shared" si="206"/>
        <v>26917014.849999998</v>
      </c>
      <c r="V1016" s="81">
        <f t="shared" si="184"/>
        <v>0.94822782234290481</v>
      </c>
      <c r="W1016" s="136">
        <f t="shared" ref="W1016:W1023" si="216">O1016/P1016</f>
        <v>0.11396688270301465</v>
      </c>
      <c r="X1016" s="143">
        <f t="shared" si="193"/>
        <v>1.7857142857142857E-4</v>
      </c>
      <c r="Y1016" s="140">
        <f t="shared" ref="Y1016:Y1023" si="217">G1016-X1016</f>
        <v>9.9963302999816362E-3</v>
      </c>
      <c r="Z1016" s="140">
        <f t="shared" ref="Z1016:Z1023" si="218">IF(Y1016&lt;0,Y1016,0)</f>
        <v>0</v>
      </c>
      <c r="AA1016" s="140">
        <f t="shared" ref="AA1016:AA1023" si="219">Z1016^2</f>
        <v>0</v>
      </c>
      <c r="AB1016" s="145">
        <f t="shared" si="207"/>
        <v>4.3030172534281883</v>
      </c>
      <c r="AC1016" s="145">
        <f t="shared" si="208"/>
        <v>-5.3287464209170105E-2</v>
      </c>
      <c r="AD1016" s="145">
        <f t="shared" si="209"/>
        <v>-4.9799570086898601E-2</v>
      </c>
      <c r="AE1016" s="145">
        <f t="shared" si="210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7"/>
        <v>56386012.329999998</v>
      </c>
      <c r="E1017" s="67">
        <f t="shared" si="211"/>
        <v>55303668.579999998</v>
      </c>
      <c r="F1017" s="67">
        <f t="shared" si="212"/>
        <v>1082343.75</v>
      </c>
      <c r="G1017" s="70">
        <f t="shared" si="213"/>
        <v>1.9570921383530396E-2</v>
      </c>
      <c r="H1017" s="70"/>
      <c r="I1017" s="70"/>
      <c r="J1017" s="67">
        <f t="shared" si="214"/>
        <v>1082343.75</v>
      </c>
      <c r="K1017" s="85">
        <f>G1017</f>
        <v>1.9570921383530396E-2</v>
      </c>
      <c r="L1017" s="70">
        <f t="shared" si="215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4"/>
        <v>17616825.5</v>
      </c>
      <c r="R1017" s="70">
        <f t="shared" si="180"/>
        <v>0.45440276003849323</v>
      </c>
      <c r="S1017" s="67">
        <f t="shared" si="205"/>
        <v>10103109.239999995</v>
      </c>
      <c r="T1017" s="70">
        <f t="shared" si="182"/>
        <v>0.2182903094983879</v>
      </c>
      <c r="U1017" s="67">
        <f t="shared" si="206"/>
        <v>27673499.369999997</v>
      </c>
      <c r="V1017" s="70">
        <f t="shared" si="184"/>
        <v>0.96381321302501544</v>
      </c>
      <c r="W1017" s="87">
        <f t="shared" si="216"/>
        <v>0.20732129540689104</v>
      </c>
      <c r="X1017" s="142">
        <f t="shared" si="193"/>
        <v>1.7857142857142857E-4</v>
      </c>
      <c r="Y1017" s="139">
        <f t="shared" si="217"/>
        <v>1.9392349954958969E-2</v>
      </c>
      <c r="Z1017" s="139">
        <f t="shared" si="218"/>
        <v>0</v>
      </c>
      <c r="AA1017" s="139">
        <f t="shared" si="219"/>
        <v>0</v>
      </c>
      <c r="AB1017" s="144">
        <f t="shared" si="207"/>
        <v>4.4528634637067332</v>
      </c>
      <c r="AC1017" s="144">
        <f t="shared" si="208"/>
        <v>-5.145986730934083E-2</v>
      </c>
      <c r="AD1017" s="144">
        <f t="shared" si="209"/>
        <v>-4.9709712658637217E-2</v>
      </c>
      <c r="AE1017" s="144">
        <f t="shared" si="210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7"/>
        <v>55100256.009999998</v>
      </c>
      <c r="E1018" s="67">
        <f t="shared" si="211"/>
        <v>55303668.579999998</v>
      </c>
      <c r="F1018" s="67">
        <f t="shared" si="212"/>
        <v>-1285756.3200000003</v>
      </c>
      <c r="G1018" s="70">
        <f t="shared" si="213"/>
        <v>-2.2802753145143372E-2</v>
      </c>
      <c r="H1018" s="70"/>
      <c r="I1018" s="70"/>
      <c r="J1018" s="67">
        <f t="shared" si="214"/>
        <v>-203412.5700000003</v>
      </c>
      <c r="K1018" s="70">
        <f t="shared" ref="K1018:K1023" si="220">(1+K1017)*(1+G1018)-1</f>
        <v>-3.6781026507445302E-3</v>
      </c>
      <c r="L1018" s="70">
        <f t="shared" si="215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4"/>
        <v>14108071.329999998</v>
      </c>
      <c r="R1018" s="70">
        <f t="shared" si="180"/>
        <v>0.34416490460639676</v>
      </c>
      <c r="S1018" s="67">
        <f t="shared" si="205"/>
        <v>9232075.2899999991</v>
      </c>
      <c r="T1018" s="70">
        <f t="shared" si="182"/>
        <v>0.20127406723097954</v>
      </c>
      <c r="U1018" s="67">
        <f t="shared" si="206"/>
        <v>26575005.339999996</v>
      </c>
      <c r="V1018" s="70">
        <f t="shared" si="184"/>
        <v>0.93163091351722715</v>
      </c>
      <c r="W1018" s="87">
        <f t="shared" si="216"/>
        <v>9.6996739075017505E-2</v>
      </c>
      <c r="X1018" s="142">
        <f t="shared" si="193"/>
        <v>1.7857142857142857E-4</v>
      </c>
      <c r="Y1018" s="139">
        <f t="shared" si="217"/>
        <v>-2.2981324573714799E-2</v>
      </c>
      <c r="Z1018" s="139">
        <f t="shared" si="218"/>
        <v>-2.2981324573714799E-2</v>
      </c>
      <c r="AA1018" s="139">
        <f t="shared" si="219"/>
        <v>5.2814127916242764E-4</v>
      </c>
      <c r="AB1018" s="144">
        <f t="shared" si="207"/>
        <v>3.899903796734721</v>
      </c>
      <c r="AC1018" s="144">
        <f t="shared" si="208"/>
        <v>-4.4671588706973395E-2</v>
      </c>
      <c r="AD1018" s="144">
        <f t="shared" si="209"/>
        <v>-5.0045696851219595E-2</v>
      </c>
      <c r="AE1018" s="144">
        <f t="shared" si="210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7"/>
        <v>57653609.700000003</v>
      </c>
      <c r="E1019" s="67">
        <f t="shared" si="211"/>
        <v>55303668.579999998</v>
      </c>
      <c r="F1019" s="67">
        <f t="shared" si="212"/>
        <v>2553353.6900000051</v>
      </c>
      <c r="G1019" s="70">
        <f t="shared" si="213"/>
        <v>4.6340142041020715E-2</v>
      </c>
      <c r="H1019" s="70"/>
      <c r="I1019" s="70"/>
      <c r="J1019" s="67">
        <f t="shared" si="214"/>
        <v>2349941.1200000048</v>
      </c>
      <c r="K1019" s="70">
        <f t="shared" si="220"/>
        <v>4.2491595590999243E-2</v>
      </c>
      <c r="L1019" s="70">
        <f t="shared" si="215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4"/>
        <v>13823080.150000006</v>
      </c>
      <c r="R1019" s="70">
        <f t="shared" si="180"/>
        <v>0.31537561357161398</v>
      </c>
      <c r="S1019" s="67">
        <f t="shared" si="205"/>
        <v>9962399.4299999997</v>
      </c>
      <c r="T1019" s="70">
        <f t="shared" si="182"/>
        <v>0.20889382705112045</v>
      </c>
      <c r="U1019" s="67">
        <f t="shared" si="206"/>
        <v>27850646.060000002</v>
      </c>
      <c r="V1019" s="70">
        <f t="shared" si="184"/>
        <v>0.93449250203494194</v>
      </c>
      <c r="W1019" s="87">
        <f t="shared" si="216"/>
        <v>0.31344831228820258</v>
      </c>
      <c r="X1019" s="142">
        <f t="shared" si="193"/>
        <v>1.7857142857142857E-4</v>
      </c>
      <c r="Y1019" s="139">
        <f t="shared" si="217"/>
        <v>4.6161570612449285E-2</v>
      </c>
      <c r="Z1019" s="139">
        <f t="shared" si="218"/>
        <v>0</v>
      </c>
      <c r="AA1019" s="139">
        <f t="shared" si="219"/>
        <v>0</v>
      </c>
      <c r="AB1019" s="144">
        <f t="shared" si="207"/>
        <v>4.3322423591561678</v>
      </c>
      <c r="AC1019" s="144">
        <f t="shared" si="208"/>
        <v>-4.4337272215747965E-2</v>
      </c>
      <c r="AD1019" s="144">
        <f t="shared" si="209"/>
        <v>-4.9981261082271855E-2</v>
      </c>
      <c r="AE1019" s="144">
        <f t="shared" si="210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7"/>
        <v>57942916.079999998</v>
      </c>
      <c r="E1020" s="67">
        <f t="shared" si="211"/>
        <v>55303668.579999998</v>
      </c>
      <c r="F1020" s="67">
        <f t="shared" si="212"/>
        <v>289306.37999999523</v>
      </c>
      <c r="G1020" s="70">
        <f t="shared" si="213"/>
        <v>5.018009826364701E-3</v>
      </c>
      <c r="H1020" s="70"/>
      <c r="I1020" s="70"/>
      <c r="J1020" s="67">
        <f t="shared" si="214"/>
        <v>2639247.5</v>
      </c>
      <c r="K1020" s="70">
        <f t="shared" si="220"/>
        <v>4.7722828661577621E-2</v>
      </c>
      <c r="L1020" s="70">
        <f t="shared" si="215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4"/>
        <v>13872557.729999997</v>
      </c>
      <c r="R1020" s="70">
        <f t="shared" si="180"/>
        <v>0.31478204964494</v>
      </c>
      <c r="S1020" s="67">
        <f t="shared" si="205"/>
        <v>8864111.6099999994</v>
      </c>
      <c r="T1020" s="70">
        <f t="shared" si="182"/>
        <v>0.18060977046452492</v>
      </c>
      <c r="U1020" s="67">
        <f t="shared" si="206"/>
        <v>28193068.919999998</v>
      </c>
      <c r="V1020" s="70">
        <f t="shared" si="184"/>
        <v>0.94767105082498848</v>
      </c>
      <c r="W1020" s="87">
        <f t="shared" si="216"/>
        <v>0.33551681357220753</v>
      </c>
      <c r="X1020" s="142">
        <f t="shared" si="193"/>
        <v>1.7857142857142857E-4</v>
      </c>
      <c r="Y1020" s="139">
        <f t="shared" si="217"/>
        <v>4.839438397793272E-3</v>
      </c>
      <c r="Z1020" s="139">
        <f t="shared" si="218"/>
        <v>0</v>
      </c>
      <c r="AA1020" s="139">
        <f t="shared" si="219"/>
        <v>0</v>
      </c>
      <c r="AB1020" s="144">
        <f t="shared" si="207"/>
        <v>4.256653328618099</v>
      </c>
      <c r="AC1020" s="144">
        <f t="shared" si="208"/>
        <v>-4.3648283325038388E-2</v>
      </c>
      <c r="AD1020" s="144">
        <f t="shared" si="209"/>
        <v>-4.9857859131585129E-2</v>
      </c>
      <c r="AE1020" s="144">
        <f t="shared" si="210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7"/>
        <v>57040146.130000003</v>
      </c>
      <c r="E1021" s="67">
        <f t="shared" si="211"/>
        <v>55303668.579999998</v>
      </c>
      <c r="F1021" s="67">
        <f t="shared" si="212"/>
        <v>-902769.94999999553</v>
      </c>
      <c r="G1021" s="70">
        <f t="shared" si="213"/>
        <v>-1.5580333388011899E-2</v>
      </c>
      <c r="H1021" s="70"/>
      <c r="I1021" s="70"/>
      <c r="J1021" s="67">
        <f t="shared" si="214"/>
        <v>1736477.5500000045</v>
      </c>
      <c r="K1021" s="70">
        <f t="shared" si="220"/>
        <v>3.1398957692799323E-2</v>
      </c>
      <c r="L1021" s="70">
        <f t="shared" si="215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4"/>
        <v>12218720.82</v>
      </c>
      <c r="R1021" s="70">
        <f t="shared" si="180"/>
        <v>0.27260893056147212</v>
      </c>
      <c r="S1021" s="67">
        <f t="shared" si="205"/>
        <v>8137153.5</v>
      </c>
      <c r="T1021" s="70">
        <f t="shared" si="182"/>
        <v>0.16639377392638721</v>
      </c>
      <c r="U1021" s="67">
        <f t="shared" si="206"/>
        <v>27142875.300000004</v>
      </c>
      <c r="V1021" s="70">
        <f t="shared" si="184"/>
        <v>0.90787133897064165</v>
      </c>
      <c r="W1021" s="87">
        <f t="shared" si="216"/>
        <v>0.26110115312550181</v>
      </c>
      <c r="X1021" s="142">
        <f t="shared" si="193"/>
        <v>1.7857142857142857E-4</v>
      </c>
      <c r="Y1021" s="139">
        <f t="shared" si="217"/>
        <v>-1.5758904816583326E-2</v>
      </c>
      <c r="Z1021" s="139">
        <f t="shared" si="218"/>
        <v>-1.5758904816583326E-2</v>
      </c>
      <c r="AA1021" s="139">
        <f t="shared" si="219"/>
        <v>2.4834308101813316E-4</v>
      </c>
      <c r="AB1021" s="144">
        <f t="shared" si="207"/>
        <v>3.8053329856018463</v>
      </c>
      <c r="AC1021" s="144">
        <f t="shared" si="208"/>
        <v>-4.4802668406280236E-2</v>
      </c>
      <c r="AD1021" s="144">
        <f t="shared" si="209"/>
        <v>-5.0220679867112684E-2</v>
      </c>
      <c r="AE1021" s="144">
        <f t="shared" si="210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7"/>
        <v>57731262.640000001</v>
      </c>
      <c r="E1022" s="67">
        <f t="shared" si="211"/>
        <v>55303668.579999998</v>
      </c>
      <c r="F1022" s="67">
        <f t="shared" si="212"/>
        <v>691116.50999999791</v>
      </c>
      <c r="G1022" s="70">
        <f t="shared" si="213"/>
        <v>1.2116317311405139E-2</v>
      </c>
      <c r="H1022" s="70"/>
      <c r="I1022" s="70"/>
      <c r="J1022" s="67">
        <f t="shared" si="214"/>
        <v>2427594.0600000024</v>
      </c>
      <c r="K1022" s="70">
        <f t="shared" si="220"/>
        <v>4.3895714738857894E-2</v>
      </c>
      <c r="L1022" s="70">
        <f t="shared" si="215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4"/>
        <v>9739926.3200000003</v>
      </c>
      <c r="R1022" s="70">
        <f t="shared" si="180"/>
        <v>0.20295176310689572</v>
      </c>
      <c r="S1022" s="67">
        <f t="shared" si="205"/>
        <v>10254422.869999997</v>
      </c>
      <c r="T1022" s="70">
        <f t="shared" si="182"/>
        <v>0.21598789893508527</v>
      </c>
      <c r="U1022" s="67">
        <f t="shared" si="206"/>
        <v>26875961.560000002</v>
      </c>
      <c r="V1022" s="70">
        <f t="shared" si="184"/>
        <v>0.87103222523473112</v>
      </c>
      <c r="W1022" s="87">
        <f t="shared" si="216"/>
        <v>0.31590260873323989</v>
      </c>
      <c r="X1022" s="142">
        <f t="shared" si="193"/>
        <v>1.7857142857142857E-4</v>
      </c>
      <c r="Y1022" s="139">
        <f t="shared" si="217"/>
        <v>1.193774588283371E-2</v>
      </c>
      <c r="Z1022" s="139">
        <f t="shared" si="218"/>
        <v>0</v>
      </c>
      <c r="AA1022" s="139">
        <f t="shared" si="219"/>
        <v>0</v>
      </c>
      <c r="AB1022" s="144">
        <f t="shared" si="207"/>
        <v>4.0422670171212607</v>
      </c>
      <c r="AC1022" s="144">
        <f t="shared" si="208"/>
        <v>-4.4912466628403466E-2</v>
      </c>
      <c r="AD1022" s="144">
        <f t="shared" si="209"/>
        <v>-5.0072266084014549E-2</v>
      </c>
      <c r="AE1022" s="144">
        <f t="shared" si="210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7"/>
        <v>57371169.270000003</v>
      </c>
      <c r="E1023" s="67">
        <f t="shared" si="211"/>
        <v>55303668.579999998</v>
      </c>
      <c r="F1023" s="67">
        <f t="shared" si="212"/>
        <v>-360093.36999999732</v>
      </c>
      <c r="G1023" s="70">
        <f t="shared" si="213"/>
        <v>-6.2374067971709499E-3</v>
      </c>
      <c r="H1023" s="70"/>
      <c r="I1023" s="70"/>
      <c r="J1023" s="67">
        <f t="shared" si="214"/>
        <v>2067500.6900000051</v>
      </c>
      <c r="K1023" s="70">
        <f t="shared" si="220"/>
        <v>3.738451251220809E-2</v>
      </c>
      <c r="L1023" s="70">
        <f t="shared" si="215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4"/>
        <v>8580380.950000003</v>
      </c>
      <c r="R1023" s="70">
        <f t="shared" si="180"/>
        <v>0.17586067463646185</v>
      </c>
      <c r="S1023" s="67">
        <f t="shared" si="205"/>
        <v>9124530.5400000066</v>
      </c>
      <c r="T1023" s="70">
        <f t="shared" si="182"/>
        <v>0.18912261621090568</v>
      </c>
      <c r="U1023" s="67">
        <f t="shared" si="206"/>
        <v>25893616.180000003</v>
      </c>
      <c r="V1023" s="70">
        <f t="shared" si="184"/>
        <v>0.82260575038871309</v>
      </c>
      <c r="W1023" s="87">
        <f t="shared" si="216"/>
        <v>0.28571349087441478</v>
      </c>
      <c r="X1023" s="142">
        <f t="shared" si="193"/>
        <v>1.7857142857142857E-4</v>
      </c>
      <c r="Y1023" s="139">
        <f t="shared" si="217"/>
        <v>-6.4159782257423789E-3</v>
      </c>
      <c r="Z1023" s="139">
        <f t="shared" si="218"/>
        <v>-6.4159782257423789E-3</v>
      </c>
      <c r="AA1023" s="139">
        <f t="shared" si="219"/>
        <v>4.1164776593200324E-5</v>
      </c>
      <c r="AB1023" s="144">
        <f t="shared" si="207"/>
        <v>3.9742095153401973</v>
      </c>
      <c r="AC1023" s="144">
        <f t="shared" si="208"/>
        <v>-4.4174434463342467E-2</v>
      </c>
      <c r="AD1023" s="144">
        <f t="shared" si="209"/>
        <v>-4.9563912690452579E-2</v>
      </c>
      <c r="AE1023" s="144">
        <f t="shared" si="210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7"/>
        <v>59450600.979999997</v>
      </c>
      <c r="E1024" s="67">
        <f t="shared" si="211"/>
        <v>55303668.579999998</v>
      </c>
      <c r="F1024" s="67">
        <f t="shared" si="212"/>
        <v>2079431.7099999934</v>
      </c>
      <c r="G1024" s="70">
        <f t="shared" si="213"/>
        <v>3.6245238443960923E-2</v>
      </c>
      <c r="H1024" s="70"/>
      <c r="I1024" s="70"/>
      <c r="J1024" s="67">
        <f t="shared" si="214"/>
        <v>4146932.3999999985</v>
      </c>
      <c r="K1024" s="70">
        <f t="shared" ref="K1024:K1030" si="221">(1+K1023)*(1+G1024)-1</f>
        <v>7.4984761526285082E-2</v>
      </c>
      <c r="L1024" s="70">
        <f t="shared" ref="L1024:L1055" si="222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4"/>
        <v>14254278.509999998</v>
      </c>
      <c r="R1024" s="70">
        <f t="shared" si="180"/>
        <v>0.31538580422027862</v>
      </c>
      <c r="S1024" s="67">
        <f t="shared" si="205"/>
        <v>11412949.449999996</v>
      </c>
      <c r="T1024" s="70">
        <f t="shared" si="182"/>
        <v>0.23758341814175685</v>
      </c>
      <c r="U1024" s="67">
        <f t="shared" si="206"/>
        <v>27764368.139999997</v>
      </c>
      <c r="V1024" s="70">
        <f t="shared" si="184"/>
        <v>0.87622811711939674</v>
      </c>
      <c r="W1024" s="87">
        <f t="shared" ref="W1024:W1055" si="223">O1024/P1024</f>
        <v>0.44809755721359623</v>
      </c>
      <c r="X1024" s="142">
        <f t="shared" si="193"/>
        <v>1.7857142857142857E-4</v>
      </c>
      <c r="Y1024" s="139">
        <f t="shared" ref="Y1024:Y1055" si="224">G1024-X1024</f>
        <v>3.6066667015389492E-2</v>
      </c>
      <c r="Z1024" s="139">
        <f t="shared" ref="Z1024:Z1055" si="225">IF(Y1024&lt;0,Y1024,0)</f>
        <v>0</v>
      </c>
      <c r="AA1024" s="139">
        <f t="shared" ref="AA1024:AA1055" si="226">Z1024^2</f>
        <v>0</v>
      </c>
      <c r="AB1024" s="144">
        <f t="shared" ref="AB1024:AB1055" si="227">AVERAGE(Y771:Y1024)/AVERAGE(AA771:AA1024)</f>
        <v>4.5184788832327554</v>
      </c>
      <c r="AC1024" s="144">
        <f t="shared" ref="AC1024:AC1055" si="228">AVERAGE(G993:G1024)-_xlfn.NORM.S.INV(0.95)*_xlfn.STDEV.S(G993:G1024)</f>
        <v>-4.4217897737016468E-2</v>
      </c>
      <c r="AD1024" s="144">
        <f t="shared" ref="AD1024:AD1055" si="229">AVERAGE(G933:G1024)-_xlfn.NORM.S.INV(0.95)*_xlfn.STDEV.S(G933:G1024)</f>
        <v>-4.9621864237930587E-2</v>
      </c>
      <c r="AE1024" s="144">
        <f t="shared" ref="AE1024:AE1055" si="230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7"/>
        <v>59759941.460000001</v>
      </c>
      <c r="E1025" s="67">
        <f t="shared" si="211"/>
        <v>55303668.579999998</v>
      </c>
      <c r="F1025" s="67">
        <f t="shared" si="212"/>
        <v>309340.48000000417</v>
      </c>
      <c r="G1025" s="70">
        <f t="shared" si="213"/>
        <v>5.2033196452306776E-3</v>
      </c>
      <c r="H1025" s="70"/>
      <c r="I1025" s="70"/>
      <c r="J1025" s="67">
        <f t="shared" si="214"/>
        <v>4456272.8800000027</v>
      </c>
      <c r="K1025" s="70">
        <f t="shared" si="221"/>
        <v>8.0578250854258293E-2</v>
      </c>
      <c r="L1025" s="70">
        <f t="shared" si="222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4"/>
        <v>16740200.990000002</v>
      </c>
      <c r="R1025" s="70">
        <f t="shared" si="180"/>
        <v>0.38912835844916016</v>
      </c>
      <c r="S1025" s="67">
        <f t="shared" si="205"/>
        <v>13129255.109999999</v>
      </c>
      <c r="T1025" s="70">
        <f t="shared" si="182"/>
        <v>0.28155826426089048</v>
      </c>
      <c r="U1025" s="67">
        <f t="shared" si="206"/>
        <v>28105408</v>
      </c>
      <c r="V1025" s="70">
        <f t="shared" si="184"/>
        <v>0.88787939444803932</v>
      </c>
      <c r="W1025" s="87">
        <f t="shared" si="223"/>
        <v>0.46978905071671251</v>
      </c>
      <c r="X1025" s="142">
        <f t="shared" si="193"/>
        <v>1.7857142857142857E-4</v>
      </c>
      <c r="Y1025" s="139">
        <f t="shared" si="224"/>
        <v>5.0247482166592486E-3</v>
      </c>
      <c r="Z1025" s="139">
        <f t="shared" si="225"/>
        <v>0</v>
      </c>
      <c r="AA1025" s="139">
        <f t="shared" si="226"/>
        <v>0</v>
      </c>
      <c r="AB1025" s="144">
        <f t="shared" si="227"/>
        <v>4.8199888981310988</v>
      </c>
      <c r="AC1025" s="144">
        <f t="shared" si="228"/>
        <v>-3.5683042109203977E-2</v>
      </c>
      <c r="AD1025" s="144">
        <f t="shared" si="229"/>
        <v>-4.9507518264733943E-2</v>
      </c>
      <c r="AE1025" s="144">
        <f t="shared" si="230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7"/>
        <v>59759368.4374597</v>
      </c>
      <c r="E1026" s="67">
        <f t="shared" si="211"/>
        <v>55303668.579999998</v>
      </c>
      <c r="F1026" s="67">
        <f t="shared" si="212"/>
        <v>-573.02254030108452</v>
      </c>
      <c r="G1026" s="70">
        <f t="shared" si="213"/>
        <v>-9.5887399870469109E-6</v>
      </c>
      <c r="H1026" s="70"/>
      <c r="I1026" s="70"/>
      <c r="J1026" s="67">
        <f t="shared" si="214"/>
        <v>4455699.8574597016</v>
      </c>
      <c r="K1026" s="70">
        <f t="shared" si="221"/>
        <v>8.0567889470375187E-2</v>
      </c>
      <c r="L1026" s="70">
        <f t="shared" si="222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4"/>
        <v>13981034.797459699</v>
      </c>
      <c r="R1026" s="70">
        <f t="shared" si="180"/>
        <v>0.30540724586889306</v>
      </c>
      <c r="S1026" s="67">
        <f t="shared" si="205"/>
        <v>12546453.197459698</v>
      </c>
      <c r="T1026" s="70">
        <f t="shared" si="182"/>
        <v>0.26574197195156501</v>
      </c>
      <c r="U1026" s="67">
        <f t="shared" si="206"/>
        <v>28249590.467459701</v>
      </c>
      <c r="V1026" s="70">
        <f t="shared" si="184"/>
        <v>0.8965341010766793</v>
      </c>
      <c r="W1026" s="87">
        <f t="shared" si="223"/>
        <v>0.4677661114969846</v>
      </c>
      <c r="X1026" s="142">
        <f t="shared" si="193"/>
        <v>1.7857142857142857E-4</v>
      </c>
      <c r="Y1026" s="139">
        <f t="shared" si="224"/>
        <v>-1.8816016855847549E-4</v>
      </c>
      <c r="Z1026" s="139">
        <f t="shared" si="225"/>
        <v>-1.8816016855847549E-4</v>
      </c>
      <c r="AA1026" s="139">
        <f t="shared" si="226"/>
        <v>3.5404249031953908E-8</v>
      </c>
      <c r="AB1026" s="144">
        <f t="shared" si="227"/>
        <v>4.6974978137538086</v>
      </c>
      <c r="AC1026" s="144">
        <f t="shared" si="228"/>
        <v>-3.0860405290159876E-2</v>
      </c>
      <c r="AD1026" s="144">
        <f t="shared" si="229"/>
        <v>-4.8899308502572895E-2</v>
      </c>
      <c r="AE1026" s="144">
        <f t="shared" si="230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7"/>
        <v>60455080.460000001</v>
      </c>
      <c r="E1027" s="67">
        <f t="shared" si="211"/>
        <v>55303668.579999998</v>
      </c>
      <c r="F1027" s="67">
        <f t="shared" si="212"/>
        <v>695712.02254030108</v>
      </c>
      <c r="G1027" s="70">
        <f t="shared" si="213"/>
        <v>1.1641890480626287E-2</v>
      </c>
      <c r="H1027" s="70"/>
      <c r="I1027" s="70"/>
      <c r="J1027" s="67">
        <f t="shared" si="214"/>
        <v>5151411.8800000027</v>
      </c>
      <c r="K1027" s="70">
        <f t="shared" si="221"/>
        <v>9.3147742496470842E-2</v>
      </c>
      <c r="L1027" s="70">
        <f t="shared" si="222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4"/>
        <v>11440906.590000004</v>
      </c>
      <c r="R1027" s="70">
        <f t="shared" si="180"/>
        <v>0.233420369796391</v>
      </c>
      <c r="S1027" s="67">
        <f t="shared" si="205"/>
        <v>12994101.32</v>
      </c>
      <c r="T1027" s="70">
        <f t="shared" si="182"/>
        <v>0.27378493986965818</v>
      </c>
      <c r="U1027" s="67">
        <f t="shared" si="206"/>
        <v>28779496.400000002</v>
      </c>
      <c r="V1027" s="70">
        <f t="shared" si="184"/>
        <v>0.9085703469740537</v>
      </c>
      <c r="W1027" s="87">
        <f t="shared" si="223"/>
        <v>0.51796298984216715</v>
      </c>
      <c r="X1027" s="142">
        <f t="shared" si="193"/>
        <v>1.7857142857142857E-4</v>
      </c>
      <c r="Y1027" s="139">
        <f t="shared" si="224"/>
        <v>1.1463319052054858E-2</v>
      </c>
      <c r="Z1027" s="139">
        <f t="shared" si="225"/>
        <v>0</v>
      </c>
      <c r="AA1027" s="139">
        <f t="shared" si="226"/>
        <v>0</v>
      </c>
      <c r="AB1027" s="144">
        <f t="shared" si="227"/>
        <v>4.9997023658431008</v>
      </c>
      <c r="AC1027" s="144">
        <f t="shared" si="228"/>
        <v>-2.9379425998385028E-2</v>
      </c>
      <c r="AD1027" s="144">
        <f t="shared" si="229"/>
        <v>-4.890396571954389E-2</v>
      </c>
      <c r="AE1027" s="144">
        <f t="shared" si="230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7"/>
        <v>61701123.100000001</v>
      </c>
      <c r="E1028" s="67">
        <f t="shared" si="211"/>
        <v>55303668.579999998</v>
      </c>
      <c r="F1028" s="67">
        <f t="shared" si="212"/>
        <v>1246042.6400000006</v>
      </c>
      <c r="G1028" s="70">
        <f t="shared" si="213"/>
        <v>2.0611049237200876E-2</v>
      </c>
      <c r="H1028" s="70"/>
      <c r="I1028" s="70"/>
      <c r="J1028" s="67">
        <f t="shared" si="214"/>
        <v>6397454.5200000033</v>
      </c>
      <c r="K1028" s="70">
        <f t="shared" si="221"/>
        <v>0.11567866444060071</v>
      </c>
      <c r="L1028" s="70">
        <f t="shared" si="222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4"/>
        <v>10098206.259999998</v>
      </c>
      <c r="R1028" s="70">
        <f t="shared" si="180"/>
        <v>0.19569060972484356</v>
      </c>
      <c r="S1028" s="67">
        <f t="shared" si="205"/>
        <v>14793261.109999999</v>
      </c>
      <c r="T1028" s="70">
        <f t="shared" si="182"/>
        <v>0.31536847944921648</v>
      </c>
      <c r="U1028" s="67">
        <f t="shared" si="206"/>
        <v>30179920.440000001</v>
      </c>
      <c r="V1028" s="70">
        <f t="shared" si="184"/>
        <v>0.95744825365746378</v>
      </c>
      <c r="W1028" s="87">
        <f t="shared" si="223"/>
        <v>0.60709873089167543</v>
      </c>
      <c r="X1028" s="142">
        <f t="shared" si="193"/>
        <v>1.7857142857142857E-4</v>
      </c>
      <c r="Y1028" s="139">
        <f t="shared" si="224"/>
        <v>2.0432477808629449E-2</v>
      </c>
      <c r="Z1028" s="139">
        <f t="shared" si="225"/>
        <v>0</v>
      </c>
      <c r="AA1028" s="139">
        <f t="shared" si="226"/>
        <v>0</v>
      </c>
      <c r="AB1028" s="144">
        <f t="shared" si="227"/>
        <v>5.4822150485508976</v>
      </c>
      <c r="AC1028" s="144">
        <f t="shared" si="228"/>
        <v>-2.6545217471954069E-2</v>
      </c>
      <c r="AD1028" s="144">
        <f t="shared" si="229"/>
        <v>-4.8826139676213277E-2</v>
      </c>
      <c r="AE1028" s="144">
        <f t="shared" si="230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7"/>
        <v>62588119.509999998</v>
      </c>
      <c r="E1029" s="67">
        <f t="shared" si="211"/>
        <v>55303668.579999998</v>
      </c>
      <c r="F1029" s="67">
        <f t="shared" si="212"/>
        <v>886996.40999999642</v>
      </c>
      <c r="G1029" s="70">
        <f t="shared" si="213"/>
        <v>1.4375693106305813E-2</v>
      </c>
      <c r="H1029" s="70"/>
      <c r="I1029" s="70"/>
      <c r="J1029" s="67">
        <f t="shared" si="214"/>
        <v>7284450.9299999997</v>
      </c>
      <c r="K1029" s="70">
        <f t="shared" si="221"/>
        <v>0.13171731852585178</v>
      </c>
      <c r="L1029" s="70">
        <f t="shared" si="222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4"/>
        <v>11674656.129999995</v>
      </c>
      <c r="R1029" s="70">
        <f t="shared" si="180"/>
        <v>0.22930390814045609</v>
      </c>
      <c r="S1029" s="67">
        <f t="shared" si="205"/>
        <v>15792049.759999998</v>
      </c>
      <c r="T1029" s="70">
        <f t="shared" si="182"/>
        <v>0.33746530091878063</v>
      </c>
      <c r="U1029" s="67">
        <f t="shared" si="206"/>
        <v>30601014.259999998</v>
      </c>
      <c r="V1029" s="70">
        <f t="shared" si="184"/>
        <v>0.95666719513482701</v>
      </c>
      <c r="W1029" s="87">
        <f t="shared" si="223"/>
        <v>0.6681112812146045</v>
      </c>
      <c r="X1029" s="142">
        <f t="shared" si="193"/>
        <v>1.7857142857142857E-4</v>
      </c>
      <c r="Y1029" s="139">
        <f t="shared" si="224"/>
        <v>1.4197121677734384E-2</v>
      </c>
      <c r="Z1029" s="139">
        <f t="shared" si="225"/>
        <v>0</v>
      </c>
      <c r="AA1029" s="139">
        <f t="shared" si="226"/>
        <v>0</v>
      </c>
      <c r="AB1029" s="144">
        <f t="shared" si="227"/>
        <v>5.3521077197049856</v>
      </c>
      <c r="AC1029" s="144">
        <f t="shared" si="228"/>
        <v>-2.5089684071027921E-2</v>
      </c>
      <c r="AD1029" s="144">
        <f t="shared" si="229"/>
        <v>-4.8517680133965492E-2</v>
      </c>
      <c r="AE1029" s="144">
        <f t="shared" si="230"/>
        <v>-3.9324804751633496E-2</v>
      </c>
    </row>
    <row r="1030" spans="1:31">
      <c r="A1030" s="88">
        <v>45463</v>
      </c>
      <c r="B1030" s="78">
        <v>61583294.57</v>
      </c>
      <c r="D1030" s="67">
        <f t="shared" si="197"/>
        <v>61583294.57</v>
      </c>
      <c r="E1030" s="67">
        <f t="shared" si="211"/>
        <v>55303668.579999998</v>
      </c>
      <c r="F1030" s="67">
        <f t="shared" si="212"/>
        <v>-1004824.9399999976</v>
      </c>
      <c r="G1030" s="70">
        <f t="shared" si="213"/>
        <v>-1.6054563515675718E-2</v>
      </c>
      <c r="H1030" s="70"/>
      <c r="I1030" s="70"/>
      <c r="J1030" s="67">
        <f t="shared" si="214"/>
        <v>6279625.9900000021</v>
      </c>
      <c r="K1030" s="70">
        <f t="shared" si="221"/>
        <v>0.11354809095378826</v>
      </c>
      <c r="L1030" s="70">
        <f t="shared" si="222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4"/>
        <v>10730993.060000002</v>
      </c>
      <c r="R1030" s="70">
        <f t="shared" si="180"/>
        <v>0.21102276084573626</v>
      </c>
      <c r="S1030" s="67">
        <f t="shared" si="205"/>
        <v>14393516.649999999</v>
      </c>
      <c r="T1030" s="70">
        <f t="shared" si="182"/>
        <v>0.30501344325885732</v>
      </c>
      <c r="U1030" s="67">
        <f t="shared" si="206"/>
        <v>29049569.109999999</v>
      </c>
      <c r="V1030" s="70">
        <f t="shared" si="184"/>
        <v>0.89290632103342271</v>
      </c>
      <c r="W1030" s="87">
        <f t="shared" si="223"/>
        <v>0.59335112932721301</v>
      </c>
      <c r="X1030" s="142">
        <f t="shared" si="193"/>
        <v>1.7857142857142857E-4</v>
      </c>
      <c r="Y1030" s="139">
        <f t="shared" si="224"/>
        <v>-1.6233134944247146E-2</v>
      </c>
      <c r="Z1030" s="139">
        <f t="shared" si="225"/>
        <v>-1.6233134944247146E-2</v>
      </c>
      <c r="AA1030" s="139">
        <f t="shared" si="226"/>
        <v>2.6351467011813775E-4</v>
      </c>
      <c r="AB1030" s="144">
        <f t="shared" si="227"/>
        <v>5.1152593036824374</v>
      </c>
      <c r="AC1030" s="144">
        <f t="shared" si="228"/>
        <v>-2.5331579680308969E-2</v>
      </c>
      <c r="AD1030" s="144">
        <f t="shared" si="229"/>
        <v>-4.8763263572841553E-2</v>
      </c>
      <c r="AE1030" s="144">
        <f t="shared" si="230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7"/>
        <v>59897360.210000001</v>
      </c>
      <c r="E1031" s="67">
        <f t="shared" si="211"/>
        <v>55303668.579999998</v>
      </c>
      <c r="F1031" s="67">
        <f t="shared" si="212"/>
        <v>-1685934.3599999994</v>
      </c>
      <c r="G1031" s="70">
        <f t="shared" si="213"/>
        <v>-2.7376488571647383E-2</v>
      </c>
      <c r="H1031" s="70"/>
      <c r="I1031" s="70"/>
      <c r="J1031" s="67">
        <f t="shared" si="214"/>
        <v>4593691.6300000027</v>
      </c>
      <c r="K1031" s="70">
        <f t="shared" ref="K1031:K1038" si="231">(1+K1030)*(1+G1031)-1</f>
        <v>8.3063054367812139E-2</v>
      </c>
      <c r="L1031" s="70">
        <f t="shared" si="222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4"/>
        <v>8676403.5300000012</v>
      </c>
      <c r="R1031" s="70">
        <f t="shared" si="180"/>
        <v>0.16939167271328681</v>
      </c>
      <c r="S1031" s="67">
        <f t="shared" si="205"/>
        <v>13755978.300000004</v>
      </c>
      <c r="T1031" s="70">
        <f t="shared" si="182"/>
        <v>0.29812670818640435</v>
      </c>
      <c r="U1031" s="67">
        <f t="shared" si="206"/>
        <v>27184291.32</v>
      </c>
      <c r="V1031" s="70">
        <f t="shared" si="184"/>
        <v>0.83099177920020573</v>
      </c>
      <c r="W1031" s="87">
        <f t="shared" si="223"/>
        <v>0.46841427140974312</v>
      </c>
      <c r="X1031" s="142">
        <f t="shared" si="193"/>
        <v>1.7857142857142857E-4</v>
      </c>
      <c r="Y1031" s="139">
        <f t="shared" si="224"/>
        <v>-2.755506000021881E-2</v>
      </c>
      <c r="Z1031" s="139">
        <f t="shared" si="225"/>
        <v>-2.755506000021881E-2</v>
      </c>
      <c r="AA1031" s="139">
        <f t="shared" si="226"/>
        <v>7.5928133161565865E-4</v>
      </c>
      <c r="AB1031" s="144">
        <f t="shared" si="227"/>
        <v>4.8517727633825167</v>
      </c>
      <c r="AC1031" s="144">
        <f t="shared" si="228"/>
        <v>-2.7583956780760425E-2</v>
      </c>
      <c r="AD1031" s="144">
        <f t="shared" si="229"/>
        <v>-4.9405188987036518E-2</v>
      </c>
      <c r="AE1031" s="144">
        <f t="shared" si="230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7"/>
        <v>58039692.740000002</v>
      </c>
      <c r="E1032" s="67">
        <f t="shared" si="211"/>
        <v>55303668.579999998</v>
      </c>
      <c r="F1032" s="67">
        <f t="shared" si="212"/>
        <v>-1857667.4699999988</v>
      </c>
      <c r="G1032" s="70">
        <f t="shared" si="213"/>
        <v>-3.1014179314197171E-2</v>
      </c>
      <c r="H1032" s="70"/>
      <c r="I1032" s="70"/>
      <c r="J1032" s="67">
        <f t="shared" si="214"/>
        <v>2736024.1600000039</v>
      </c>
      <c r="K1032" s="70">
        <f t="shared" si="231"/>
        <v>4.9472742591066821E-2</v>
      </c>
      <c r="L1032" s="70">
        <f t="shared" si="222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4"/>
        <v>5496072.2600000054</v>
      </c>
      <c r="R1032" s="70">
        <f t="shared" si="180"/>
        <v>0.10460018190204479</v>
      </c>
      <c r="S1032" s="67">
        <f t="shared" si="205"/>
        <v>10954448.550000004</v>
      </c>
      <c r="T1032" s="70">
        <f t="shared" si="182"/>
        <v>0.2326514121026162</v>
      </c>
      <c r="U1032" s="67">
        <f t="shared" si="206"/>
        <v>25328838.57</v>
      </c>
      <c r="V1032" s="70">
        <f t="shared" si="184"/>
        <v>0.77432519610661088</v>
      </c>
      <c r="W1032" s="87">
        <f t="shared" si="223"/>
        <v>0.32924993364377908</v>
      </c>
      <c r="X1032" s="142">
        <f t="shared" si="193"/>
        <v>1.7857142857142857E-4</v>
      </c>
      <c r="Y1032" s="139">
        <f t="shared" si="224"/>
        <v>-3.1192750742768598E-2</v>
      </c>
      <c r="Z1032" s="139">
        <f t="shared" si="225"/>
        <v>-3.1192750742768598E-2</v>
      </c>
      <c r="AA1032" s="139">
        <f t="shared" si="226"/>
        <v>9.7298769890049089E-4</v>
      </c>
      <c r="AB1032" s="144">
        <f t="shared" si="227"/>
        <v>4.0635517771698613</v>
      </c>
      <c r="AC1032" s="144">
        <f t="shared" si="228"/>
        <v>-3.0448788498208285E-2</v>
      </c>
      <c r="AD1032" s="144">
        <f t="shared" si="229"/>
        <v>-4.9647465580693134E-2</v>
      </c>
      <c r="AE1032" s="144">
        <f t="shared" si="230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7"/>
        <v>59998846.020000003</v>
      </c>
      <c r="E1033" s="67">
        <f t="shared" si="211"/>
        <v>55303668.579999998</v>
      </c>
      <c r="F1033" s="67">
        <f t="shared" si="212"/>
        <v>1959153.2800000012</v>
      </c>
      <c r="G1033" s="70">
        <f t="shared" si="213"/>
        <v>3.3755404060741775E-2</v>
      </c>
      <c r="H1033" s="70"/>
      <c r="I1033" s="70"/>
      <c r="J1033" s="67">
        <f t="shared" si="214"/>
        <v>4695177.4400000051</v>
      </c>
      <c r="K1033" s="70">
        <f t="shared" si="231"/>
        <v>8.4898119067963185E-2</v>
      </c>
      <c r="L1033" s="70">
        <f t="shared" si="222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4"/>
        <v>7702269.6400000006</v>
      </c>
      <c r="R1033" s="70">
        <f t="shared" si="180"/>
        <v>0.14728057117990637</v>
      </c>
      <c r="S1033" s="67">
        <f t="shared" si="205"/>
        <v>12377098.580000006</v>
      </c>
      <c r="T1033" s="70">
        <f t="shared" si="182"/>
        <v>0.25990433458146966</v>
      </c>
      <c r="U1033" s="67">
        <f t="shared" si="206"/>
        <v>26378445</v>
      </c>
      <c r="V1033" s="70">
        <f t="shared" si="184"/>
        <v>0.78459638194999726</v>
      </c>
      <c r="W1033" s="87">
        <f t="shared" si="223"/>
        <v>0.47195036191083678</v>
      </c>
      <c r="X1033" s="142">
        <f t="shared" si="193"/>
        <v>1.7857142857142857E-4</v>
      </c>
      <c r="Y1033" s="139">
        <f t="shared" si="224"/>
        <v>3.3576832632170345E-2</v>
      </c>
      <c r="Z1033" s="139">
        <f t="shared" si="225"/>
        <v>0</v>
      </c>
      <c r="AA1033" s="139">
        <f t="shared" si="226"/>
        <v>0</v>
      </c>
      <c r="AB1033" s="144">
        <f t="shared" si="227"/>
        <v>4.4035650261953068</v>
      </c>
      <c r="AC1033" s="144">
        <f t="shared" si="228"/>
        <v>-3.0691216636420583E-2</v>
      </c>
      <c r="AD1033" s="144">
        <f t="shared" si="229"/>
        <v>-4.9687762671392369E-2</v>
      </c>
      <c r="AE1033" s="144">
        <f t="shared" si="230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7"/>
        <v>59507744.539999999</v>
      </c>
      <c r="E1034" s="67">
        <f t="shared" si="211"/>
        <v>55303668.579999998</v>
      </c>
      <c r="F1034" s="67">
        <f t="shared" si="212"/>
        <v>-491101.48000000417</v>
      </c>
      <c r="G1034" s="70">
        <f t="shared" si="213"/>
        <v>-8.1851820922739169E-3</v>
      </c>
      <c r="H1034" s="70"/>
      <c r="I1034" s="70"/>
      <c r="J1034" s="67">
        <f t="shared" si="214"/>
        <v>4204075.9600000009</v>
      </c>
      <c r="K1034" s="70">
        <f t="shared" si="231"/>
        <v>7.6018030411826532E-2</v>
      </c>
      <c r="L1034" s="70">
        <f t="shared" si="222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4"/>
        <v>5982420.1400000006</v>
      </c>
      <c r="R1034" s="70">
        <f t="shared" si="180"/>
        <v>0.11176803143298653</v>
      </c>
      <c r="S1034" s="67">
        <f t="shared" si="205"/>
        <v>11827597.159999996</v>
      </c>
      <c r="T1034" s="70">
        <f t="shared" si="182"/>
        <v>0.24806125420999056</v>
      </c>
      <c r="U1034" s="67">
        <f t="shared" si="206"/>
        <v>25866417.259999998</v>
      </c>
      <c r="V1034" s="70">
        <f t="shared" si="184"/>
        <v>0.76888813109873222</v>
      </c>
      <c r="W1034" s="87">
        <f t="shared" si="223"/>
        <v>0.43473863404744162</v>
      </c>
      <c r="X1034" s="142">
        <f t="shared" si="193"/>
        <v>1.7857142857142857E-4</v>
      </c>
      <c r="Y1034" s="139">
        <f t="shared" si="224"/>
        <v>-8.3637535208453458E-3</v>
      </c>
      <c r="Z1034" s="139">
        <f t="shared" si="225"/>
        <v>-8.3637535208453458E-3</v>
      </c>
      <c r="AA1034" s="139">
        <f t="shared" si="226"/>
        <v>6.9952372957452923E-5</v>
      </c>
      <c r="AB1034" s="144">
        <f t="shared" si="227"/>
        <v>4.3288714239477093</v>
      </c>
      <c r="AC1034" s="144">
        <f t="shared" si="228"/>
        <v>-3.0896309213307223E-2</v>
      </c>
      <c r="AD1034" s="144">
        <f t="shared" si="229"/>
        <v>-4.9911791265889273E-2</v>
      </c>
      <c r="AE1034" s="144">
        <f t="shared" si="230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7"/>
        <v>58724567.609999999</v>
      </c>
      <c r="E1035" s="67">
        <f t="shared" si="211"/>
        <v>55303668.579999998</v>
      </c>
      <c r="F1035" s="67">
        <f t="shared" si="212"/>
        <v>-783176.9299999997</v>
      </c>
      <c r="G1035" s="70">
        <f t="shared" si="213"/>
        <v>-1.3160924448641517E-2</v>
      </c>
      <c r="H1035" s="70"/>
      <c r="I1035" s="70"/>
      <c r="J1035" s="67">
        <f t="shared" si="214"/>
        <v>3420899.0300000012</v>
      </c>
      <c r="K1035" s="70">
        <f t="shared" si="231"/>
        <v>6.1856638408200437E-2</v>
      </c>
      <c r="L1035" s="70">
        <f t="shared" si="222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4"/>
        <v>2449119.6599999964</v>
      </c>
      <c r="R1035" s="70">
        <f t="shared" si="180"/>
        <v>4.3520216172708341E-2</v>
      </c>
      <c r="S1035" s="67">
        <f t="shared" si="205"/>
        <v>11331434.32</v>
      </c>
      <c r="T1035" s="70">
        <f t="shared" si="182"/>
        <v>0.2390944327454067</v>
      </c>
      <c r="U1035" s="67">
        <f t="shared" si="206"/>
        <v>26158139.800000001</v>
      </c>
      <c r="V1035" s="70">
        <f t="shared" si="184"/>
        <v>0.80322410405625644</v>
      </c>
      <c r="W1035" s="87">
        <f t="shared" si="223"/>
        <v>0.37636696389471186</v>
      </c>
      <c r="X1035" s="142">
        <f t="shared" si="193"/>
        <v>1.7857142857142857E-4</v>
      </c>
      <c r="Y1035" s="139">
        <f t="shared" si="224"/>
        <v>-1.3339495877212946E-2</v>
      </c>
      <c r="Z1035" s="139">
        <f t="shared" si="225"/>
        <v>-1.3339495877212946E-2</v>
      </c>
      <c r="AA1035" s="139">
        <f t="shared" si="226"/>
        <v>1.7794215025818119E-4</v>
      </c>
      <c r="AB1035" s="144">
        <f t="shared" si="227"/>
        <v>4.287867926125271</v>
      </c>
      <c r="AC1035" s="144">
        <f t="shared" si="228"/>
        <v>-3.1955576482478786E-2</v>
      </c>
      <c r="AD1035" s="144">
        <f t="shared" si="229"/>
        <v>-5.0136646312727469E-2</v>
      </c>
      <c r="AE1035" s="144">
        <f t="shared" si="230"/>
        <v>-3.9895464899501104E-2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7"/>
        <v>59394922.759999998</v>
      </c>
      <c r="E1036" s="80">
        <f t="shared" si="211"/>
        <v>55303668.579999998</v>
      </c>
      <c r="F1036" s="80">
        <f t="shared" si="212"/>
        <v>670355.14999999851</v>
      </c>
      <c r="G1036" s="81">
        <f t="shared" si="213"/>
        <v>1.1415241989552702E-2</v>
      </c>
      <c r="H1036" s="81"/>
      <c r="I1036" s="81"/>
      <c r="J1036" s="80">
        <f t="shared" si="214"/>
        <v>4091254.1799999997</v>
      </c>
      <c r="K1036" s="81">
        <f t="shared" si="231"/>
        <v>7.3977988893842994E-2</v>
      </c>
      <c r="L1036" s="81">
        <f t="shared" si="222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4"/>
        <v>3752622.0599999949</v>
      </c>
      <c r="R1036" s="81">
        <f t="shared" si="180"/>
        <v>6.7441892459346037E-2</v>
      </c>
      <c r="S1036" s="80">
        <f t="shared" si="205"/>
        <v>12514370.489999995</v>
      </c>
      <c r="T1036" s="81">
        <f t="shared" si="182"/>
        <v>0.26694161830529978</v>
      </c>
      <c r="U1036" s="80">
        <f t="shared" si="206"/>
        <v>26166386.989999998</v>
      </c>
      <c r="V1036" s="81">
        <f t="shared" si="184"/>
        <v>0.78746734948291097</v>
      </c>
      <c r="W1036" s="136">
        <f t="shared" si="223"/>
        <v>0.42330763486571055</v>
      </c>
      <c r="X1036" s="143">
        <f t="shared" si="193"/>
        <v>1.7857142857142857E-4</v>
      </c>
      <c r="Y1036" s="140">
        <f t="shared" si="224"/>
        <v>1.1236670560981273E-2</v>
      </c>
      <c r="Z1036" s="140">
        <f t="shared" si="225"/>
        <v>0</v>
      </c>
      <c r="AA1036" s="140">
        <f t="shared" si="226"/>
        <v>0</v>
      </c>
      <c r="AB1036" s="145">
        <f t="shared" si="227"/>
        <v>4.9041985588739401</v>
      </c>
      <c r="AC1036" s="145">
        <f t="shared" si="228"/>
        <v>-3.0304136490358687E-2</v>
      </c>
      <c r="AD1036" s="145">
        <f t="shared" si="229"/>
        <v>-4.9949627576061889E-2</v>
      </c>
      <c r="AE1036" s="145">
        <f t="shared" si="230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7"/>
        <v>59663049.789999999</v>
      </c>
      <c r="E1037" s="67">
        <f t="shared" si="211"/>
        <v>59394922.759999998</v>
      </c>
      <c r="F1037" s="67">
        <f t="shared" si="212"/>
        <v>268127.03000000119</v>
      </c>
      <c r="G1037" s="70">
        <f t="shared" si="213"/>
        <v>4.5143089264285327E-3</v>
      </c>
      <c r="H1037" s="70"/>
      <c r="I1037" s="70"/>
      <c r="J1037" s="67">
        <f t="shared" si="214"/>
        <v>268127.03000000119</v>
      </c>
      <c r="K1037" s="85">
        <f>G1037</f>
        <v>4.5143089264285327E-3</v>
      </c>
      <c r="L1037" s="70">
        <f t="shared" si="222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4"/>
        <v>3789677.7299999967</v>
      </c>
      <c r="R1037" s="70">
        <f t="shared" ref="R1037:R1100" si="232">Q1037/B1006</f>
        <v>6.7826186075371026E-2</v>
      </c>
      <c r="S1037" s="67">
        <f t="shared" si="205"/>
        <v>11786806.089999996</v>
      </c>
      <c r="T1037" s="70">
        <f t="shared" ref="T1037:T1100" si="233">S1037/B946</f>
        <v>0.24619320938914838</v>
      </c>
      <c r="U1037" s="67">
        <f t="shared" si="206"/>
        <v>25080302.93</v>
      </c>
      <c r="V1037" s="70">
        <f t="shared" ref="V1037:V1100" si="234">U1037/B671</f>
        <v>0.72522587727145049</v>
      </c>
      <c r="W1037" s="87">
        <f t="shared" si="223"/>
        <v>0.44079392831459624</v>
      </c>
      <c r="X1037" s="142">
        <f t="shared" si="193"/>
        <v>1.7857142857142857E-4</v>
      </c>
      <c r="Y1037" s="139">
        <f t="shared" si="224"/>
        <v>4.3357374978571037E-3</v>
      </c>
      <c r="Z1037" s="139">
        <f t="shared" si="225"/>
        <v>0</v>
      </c>
      <c r="AA1037" s="139">
        <f t="shared" si="226"/>
        <v>0</v>
      </c>
      <c r="AB1037" s="144">
        <f t="shared" si="227"/>
        <v>5.021229363998704</v>
      </c>
      <c r="AC1037" s="144">
        <f t="shared" si="228"/>
        <v>-2.9557960535826329E-2</v>
      </c>
      <c r="AD1037" s="144">
        <f t="shared" si="229"/>
        <v>-4.9732835991934059E-2</v>
      </c>
      <c r="AE1037" s="144">
        <f t="shared" si="230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7"/>
        <v>60943676.954667903</v>
      </c>
      <c r="E1038" s="67">
        <f t="shared" si="211"/>
        <v>59394922.759999998</v>
      </c>
      <c r="F1038" s="67">
        <f t="shared" si="212"/>
        <v>1280627.1646679044</v>
      </c>
      <c r="G1038" s="70">
        <f t="shared" si="213"/>
        <v>2.1464326231652807E-2</v>
      </c>
      <c r="H1038" s="70"/>
      <c r="I1038" s="70"/>
      <c r="J1038" s="67">
        <f t="shared" si="214"/>
        <v>1548754.1946679056</v>
      </c>
      <c r="K1038" s="70">
        <f t="shared" si="231"/>
        <v>2.6075531757588699E-2</v>
      </c>
      <c r="L1038" s="70">
        <f t="shared" si="222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4"/>
        <v>4157588.2646679059</v>
      </c>
      <c r="R1038" s="70">
        <f t="shared" si="232"/>
        <v>7.3214908097730194E-2</v>
      </c>
      <c r="S1038" s="67">
        <f t="shared" si="205"/>
        <v>13108482.024667904</v>
      </c>
      <c r="T1038" s="70">
        <f t="shared" si="233"/>
        <v>0.2740342554023309</v>
      </c>
      <c r="U1038" s="67">
        <f t="shared" si="206"/>
        <v>25124594.134667903</v>
      </c>
      <c r="V1038" s="70">
        <f t="shared" si="234"/>
        <v>0.70143041520424676</v>
      </c>
      <c r="W1038" s="87">
        <f t="shared" si="223"/>
        <v>0.52874939821809452</v>
      </c>
      <c r="X1038" s="142">
        <f t="shared" si="193"/>
        <v>1.7857142857142857E-4</v>
      </c>
      <c r="Y1038" s="139">
        <f t="shared" si="224"/>
        <v>2.128575480308138E-2</v>
      </c>
      <c r="Z1038" s="139">
        <f t="shared" si="225"/>
        <v>0</v>
      </c>
      <c r="AA1038" s="139">
        <f t="shared" si="226"/>
        <v>0</v>
      </c>
      <c r="AB1038" s="144">
        <f t="shared" si="227"/>
        <v>5.2213477235305579</v>
      </c>
      <c r="AC1038" s="144">
        <f t="shared" si="228"/>
        <v>-2.9463880541429781E-2</v>
      </c>
      <c r="AD1038" s="144">
        <f t="shared" si="229"/>
        <v>-4.9732768405414927E-2</v>
      </c>
      <c r="AE1038" s="144">
        <f t="shared" si="230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7"/>
        <v>63861820.590471402</v>
      </c>
      <c r="E1039" s="67">
        <f t="shared" si="211"/>
        <v>59394922.759999998</v>
      </c>
      <c r="F1039" s="67">
        <f t="shared" si="212"/>
        <v>2918143.6358034983</v>
      </c>
      <c r="G1039" s="70">
        <f t="shared" si="213"/>
        <v>4.7882631662906038E-2</v>
      </c>
      <c r="H1039" s="70"/>
      <c r="I1039" s="70"/>
      <c r="J1039" s="67">
        <f t="shared" si="214"/>
        <v>4466897.8304714039</v>
      </c>
      <c r="K1039" s="70">
        <f t="shared" ref="K1039:K1059" si="235">(1+K1038)*(1+G1039)-1</f>
        <v>7.5206728503057763E-2</v>
      </c>
      <c r="L1039" s="70">
        <f t="shared" si="222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4"/>
        <v>7075731.9004714042</v>
      </c>
      <c r="R1039" s="70">
        <f t="shared" si="232"/>
        <v>0.12460326223731337</v>
      </c>
      <c r="S1039" s="67">
        <f t="shared" si="205"/>
        <v>16529593.430471405</v>
      </c>
      <c r="T1039" s="70">
        <f t="shared" si="233"/>
        <v>0.34922492395287924</v>
      </c>
      <c r="U1039" s="67">
        <f t="shared" si="206"/>
        <v>29179228.1704714</v>
      </c>
      <c r="V1039" s="70">
        <f t="shared" si="234"/>
        <v>0.84132200433912663</v>
      </c>
      <c r="W1039" s="87">
        <f t="shared" si="223"/>
        <v>0.72062863095769047</v>
      </c>
      <c r="X1039" s="142">
        <f t="shared" si="193"/>
        <v>1.7857142857142857E-4</v>
      </c>
      <c r="Y1039" s="139">
        <f t="shared" si="224"/>
        <v>4.7704060234334607E-2</v>
      </c>
      <c r="Z1039" s="139">
        <f t="shared" si="225"/>
        <v>0</v>
      </c>
      <c r="AA1039" s="139">
        <f t="shared" si="226"/>
        <v>0</v>
      </c>
      <c r="AB1039" s="144">
        <f t="shared" si="227"/>
        <v>5.6342215004473752</v>
      </c>
      <c r="AC1039" s="144">
        <f t="shared" si="228"/>
        <v>-3.0759860350514208E-2</v>
      </c>
      <c r="AD1039" s="144">
        <f t="shared" si="229"/>
        <v>-4.9767465713307056E-2</v>
      </c>
      <c r="AE1039" s="144">
        <f t="shared" si="230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7"/>
        <v>64044619.867267199</v>
      </c>
      <c r="E1040" s="67">
        <f t="shared" si="211"/>
        <v>59394922.759999998</v>
      </c>
      <c r="F1040" s="67">
        <f t="shared" si="212"/>
        <v>182799.27679579705</v>
      </c>
      <c r="G1040" s="70">
        <f t="shared" si="213"/>
        <v>2.8624188146473212E-3</v>
      </c>
      <c r="H1040" s="70"/>
      <c r="I1040" s="70"/>
      <c r="J1040" s="67">
        <f t="shared" si="214"/>
        <v>4649697.1072672009</v>
      </c>
      <c r="K1040" s="70">
        <f t="shared" si="235"/>
        <v>7.8284420472360283E-2</v>
      </c>
      <c r="L1040" s="70">
        <f t="shared" si="222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4"/>
        <v>8737401.7472672015</v>
      </c>
      <c r="R1040" s="70">
        <f t="shared" si="232"/>
        <v>0.15797941108355282</v>
      </c>
      <c r="S1040" s="67">
        <f t="shared" si="205"/>
        <v>16814996.377267197</v>
      </c>
      <c r="T1040" s="70">
        <f t="shared" si="233"/>
        <v>0.35602647522327718</v>
      </c>
      <c r="U1040" s="67">
        <f t="shared" si="206"/>
        <v>30089922.507267199</v>
      </c>
      <c r="V1040" s="70">
        <f t="shared" si="234"/>
        <v>0.88617849213152877</v>
      </c>
      <c r="W1040" s="87">
        <f t="shared" si="223"/>
        <v>0.72976569552886461</v>
      </c>
      <c r="X1040" s="142">
        <f t="shared" si="193"/>
        <v>1.7857142857142857E-4</v>
      </c>
      <c r="Y1040" s="139">
        <f t="shared" si="224"/>
        <v>2.6838473860758927E-3</v>
      </c>
      <c r="Z1040" s="139">
        <f t="shared" si="225"/>
        <v>0</v>
      </c>
      <c r="AA1040" s="139">
        <f t="shared" si="226"/>
        <v>0</v>
      </c>
      <c r="AB1040" s="144">
        <f t="shared" si="227"/>
        <v>5.2737523090605452</v>
      </c>
      <c r="AC1040" s="144">
        <f t="shared" si="228"/>
        <v>-3.0648961766183223E-2</v>
      </c>
      <c r="AD1040" s="144">
        <f t="shared" si="229"/>
        <v>-4.9568478429387386E-2</v>
      </c>
      <c r="AE1040" s="144">
        <f t="shared" si="230"/>
        <v>-3.9508693481947146E-2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7"/>
        <v>64643549.454528302</v>
      </c>
      <c r="E1041" s="67">
        <f t="shared" si="211"/>
        <v>59394922.759999998</v>
      </c>
      <c r="F1041" s="67">
        <f t="shared" si="212"/>
        <v>238929.58726110309</v>
      </c>
      <c r="G1041" s="70">
        <f t="shared" si="213"/>
        <v>3.7306738295314404E-3</v>
      </c>
      <c r="H1041" s="70"/>
      <c r="I1041" s="70"/>
      <c r="J1041" s="67">
        <f t="shared" si="214"/>
        <v>4888626.694528304</v>
      </c>
      <c r="K1041" s="70">
        <f t="shared" si="235"/>
        <v>8.2307147940608116E-2</v>
      </c>
      <c r="L1041" s="70">
        <f t="shared" si="222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4"/>
        <v>9580974.7745283023</v>
      </c>
      <c r="R1041" s="70">
        <f t="shared" si="232"/>
        <v>0.17514668789495269</v>
      </c>
      <c r="S1041" s="67">
        <f t="shared" si="205"/>
        <v>17389225.0345283</v>
      </c>
      <c r="T1041" s="70">
        <f t="shared" si="233"/>
        <v>0.37081726306119794</v>
      </c>
      <c r="U1041" s="67">
        <f t="shared" si="206"/>
        <v>29686064.974528305</v>
      </c>
      <c r="V1041" s="70">
        <f t="shared" si="234"/>
        <v>0.85804113855991848</v>
      </c>
      <c r="W1041" s="87">
        <f t="shared" si="223"/>
        <v>0.74241667901970076</v>
      </c>
      <c r="X1041" s="142">
        <f t="shared" si="193"/>
        <v>1.7857142857142857E-4</v>
      </c>
      <c r="Y1041" s="139">
        <f t="shared" si="224"/>
        <v>3.5521024009600118E-3</v>
      </c>
      <c r="Z1041" s="139">
        <f t="shared" si="225"/>
        <v>0</v>
      </c>
      <c r="AA1041" s="139">
        <f t="shared" si="226"/>
        <v>0</v>
      </c>
      <c r="AB1041" s="144">
        <f t="shared" si="227"/>
        <v>4.8559194287112399</v>
      </c>
      <c r="AC1041" s="144">
        <f t="shared" si="228"/>
        <v>-2.9942270840895714E-2</v>
      </c>
      <c r="AD1041" s="144">
        <f t="shared" si="229"/>
        <v>-4.9495637189965372E-2</v>
      </c>
      <c r="AE1041" s="144">
        <f t="shared" si="230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7"/>
        <v>65020485.0934029</v>
      </c>
      <c r="E1042" s="67">
        <f t="shared" si="211"/>
        <v>59394922.759999998</v>
      </c>
      <c r="F1042" s="67">
        <f t="shared" si="212"/>
        <v>376935.63887459785</v>
      </c>
      <c r="G1042" s="70">
        <f t="shared" si="213"/>
        <v>5.8309861085171794E-3</v>
      </c>
      <c r="H1042" s="70"/>
      <c r="I1042" s="70"/>
      <c r="J1042" s="67">
        <f t="shared" si="214"/>
        <v>5265562.3334029019</v>
      </c>
      <c r="K1042" s="70">
        <f t="shared" si="235"/>
        <v>8.8618065885398778E-2</v>
      </c>
      <c r="L1042" s="70">
        <f t="shared" si="222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4"/>
        <v>8933830.3034029007</v>
      </c>
      <c r="R1042" s="70">
        <f t="shared" si="232"/>
        <v>0.15928620340886801</v>
      </c>
      <c r="S1042" s="67">
        <f t="shared" si="205"/>
        <v>17850226.933402903</v>
      </c>
      <c r="T1042" s="70">
        <f t="shared" si="233"/>
        <v>0.37842122620689311</v>
      </c>
      <c r="U1042" s="67">
        <f t="shared" si="206"/>
        <v>30975246.703402899</v>
      </c>
      <c r="V1042" s="70">
        <f t="shared" si="234"/>
        <v>0.90982610691606025</v>
      </c>
      <c r="W1042" s="87">
        <f t="shared" si="223"/>
        <v>0.76357017632512481</v>
      </c>
      <c r="X1042" s="142">
        <f t="shared" si="193"/>
        <v>1.7857142857142857E-4</v>
      </c>
      <c r="Y1042" s="139">
        <f t="shared" si="224"/>
        <v>5.6524146799457504E-3</v>
      </c>
      <c r="Z1042" s="139">
        <f t="shared" si="225"/>
        <v>0</v>
      </c>
      <c r="AA1042" s="139">
        <f t="shared" si="226"/>
        <v>0</v>
      </c>
      <c r="AB1042" s="144">
        <f t="shared" si="227"/>
        <v>4.9464288480531122</v>
      </c>
      <c r="AC1042" s="144">
        <f t="shared" si="228"/>
        <v>-2.9092139218424941E-2</v>
      </c>
      <c r="AD1042" s="144">
        <f t="shared" si="229"/>
        <v>-4.9324924324236831E-2</v>
      </c>
      <c r="AE1042" s="144">
        <f t="shared" si="230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7"/>
        <v>65091084.935261697</v>
      </c>
      <c r="E1043" s="67">
        <f t="shared" si="211"/>
        <v>59394922.759999998</v>
      </c>
      <c r="F1043" s="67">
        <f t="shared" si="212"/>
        <v>70599.841858796775</v>
      </c>
      <c r="G1043" s="70">
        <f t="shared" si="213"/>
        <v>1.0858092147017827E-3</v>
      </c>
      <c r="H1043" s="70"/>
      <c r="I1043" s="70"/>
      <c r="J1043" s="67">
        <f t="shared" si="214"/>
        <v>5336162.1752616987</v>
      </c>
      <c r="K1043" s="70">
        <f t="shared" si="235"/>
        <v>8.9800097412627844E-2</v>
      </c>
      <c r="L1043" s="70">
        <f t="shared" si="222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4"/>
        <v>9004430.1452616975</v>
      </c>
      <c r="R1043" s="70">
        <f t="shared" si="232"/>
        <v>0.16054496705100599</v>
      </c>
      <c r="S1043" s="67">
        <f t="shared" si="205"/>
        <v>16184221.535261698</v>
      </c>
      <c r="T1043" s="70">
        <f t="shared" si="233"/>
        <v>0.3309192291252458</v>
      </c>
      <c r="U1043" s="67">
        <f t="shared" si="206"/>
        <v>31623065.995261695</v>
      </c>
      <c r="V1043" s="70">
        <f t="shared" si="234"/>
        <v>0.94487415140866693</v>
      </c>
      <c r="W1043" s="87">
        <f t="shared" si="223"/>
        <v>0.76520572594958236</v>
      </c>
      <c r="X1043" s="142">
        <f t="shared" si="193"/>
        <v>1.7857142857142857E-4</v>
      </c>
      <c r="Y1043" s="139">
        <f t="shared" si="224"/>
        <v>9.0723778613035415E-4</v>
      </c>
      <c r="Z1043" s="139">
        <f t="shared" si="225"/>
        <v>0</v>
      </c>
      <c r="AA1043" s="139">
        <f t="shared" si="226"/>
        <v>0</v>
      </c>
      <c r="AB1043" s="144">
        <f t="shared" si="227"/>
        <v>4.7949668092228981</v>
      </c>
      <c r="AC1043" s="144">
        <f t="shared" si="228"/>
        <v>-2.9348388109228879E-2</v>
      </c>
      <c r="AD1043" s="144">
        <f t="shared" si="229"/>
        <v>-4.9377291427549513E-2</v>
      </c>
      <c r="AE1043" s="144">
        <f t="shared" si="230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7"/>
        <v>67403249.519004002</v>
      </c>
      <c r="E1044" s="67">
        <f t="shared" si="211"/>
        <v>59394922.759999998</v>
      </c>
      <c r="F1044" s="67">
        <f t="shared" si="212"/>
        <v>2312164.5837423056</v>
      </c>
      <c r="G1044" s="70">
        <f t="shared" si="213"/>
        <v>3.5521985630473644E-2</v>
      </c>
      <c r="H1044" s="70"/>
      <c r="I1044" s="70"/>
      <c r="J1044" s="67">
        <f t="shared" si="214"/>
        <v>7648326.7590040043</v>
      </c>
      <c r="K1044" s="70">
        <f t="shared" si="235"/>
        <v>0.12851196081300786</v>
      </c>
      <c r="L1044" s="70">
        <f t="shared" si="222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4"/>
        <v>9824708.5990040004</v>
      </c>
      <c r="R1044" s="70">
        <f t="shared" si="232"/>
        <v>0.17063142695217848</v>
      </c>
      <c r="S1044" s="67">
        <f t="shared" si="205"/>
        <v>18023765.679003999</v>
      </c>
      <c r="T1044" s="70">
        <f t="shared" si="233"/>
        <v>0.3650051454042092</v>
      </c>
      <c r="U1044" s="67">
        <f t="shared" si="206"/>
        <v>34272609.739004001</v>
      </c>
      <c r="V1044" s="70">
        <f t="shared" si="234"/>
        <v>1.0344686962457446</v>
      </c>
      <c r="W1044" s="87">
        <f t="shared" si="223"/>
        <v>0.90267383745855811</v>
      </c>
      <c r="X1044" s="142">
        <f t="shared" si="193"/>
        <v>1.7857142857142857E-4</v>
      </c>
      <c r="Y1044" s="139">
        <f t="shared" si="224"/>
        <v>3.5343414201902214E-2</v>
      </c>
      <c r="Z1044" s="139">
        <f t="shared" si="225"/>
        <v>0</v>
      </c>
      <c r="AA1044" s="139">
        <f t="shared" si="226"/>
        <v>0</v>
      </c>
      <c r="AB1044" s="144">
        <f t="shared" si="227"/>
        <v>4.9543689874453207</v>
      </c>
      <c r="AC1044" s="144">
        <f t="shared" si="228"/>
        <v>-2.9359276474642881E-2</v>
      </c>
      <c r="AD1044" s="144">
        <f t="shared" si="229"/>
        <v>-4.9367623195023073E-2</v>
      </c>
      <c r="AE1044" s="144">
        <f t="shared" si="230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7"/>
        <v>65444352.981031403</v>
      </c>
      <c r="E1045" s="67">
        <f t="shared" si="211"/>
        <v>59394922.759999998</v>
      </c>
      <c r="F1045" s="67">
        <f t="shared" si="212"/>
        <v>-1958896.5379725993</v>
      </c>
      <c r="G1045" s="70">
        <f t="shared" si="213"/>
        <v>-2.9062345687358861E-2</v>
      </c>
      <c r="H1045" s="70"/>
      <c r="I1045" s="70"/>
      <c r="J1045" s="67">
        <f t="shared" si="214"/>
        <v>5689430.221031405</v>
      </c>
      <c r="K1045" s="70">
        <f t="shared" si="235"/>
        <v>9.571475609554092E-2</v>
      </c>
      <c r="L1045" s="70">
        <f t="shared" si="222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6">B1045-C1045-D1014</f>
        <v>9433933.6910314038</v>
      </c>
      <c r="R1045" s="70">
        <f t="shared" si="232"/>
        <v>0.16843176342219815</v>
      </c>
      <c r="S1045" s="67">
        <f t="shared" ref="S1045:S1076" si="237">B1045-C1045-D954</f>
        <v>16960431.021031402</v>
      </c>
      <c r="T1045" s="70">
        <f t="shared" si="233"/>
        <v>0.34981557463573232</v>
      </c>
      <c r="U1045" s="67">
        <f t="shared" ref="U1045:U1076" si="238">B1045-C1045-D679</f>
        <v>31714291.921031401</v>
      </c>
      <c r="V1045" s="70">
        <f t="shared" si="234"/>
        <v>0.94023820071410802</v>
      </c>
      <c r="W1045" s="87">
        <f t="shared" si="223"/>
        <v>0.77856816847955368</v>
      </c>
      <c r="X1045" s="142">
        <f t="shared" si="193"/>
        <v>1.7857142857142857E-4</v>
      </c>
      <c r="Y1045" s="139">
        <f t="shared" si="224"/>
        <v>-2.9240917115930288E-2</v>
      </c>
      <c r="Z1045" s="139">
        <f t="shared" si="225"/>
        <v>-2.9240917115930288E-2</v>
      </c>
      <c r="AA1045" s="139">
        <f t="shared" si="226"/>
        <v>8.5503123378070488E-4</v>
      </c>
      <c r="AB1045" s="144">
        <f t="shared" si="227"/>
        <v>4.6139752507713014</v>
      </c>
      <c r="AC1045" s="144">
        <f t="shared" si="228"/>
        <v>-3.1940490045132101E-2</v>
      </c>
      <c r="AD1045" s="144">
        <f t="shared" si="229"/>
        <v>-5.0071060814602733E-2</v>
      </c>
      <c r="AE1045" s="144">
        <f t="shared" si="230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7"/>
        <v>67152852.177596301</v>
      </c>
      <c r="E1046" s="67">
        <f t="shared" ref="E1046:E1077" si="239">IF(MONTH(A1046)=MONTH(A1045),E1045,D1045)</f>
        <v>59394922.759999998</v>
      </c>
      <c r="F1046" s="67">
        <f t="shared" ref="F1046:F1077" si="240">B1046-C1046-D1045</f>
        <v>1708499.1965648979</v>
      </c>
      <c r="G1046" s="70">
        <f t="shared" ref="G1046:G1077" si="241">F1046/B1045</f>
        <v>2.610613626297283E-2</v>
      </c>
      <c r="H1046" s="70"/>
      <c r="I1046" s="70"/>
      <c r="J1046" s="67">
        <f t="shared" ref="J1046:J1077" si="242">IF(MONTH(A1046)=MONTH(A1045),J1045+F1046,F1046)</f>
        <v>7397929.4175963029</v>
      </c>
      <c r="K1046" s="70">
        <f t="shared" si="235"/>
        <v>0.12431963482352115</v>
      </c>
      <c r="L1046" s="70">
        <f t="shared" si="222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6"/>
        <v>12406225.1475963</v>
      </c>
      <c r="R1046" s="70">
        <f t="shared" si="232"/>
        <v>0.22661168040175239</v>
      </c>
      <c r="S1046" s="67">
        <f t="shared" si="237"/>
        <v>17361147.877596304</v>
      </c>
      <c r="T1046" s="70">
        <f t="shared" si="233"/>
        <v>0.34867550973940664</v>
      </c>
      <c r="U1046" s="67">
        <f t="shared" si="238"/>
        <v>33146896.8975963</v>
      </c>
      <c r="V1046" s="70">
        <f t="shared" si="234"/>
        <v>0.97473800176085801</v>
      </c>
      <c r="W1046" s="87">
        <f t="shared" si="223"/>
        <v>0.87819709120184475</v>
      </c>
      <c r="X1046" s="142">
        <f t="shared" si="193"/>
        <v>1.7857142857142857E-4</v>
      </c>
      <c r="Y1046" s="139">
        <f t="shared" si="224"/>
        <v>2.5927564834401402E-2</v>
      </c>
      <c r="Z1046" s="139">
        <f t="shared" si="225"/>
        <v>0</v>
      </c>
      <c r="AA1046" s="139">
        <f t="shared" si="226"/>
        <v>0</v>
      </c>
      <c r="AB1046" s="144">
        <f t="shared" si="227"/>
        <v>5.593145699016068</v>
      </c>
      <c r="AC1046" s="144">
        <f t="shared" si="228"/>
        <v>-2.9560240875449111E-2</v>
      </c>
      <c r="AD1046" s="144">
        <f t="shared" si="229"/>
        <v>-4.9606050004516296E-2</v>
      </c>
      <c r="AE1046" s="144">
        <f t="shared" si="230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7"/>
        <v>67076532.131248102</v>
      </c>
      <c r="E1047" s="67">
        <f t="shared" si="239"/>
        <v>59394922.759999998</v>
      </c>
      <c r="F1047" s="67">
        <f t="shared" si="240"/>
        <v>-76320.046348199248</v>
      </c>
      <c r="G1047" s="70">
        <f t="shared" si="241"/>
        <v>-1.1365123576040949E-3</v>
      </c>
      <c r="H1047" s="70"/>
      <c r="I1047" s="70"/>
      <c r="J1047" s="67">
        <f t="shared" si="242"/>
        <v>7321609.3712481037</v>
      </c>
      <c r="K1047" s="70">
        <f t="shared" si="235"/>
        <v>0.12304183166464733</v>
      </c>
      <c r="L1047" s="70">
        <f t="shared" si="222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6"/>
        <v>11772863.551248103</v>
      </c>
      <c r="R1047" s="70">
        <f t="shared" si="232"/>
        <v>0.21287671963782956</v>
      </c>
      <c r="S1047" s="67">
        <f t="shared" si="237"/>
        <v>15939393.371248104</v>
      </c>
      <c r="T1047" s="70">
        <f t="shared" si="233"/>
        <v>0.31169896786865331</v>
      </c>
      <c r="U1047" s="67">
        <f t="shared" si="238"/>
        <v>32985917.581248105</v>
      </c>
      <c r="V1047" s="70">
        <f t="shared" si="234"/>
        <v>0.96759527561077974</v>
      </c>
      <c r="W1047" s="87">
        <f t="shared" si="223"/>
        <v>0.87049335594444854</v>
      </c>
      <c r="X1047" s="142">
        <f t="shared" si="193"/>
        <v>1.7857142857142857E-4</v>
      </c>
      <c r="Y1047" s="139">
        <f t="shared" si="224"/>
        <v>-1.3150837861755234E-3</v>
      </c>
      <c r="Z1047" s="139">
        <f t="shared" si="225"/>
        <v>-1.3150837861755234E-3</v>
      </c>
      <c r="AA1047" s="139">
        <f t="shared" si="226"/>
        <v>1.7294453646617499E-6</v>
      </c>
      <c r="AB1047" s="144">
        <f t="shared" si="227"/>
        <v>5.6103772165594226</v>
      </c>
      <c r="AC1047" s="144">
        <f t="shared" si="228"/>
        <v>-2.7928154536373002E-2</v>
      </c>
      <c r="AD1047" s="144">
        <f t="shared" si="229"/>
        <v>-4.9762299391119598E-2</v>
      </c>
      <c r="AE1047" s="144">
        <f t="shared" si="230"/>
        <v>-3.9412309769228049E-2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7"/>
        <v>68998818.401678905</v>
      </c>
      <c r="E1048" s="67">
        <f t="shared" si="239"/>
        <v>59394922.759999998</v>
      </c>
      <c r="F1048" s="67">
        <f t="shared" si="240"/>
        <v>922286.2704308033</v>
      </c>
      <c r="G1048" s="70">
        <f t="shared" si="241"/>
        <v>1.374976077514224E-2</v>
      </c>
      <c r="H1048" s="70"/>
      <c r="I1048" s="70"/>
      <c r="J1048" s="67">
        <f t="shared" si="242"/>
        <v>8243895.641678907</v>
      </c>
      <c r="K1048" s="70">
        <f t="shared" si="235"/>
        <v>0.13848338819051387</v>
      </c>
      <c r="L1048" s="70">
        <f t="shared" si="222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6"/>
        <v>11612806.071678907</v>
      </c>
      <c r="R1048" s="70">
        <f t="shared" si="232"/>
        <v>0.20595189465988092</v>
      </c>
      <c r="S1048" s="67">
        <f t="shared" si="237"/>
        <v>17762485.691678904</v>
      </c>
      <c r="T1048" s="70">
        <f t="shared" si="233"/>
        <v>0.35357847067015541</v>
      </c>
      <c r="U1048" s="67">
        <f t="shared" si="238"/>
        <v>35104836.931678906</v>
      </c>
      <c r="V1048" s="70">
        <f t="shared" si="234"/>
        <v>1.0672115494348184</v>
      </c>
      <c r="W1048" s="87">
        <f t="shared" si="223"/>
        <v>0.92145387223672082</v>
      </c>
      <c r="X1048" s="142">
        <f t="shared" si="193"/>
        <v>1.7857142857142857E-4</v>
      </c>
      <c r="Y1048" s="139">
        <f t="shared" si="224"/>
        <v>1.3571189346570811E-2</v>
      </c>
      <c r="Z1048" s="139">
        <f t="shared" si="225"/>
        <v>0</v>
      </c>
      <c r="AA1048" s="139">
        <f t="shared" si="226"/>
        <v>0</v>
      </c>
      <c r="AB1048" s="144">
        <f t="shared" si="227"/>
        <v>5.7716640540944315</v>
      </c>
      <c r="AC1048" s="144">
        <f t="shared" si="228"/>
        <v>-2.7866434890763927E-2</v>
      </c>
      <c r="AD1048" s="144">
        <f t="shared" si="229"/>
        <v>-4.9778593149535658E-2</v>
      </c>
      <c r="AE1048" s="144">
        <f t="shared" si="230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7"/>
        <v>62351398.195037097</v>
      </c>
      <c r="E1049" s="67">
        <f t="shared" si="239"/>
        <v>59394922.759999998</v>
      </c>
      <c r="F1049" s="67">
        <f t="shared" si="240"/>
        <v>-6647420.2066418082</v>
      </c>
      <c r="G1049" s="70">
        <f t="shared" si="241"/>
        <v>-9.6341073088290166E-2</v>
      </c>
      <c r="H1049" s="70"/>
      <c r="I1049" s="70"/>
      <c r="J1049" s="67">
        <f t="shared" si="242"/>
        <v>1596475.4350370988</v>
      </c>
      <c r="K1049" s="70">
        <f t="shared" si="235"/>
        <v>2.8800676879047193E-2</v>
      </c>
      <c r="L1049" s="70">
        <f t="shared" si="222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6"/>
        <v>7251142.1850370988</v>
      </c>
      <c r="R1049" s="70">
        <f t="shared" si="232"/>
        <v>0.13159906523340126</v>
      </c>
      <c r="S1049" s="67">
        <f t="shared" si="237"/>
        <v>13446807.7150371</v>
      </c>
      <c r="T1049" s="70">
        <f t="shared" si="233"/>
        <v>0.27496003101255495</v>
      </c>
      <c r="U1049" s="67">
        <f t="shared" si="238"/>
        <v>30030801.695037097</v>
      </c>
      <c r="V1049" s="70">
        <f t="shared" si="234"/>
        <v>0.92915369600425213</v>
      </c>
      <c r="W1049" s="87">
        <f t="shared" si="223"/>
        <v>0.51560329006794547</v>
      </c>
      <c r="X1049" s="142">
        <f t="shared" si="193"/>
        <v>1.7857142857142857E-4</v>
      </c>
      <c r="Y1049" s="139">
        <f t="shared" si="224"/>
        <v>-9.6519644516861597E-2</v>
      </c>
      <c r="Z1049" s="139">
        <f t="shared" si="225"/>
        <v>-9.6519644516861597E-2</v>
      </c>
      <c r="AA1049" s="139">
        <f t="shared" si="226"/>
        <v>9.3160417776613318E-3</v>
      </c>
      <c r="AB1049" s="144">
        <f t="shared" si="227"/>
        <v>4.0866096063681416</v>
      </c>
      <c r="AC1049" s="144">
        <f t="shared" si="228"/>
        <v>-4.2427074938043492E-2</v>
      </c>
      <c r="AD1049" s="144">
        <f t="shared" si="229"/>
        <v>-5.3211700426889746E-2</v>
      </c>
      <c r="AE1049" s="144">
        <f t="shared" si="230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7"/>
        <v>61450247.116623901</v>
      </c>
      <c r="E1050" s="67">
        <f t="shared" si="239"/>
        <v>59394922.759999998</v>
      </c>
      <c r="F1050" s="67">
        <f t="shared" si="240"/>
        <v>-901151.07841319591</v>
      </c>
      <c r="G1050" s="70">
        <f t="shared" si="241"/>
        <v>-1.4452780603160935E-2</v>
      </c>
      <c r="H1050" s="70"/>
      <c r="I1050" s="70"/>
      <c r="J1050" s="67">
        <f t="shared" si="242"/>
        <v>695324.35662390292</v>
      </c>
      <c r="K1050" s="70">
        <f t="shared" si="235"/>
        <v>1.3931646411730947E-2</v>
      </c>
      <c r="L1050" s="70">
        <f t="shared" si="222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6"/>
        <v>3796637.4166238979</v>
      </c>
      <c r="R1050" s="70">
        <f t="shared" si="232"/>
        <v>6.5852553489359367E-2</v>
      </c>
      <c r="S1050" s="67">
        <f t="shared" si="237"/>
        <v>11019334.9766239</v>
      </c>
      <c r="T1050" s="70">
        <f t="shared" si="233"/>
        <v>0.21850358260491895</v>
      </c>
      <c r="U1050" s="67">
        <f t="shared" si="238"/>
        <v>29145262.946623899</v>
      </c>
      <c r="V1050" s="70">
        <f t="shared" si="234"/>
        <v>0.90219090630880494</v>
      </c>
      <c r="W1050" s="87">
        <f t="shared" si="223"/>
        <v>0.4586087384050308</v>
      </c>
      <c r="X1050" s="142">
        <f t="shared" si="193"/>
        <v>1.7857142857142857E-4</v>
      </c>
      <c r="Y1050" s="139">
        <f t="shared" si="224"/>
        <v>-1.4631352031732364E-2</v>
      </c>
      <c r="Z1050" s="139">
        <f t="shared" si="225"/>
        <v>-1.4631352031732364E-2</v>
      </c>
      <c r="AA1050" s="139">
        <f t="shared" si="226"/>
        <v>2.1407646227647876E-4</v>
      </c>
      <c r="AB1050" s="144">
        <f t="shared" si="227"/>
        <v>3.9278060541969588</v>
      </c>
      <c r="AC1050" s="144">
        <f t="shared" si="228"/>
        <v>-4.1816655222685635E-2</v>
      </c>
      <c r="AD1050" s="144">
        <f t="shared" si="229"/>
        <v>-5.2933006656523993E-2</v>
      </c>
      <c r="AE1050" s="144">
        <f t="shared" si="230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7"/>
        <v>58536405.143161498</v>
      </c>
      <c r="E1051" s="67">
        <f t="shared" si="239"/>
        <v>59394922.759999998</v>
      </c>
      <c r="F1051" s="67">
        <f t="shared" si="240"/>
        <v>-2913841.9734624028</v>
      </c>
      <c r="G1051" s="70">
        <f t="shared" si="241"/>
        <v>-4.7417904893569292E-2</v>
      </c>
      <c r="H1051" s="70"/>
      <c r="I1051" s="70"/>
      <c r="J1051" s="67">
        <f t="shared" si="242"/>
        <v>-2218517.6168384999</v>
      </c>
      <c r="K1051" s="70">
        <f t="shared" si="235"/>
        <v>-3.4146867966400651E-2</v>
      </c>
      <c r="L1051" s="70">
        <f t="shared" si="222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6"/>
        <v>593489.0631614998</v>
      </c>
      <c r="R1051" s="70">
        <f t="shared" si="232"/>
        <v>1.0242650928063195E-2</v>
      </c>
      <c r="S1051" s="67">
        <f t="shared" si="237"/>
        <v>9252105.7131614983</v>
      </c>
      <c r="T1051" s="70">
        <f t="shared" si="233"/>
        <v>0.18772927322021787</v>
      </c>
      <c r="U1051" s="67">
        <f t="shared" si="238"/>
        <v>27397525.273161497</v>
      </c>
      <c r="V1051" s="70">
        <f t="shared" si="234"/>
        <v>0.8798494161492616</v>
      </c>
      <c r="W1051" s="87">
        <f t="shared" si="223"/>
        <v>0.27560750557087316</v>
      </c>
      <c r="X1051" s="142">
        <f t="shared" si="193"/>
        <v>1.7857142857142857E-4</v>
      </c>
      <c r="Y1051" s="139">
        <f t="shared" si="224"/>
        <v>-4.7596476322140722E-2</v>
      </c>
      <c r="Z1051" s="139">
        <f t="shared" si="225"/>
        <v>-4.7596476322140722E-2</v>
      </c>
      <c r="AA1051" s="139">
        <f t="shared" si="226"/>
        <v>2.2654245582841024E-3</v>
      </c>
      <c r="AB1051" s="144">
        <f t="shared" si="227"/>
        <v>3.5825235823518407</v>
      </c>
      <c r="AC1051" s="144">
        <f t="shared" si="228"/>
        <v>-4.5149806106453916E-2</v>
      </c>
      <c r="AD1051" s="144">
        <f t="shared" si="229"/>
        <v>-5.4212045167911629E-2</v>
      </c>
      <c r="AE1051" s="144">
        <f t="shared" si="230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7"/>
        <v>61000507.902521499</v>
      </c>
      <c r="E1052" s="67">
        <f t="shared" si="239"/>
        <v>59394922.759999998</v>
      </c>
      <c r="F1052" s="67">
        <f t="shared" si="240"/>
        <v>2464102.7593600005</v>
      </c>
      <c r="G1052" s="70">
        <f t="shared" si="241"/>
        <v>4.2095218408673814E-2</v>
      </c>
      <c r="H1052" s="70"/>
      <c r="I1052" s="70"/>
      <c r="J1052" s="67">
        <f t="shared" si="242"/>
        <v>245585.14252150059</v>
      </c>
      <c r="K1052" s="70">
        <f t="shared" si="235"/>
        <v>6.5109305772552695E-3</v>
      </c>
      <c r="L1052" s="70">
        <f t="shared" si="222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6"/>
        <v>3960361.7725214958</v>
      </c>
      <c r="R1052" s="70">
        <f t="shared" si="232"/>
        <v>6.9431129497730407E-2</v>
      </c>
      <c r="S1052" s="67">
        <f t="shared" si="237"/>
        <v>12550378.562521495</v>
      </c>
      <c r="T1052" s="70">
        <f t="shared" si="233"/>
        <v>0.25903704971454045</v>
      </c>
      <c r="U1052" s="67">
        <f t="shared" si="238"/>
        <v>29882094.782521497</v>
      </c>
      <c r="V1052" s="70">
        <f t="shared" si="234"/>
        <v>0.96027052109916511</v>
      </c>
      <c r="W1052" s="87">
        <f t="shared" si="223"/>
        <v>0.42846946312177941</v>
      </c>
      <c r="X1052" s="142">
        <f t="shared" si="193"/>
        <v>1.7857142857142857E-4</v>
      </c>
      <c r="Y1052" s="139">
        <f t="shared" si="224"/>
        <v>4.1916646980102383E-2</v>
      </c>
      <c r="Z1052" s="139">
        <f t="shared" si="225"/>
        <v>0</v>
      </c>
      <c r="AA1052" s="139">
        <f t="shared" si="226"/>
        <v>0</v>
      </c>
      <c r="AB1052" s="144">
        <f t="shared" si="227"/>
        <v>3.6995777660940035</v>
      </c>
      <c r="AC1052" s="144">
        <f t="shared" si="228"/>
        <v>-4.5586034690071081E-2</v>
      </c>
      <c r="AD1052" s="144">
        <f t="shared" si="229"/>
        <v>-5.3775383950557996E-2</v>
      </c>
      <c r="AE1052" s="144">
        <f t="shared" si="230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7"/>
        <v>60206412.354449697</v>
      </c>
      <c r="E1053" s="67">
        <f t="shared" si="239"/>
        <v>59394922.759999998</v>
      </c>
      <c r="F1053" s="67">
        <f t="shared" si="240"/>
        <v>-794095.54807180166</v>
      </c>
      <c r="G1053" s="70">
        <f t="shared" si="241"/>
        <v>-1.301785141429908E-2</v>
      </c>
      <c r="H1053" s="70"/>
      <c r="I1053" s="70"/>
      <c r="J1053" s="67">
        <f t="shared" si="242"/>
        <v>-548510.40555030107</v>
      </c>
      <c r="K1053" s="70">
        <f t="shared" si="235"/>
        <v>-6.5916791638673811E-3</v>
      </c>
      <c r="L1053" s="70">
        <f t="shared" si="222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6"/>
        <v>2475149.7144496962</v>
      </c>
      <c r="R1053" s="70">
        <f t="shared" si="232"/>
        <v>4.2873645946117769E-2</v>
      </c>
      <c r="S1053" s="67">
        <f t="shared" si="237"/>
        <v>12585683.954449698</v>
      </c>
      <c r="T1053" s="70">
        <f t="shared" si="233"/>
        <v>0.26429003455666794</v>
      </c>
      <c r="U1053" s="67">
        <f t="shared" si="238"/>
        <v>28715537.074449696</v>
      </c>
      <c r="V1053" s="70">
        <f t="shared" si="234"/>
        <v>0.911868495846067</v>
      </c>
      <c r="W1053" s="87">
        <f t="shared" si="223"/>
        <v>0.37873984790923637</v>
      </c>
      <c r="X1053" s="142">
        <f t="shared" si="193"/>
        <v>1.7857142857142857E-4</v>
      </c>
      <c r="Y1053" s="139">
        <f t="shared" si="224"/>
        <v>-1.3196422842870509E-2</v>
      </c>
      <c r="Z1053" s="139">
        <f t="shared" si="225"/>
        <v>-1.3196422842870509E-2</v>
      </c>
      <c r="AA1053" s="139">
        <f t="shared" si="226"/>
        <v>1.7414557584783457E-4</v>
      </c>
      <c r="AB1053" s="144">
        <f t="shared" si="227"/>
        <v>3.5457925182338226</v>
      </c>
      <c r="AC1053" s="144">
        <f t="shared" si="228"/>
        <v>-4.5431044374702467E-2</v>
      </c>
      <c r="AD1053" s="144">
        <f t="shared" si="229"/>
        <v>-5.3697125455768387E-2</v>
      </c>
      <c r="AE1053" s="144">
        <f t="shared" si="230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7"/>
        <v>56404374.589071102</v>
      </c>
      <c r="E1054" s="67">
        <f t="shared" si="239"/>
        <v>59394922.759999998</v>
      </c>
      <c r="F1054" s="67">
        <f t="shared" si="240"/>
        <v>-3802037.7653785944</v>
      </c>
      <c r="G1054" s="70">
        <f t="shared" si="241"/>
        <v>-6.3150046925152747E-2</v>
      </c>
      <c r="H1054" s="70"/>
      <c r="I1054" s="70"/>
      <c r="J1054" s="67">
        <f t="shared" si="242"/>
        <v>-4350548.1709288955</v>
      </c>
      <c r="K1054" s="70">
        <f t="shared" si="235"/>
        <v>-6.9325461240506314E-2</v>
      </c>
      <c r="L1054" s="70">
        <f t="shared" si="222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6"/>
        <v>-966794.68092890084</v>
      </c>
      <c r="R1054" s="70">
        <f t="shared" si="232"/>
        <v>-1.6851577076614475E-2</v>
      </c>
      <c r="S1054" s="67">
        <f t="shared" si="237"/>
        <v>8173560.8390711024</v>
      </c>
      <c r="T1054" s="70">
        <f t="shared" si="233"/>
        <v>0.1694676121667365</v>
      </c>
      <c r="U1054" s="67">
        <f t="shared" si="238"/>
        <v>25455686.029071104</v>
      </c>
      <c r="V1054" s="70">
        <f t="shared" si="234"/>
        <v>0.82251259143728661</v>
      </c>
      <c r="W1054" s="87">
        <f t="shared" si="223"/>
        <v>0.14341211192855063</v>
      </c>
      <c r="X1054" s="142">
        <f t="shared" si="193"/>
        <v>1.7857142857142857E-4</v>
      </c>
      <c r="Y1054" s="139">
        <f t="shared" si="224"/>
        <v>-6.3328618353724178E-2</v>
      </c>
      <c r="Z1054" s="139">
        <f t="shared" si="225"/>
        <v>-6.3328618353724178E-2</v>
      </c>
      <c r="AA1054" s="139">
        <f t="shared" si="226"/>
        <v>4.010513902591651E-3</v>
      </c>
      <c r="AB1054" s="144">
        <f t="shared" si="227"/>
        <v>2.9490289532673524</v>
      </c>
      <c r="AC1054" s="144">
        <f t="shared" si="228"/>
        <v>-5.1268072015722921E-2</v>
      </c>
      <c r="AD1054" s="144">
        <f t="shared" si="229"/>
        <v>-5.5219135792100499E-2</v>
      </c>
      <c r="AE1054" s="144">
        <f t="shared" si="230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7"/>
        <v>55578992.644670799</v>
      </c>
      <c r="E1055" s="67">
        <f t="shared" si="239"/>
        <v>59394922.759999998</v>
      </c>
      <c r="F1055" s="67">
        <f t="shared" si="240"/>
        <v>-825381.94440030307</v>
      </c>
      <c r="G1055" s="70">
        <f t="shared" si="241"/>
        <v>-1.4633296626610037E-2</v>
      </c>
      <c r="H1055" s="70"/>
      <c r="I1055" s="70"/>
      <c r="J1055" s="67">
        <f t="shared" si="242"/>
        <v>-5175930.1153291985</v>
      </c>
      <c r="K1055" s="70">
        <f t="shared" si="235"/>
        <v>-8.2944297829007474E-2</v>
      </c>
      <c r="L1055" s="70">
        <f t="shared" si="222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6"/>
        <v>-3871608.3353291973</v>
      </c>
      <c r="R1055" s="70">
        <f t="shared" si="232"/>
        <v>-6.5123115183169641E-2</v>
      </c>
      <c r="S1055" s="67">
        <f t="shared" si="237"/>
        <v>7008463.7846708</v>
      </c>
      <c r="T1055" s="70">
        <f t="shared" si="233"/>
        <v>0.14429457428540751</v>
      </c>
      <c r="U1055" s="67">
        <f t="shared" si="238"/>
        <v>24415042.274670798</v>
      </c>
      <c r="V1055" s="70">
        <f t="shared" si="234"/>
        <v>0.7834386200978537</v>
      </c>
      <c r="W1055" s="87">
        <f t="shared" si="223"/>
        <v>9.015768671842167E-2</v>
      </c>
      <c r="X1055" s="142">
        <f t="shared" si="193"/>
        <v>1.7857142857142857E-4</v>
      </c>
      <c r="Y1055" s="139">
        <f t="shared" si="224"/>
        <v>-1.4811868055181466E-2</v>
      </c>
      <c r="Z1055" s="139">
        <f t="shared" si="225"/>
        <v>-1.4811868055181466E-2</v>
      </c>
      <c r="AA1055" s="139">
        <f t="shared" si="226"/>
        <v>2.1939143528410519E-4</v>
      </c>
      <c r="AB1055" s="144">
        <f t="shared" si="227"/>
        <v>3.3205488503941916</v>
      </c>
      <c r="AC1055" s="144">
        <f t="shared" si="228"/>
        <v>-5.1667171876162737E-2</v>
      </c>
      <c r="AD1055" s="144">
        <f t="shared" si="229"/>
        <v>-5.555410704773911E-2</v>
      </c>
      <c r="AE1055" s="144">
        <f t="shared" si="230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7"/>
        <v>57589073.870721899</v>
      </c>
      <c r="E1056" s="67">
        <f t="shared" si="239"/>
        <v>59394922.759999998</v>
      </c>
      <c r="F1056" s="67">
        <f t="shared" si="240"/>
        <v>2010081.2260510996</v>
      </c>
      <c r="G1056" s="70">
        <f t="shared" si="241"/>
        <v>3.6166204718786614E-2</v>
      </c>
      <c r="H1056" s="70"/>
      <c r="I1056" s="70"/>
      <c r="J1056" s="67">
        <f t="shared" si="242"/>
        <v>-3165848.8892780989</v>
      </c>
      <c r="K1056" s="70">
        <f t="shared" si="235"/>
        <v>-4.97778735657608E-2</v>
      </c>
      <c r="L1056" s="70">
        <f t="shared" ref="L1056:L1087" si="243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6"/>
        <v>-2170867.5892781019</v>
      </c>
      <c r="R1056" s="70">
        <f t="shared" si="232"/>
        <v>-3.632646780169891E-2</v>
      </c>
      <c r="S1056" s="67">
        <f t="shared" si="237"/>
        <v>6944784.2507219017</v>
      </c>
      <c r="T1056" s="70">
        <f t="shared" si="233"/>
        <v>0.13712867339695745</v>
      </c>
      <c r="U1056" s="67">
        <f t="shared" si="238"/>
        <v>26523767.350721899</v>
      </c>
      <c r="V1056" s="70">
        <f t="shared" si="234"/>
        <v>0.85380671630089233</v>
      </c>
      <c r="W1056" s="87">
        <f t="shared" ref="W1056:W1087" si="244">O1056/P1056</f>
        <v>0.21847365937418886</v>
      </c>
      <c r="X1056" s="142">
        <f t="shared" si="193"/>
        <v>1.7857142857142857E-4</v>
      </c>
      <c r="Y1056" s="139">
        <f t="shared" ref="Y1056:Y1087" si="245">G1056-X1056</f>
        <v>3.5987633290215183E-2</v>
      </c>
      <c r="Z1056" s="139">
        <f t="shared" ref="Z1056:Z1087" si="246">IF(Y1056&lt;0,Y1056,0)</f>
        <v>0</v>
      </c>
      <c r="AA1056" s="139">
        <f t="shared" ref="AA1056:AA1087" si="247">Z1056^2</f>
        <v>0</v>
      </c>
      <c r="AB1056" s="144">
        <f t="shared" ref="AB1056:AB1087" si="248">AVERAGE(Y803:Y1056)/AVERAGE(AA803:AA1056)</f>
        <v>3.847634070393533</v>
      </c>
      <c r="AC1056" s="144">
        <f t="shared" ref="AC1056:AC1087" si="249">AVERAGE(G1025:G1056)-_xlfn.NORM.S.INV(0.95)*_xlfn.STDEV.S(G1025:G1056)</f>
        <v>-5.1664539733535506E-2</v>
      </c>
      <c r="AD1056" s="144">
        <f t="shared" ref="AD1056:AD1087" si="250">AVERAGE(G965:G1056)-_xlfn.NORM.S.INV(0.95)*_xlfn.STDEV.S(G965:G1056)</f>
        <v>-5.5539415913611771E-2</v>
      </c>
      <c r="AE1056" s="144">
        <f t="shared" ref="AE1056:AE1087" si="251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7"/>
        <v>57087687.759120002</v>
      </c>
      <c r="E1057" s="67">
        <f t="shared" si="239"/>
        <v>59394922.759999998</v>
      </c>
      <c r="F1057" s="67">
        <f t="shared" si="240"/>
        <v>-501386.11160189658</v>
      </c>
      <c r="G1057" s="70">
        <f t="shared" si="241"/>
        <v>-8.7062714835009648E-3</v>
      </c>
      <c r="H1057" s="70"/>
      <c r="I1057" s="70"/>
      <c r="J1057" s="67">
        <f t="shared" si="242"/>
        <v>-3667235.0008799955</v>
      </c>
      <c r="K1057" s="70">
        <f t="shared" si="235"/>
        <v>-5.8050765368126922E-2</v>
      </c>
      <c r="L1057" s="70">
        <f t="shared" si="243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6"/>
        <v>-2671680.6783396974</v>
      </c>
      <c r="R1057" s="70">
        <f t="shared" si="232"/>
        <v>-4.4707311141276636E-2</v>
      </c>
      <c r="S1057" s="67">
        <f t="shared" si="237"/>
        <v>5010155.7591200024</v>
      </c>
      <c r="T1057" s="70">
        <f t="shared" si="233"/>
        <v>9.6205706505446575E-2</v>
      </c>
      <c r="U1057" s="67">
        <f t="shared" si="238"/>
        <v>26333026.849120002</v>
      </c>
      <c r="V1057" s="70">
        <f t="shared" si="234"/>
        <v>0.85622881442850551</v>
      </c>
      <c r="W1057" s="87">
        <f t="shared" si="244"/>
        <v>0.18672248391124563</v>
      </c>
      <c r="X1057" s="142">
        <f t="shared" si="193"/>
        <v>1.7857142857142857E-4</v>
      </c>
      <c r="Y1057" s="139">
        <f t="shared" si="245"/>
        <v>-8.8848429120723937E-3</v>
      </c>
      <c r="Z1057" s="139">
        <f t="shared" si="246"/>
        <v>-8.8848429120723937E-3</v>
      </c>
      <c r="AA1057" s="139">
        <f t="shared" si="247"/>
        <v>7.8940433572203056E-5</v>
      </c>
      <c r="AB1057" s="144">
        <f t="shared" si="248"/>
        <v>3.7429269437450881</v>
      </c>
      <c r="AC1057" s="144">
        <f t="shared" si="249"/>
        <v>-5.2108296438685121E-2</v>
      </c>
      <c r="AD1057" s="144">
        <f t="shared" si="250"/>
        <v>-5.5684862978777588E-2</v>
      </c>
      <c r="AE1057" s="144">
        <f t="shared" si="251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7"/>
        <v>54872545.397529699</v>
      </c>
      <c r="E1058" s="67">
        <f t="shared" si="239"/>
        <v>59394922.759999998</v>
      </c>
      <c r="F1058" s="67">
        <f t="shared" si="240"/>
        <v>-2215142.3615903035</v>
      </c>
      <c r="G1058" s="70">
        <f t="shared" si="241"/>
        <v>-3.8802453708355444E-2</v>
      </c>
      <c r="H1058" s="70"/>
      <c r="I1058" s="70"/>
      <c r="J1058" s="67">
        <f t="shared" si="242"/>
        <v>-5882377.362470299</v>
      </c>
      <c r="K1058" s="70">
        <f t="shared" si="235"/>
        <v>-9.4600706940551005E-2</v>
      </c>
      <c r="L1058" s="70">
        <f t="shared" si="243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6"/>
        <v>-5582535.062470302</v>
      </c>
      <c r="R1058" s="70">
        <f t="shared" si="232"/>
        <v>-9.2341868044720846E-2</v>
      </c>
      <c r="S1058" s="67">
        <f t="shared" si="237"/>
        <v>3039314.1575296968</v>
      </c>
      <c r="T1058" s="70">
        <f t="shared" si="233"/>
        <v>5.8636401490328866E-2</v>
      </c>
      <c r="U1058" s="67">
        <f t="shared" si="238"/>
        <v>23736407.807529699</v>
      </c>
      <c r="V1058" s="70">
        <f t="shared" si="234"/>
        <v>0.76234271957845945</v>
      </c>
      <c r="W1058" s="87">
        <f t="shared" si="244"/>
        <v>4.8327252185054646E-2</v>
      </c>
      <c r="X1058" s="142">
        <f t="shared" si="193"/>
        <v>1.7857142857142857E-4</v>
      </c>
      <c r="Y1058" s="139">
        <f t="shared" si="245"/>
        <v>-3.8981025136926875E-2</v>
      </c>
      <c r="Z1058" s="139">
        <f t="shared" si="246"/>
        <v>-3.8981025136926875E-2</v>
      </c>
      <c r="AA1058" s="139">
        <f t="shared" si="247"/>
        <v>1.519520320725725E-3</v>
      </c>
      <c r="AB1058" s="144">
        <f t="shared" si="248"/>
        <v>3.2484248378611928</v>
      </c>
      <c r="AC1058" s="144">
        <f t="shared" si="249"/>
        <v>-5.4461043450737386E-2</v>
      </c>
      <c r="AD1058" s="144">
        <f t="shared" si="250"/>
        <v>-5.6629183300667713E-2</v>
      </c>
      <c r="AE1058" s="144">
        <f t="shared" si="251"/>
        <v>-4.1270484045593095E-2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7"/>
        <v>60667367.421713203</v>
      </c>
      <c r="E1059" s="80">
        <f t="shared" si="239"/>
        <v>59394922.759999998</v>
      </c>
      <c r="F1059" s="80">
        <f t="shared" si="240"/>
        <v>5794822.0241835043</v>
      </c>
      <c r="G1059" s="81">
        <f t="shared" si="241"/>
        <v>0.10560512515324978</v>
      </c>
      <c r="H1059" s="81"/>
      <c r="I1059" s="81"/>
      <c r="J1059" s="80">
        <f t="shared" si="242"/>
        <v>-87555.338286794722</v>
      </c>
      <c r="K1059" s="81">
        <f t="shared" si="235"/>
        <v>1.0140987166560311E-3</v>
      </c>
      <c r="L1059" s="81">
        <f t="shared" si="243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6"/>
        <v>-1033755.6782867983</v>
      </c>
      <c r="R1059" s="81">
        <f t="shared" si="232"/>
        <v>-1.6754244110133518E-2</v>
      </c>
      <c r="S1059" s="80">
        <f t="shared" si="237"/>
        <v>6165801.5117132068</v>
      </c>
      <c r="T1059" s="81">
        <f t="shared" si="233"/>
        <v>0.11313072218686289</v>
      </c>
      <c r="U1059" s="80">
        <f t="shared" si="238"/>
        <v>28621641.191713203</v>
      </c>
      <c r="V1059" s="81">
        <f t="shared" si="234"/>
        <v>0.89315002525730569</v>
      </c>
      <c r="W1059" s="136">
        <f t="shared" si="244"/>
        <v>0.40279481202642103</v>
      </c>
      <c r="X1059" s="143">
        <f t="shared" si="193"/>
        <v>1.7857142857142857E-4</v>
      </c>
      <c r="Y1059" s="140">
        <f t="shared" si="245"/>
        <v>0.10542655372467835</v>
      </c>
      <c r="Z1059" s="140">
        <f t="shared" si="246"/>
        <v>0</v>
      </c>
      <c r="AA1059" s="140">
        <f t="shared" si="247"/>
        <v>0</v>
      </c>
      <c r="AB1059" s="145">
        <f t="shared" si="248"/>
        <v>4.3625771854468187</v>
      </c>
      <c r="AC1059" s="145">
        <f t="shared" si="249"/>
        <v>-6.0298099521045707E-2</v>
      </c>
      <c r="AD1059" s="145">
        <f t="shared" si="250"/>
        <v>-5.819336865464099E-2</v>
      </c>
      <c r="AE1059" s="145">
        <f t="shared" si="251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7"/>
        <v>55984250.449729003</v>
      </c>
      <c r="E1060" s="67">
        <f t="shared" si="239"/>
        <v>60667367.421713203</v>
      </c>
      <c r="F1060" s="67">
        <f t="shared" si="240"/>
        <v>-4683116.9719842002</v>
      </c>
      <c r="G1060" s="70">
        <f t="shared" si="241"/>
        <v>-7.7193344148770257E-2</v>
      </c>
      <c r="H1060" s="70"/>
      <c r="I1060" s="70"/>
      <c r="J1060" s="67">
        <f t="shared" si="242"/>
        <v>-4683116.9719842002</v>
      </c>
      <c r="K1060" s="85">
        <f>G1060</f>
        <v>-7.7193344148770257E-2</v>
      </c>
      <c r="L1060" s="70">
        <f t="shared" si="243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6"/>
        <v>-6603869.0602709949</v>
      </c>
      <c r="R1060" s="70">
        <f t="shared" si="232"/>
        <v>-0.10551314070421726</v>
      </c>
      <c r="S1060" s="67">
        <f t="shared" si="237"/>
        <v>1995968.3597289994</v>
      </c>
      <c r="T1060" s="70">
        <f t="shared" si="233"/>
        <v>3.6970399547102892E-2</v>
      </c>
      <c r="U1060" s="67">
        <f t="shared" si="238"/>
        <v>23852149.929729003</v>
      </c>
      <c r="V1060" s="70">
        <f t="shared" si="234"/>
        <v>0.74231530288169922</v>
      </c>
      <c r="W1060" s="87">
        <f t="shared" si="244"/>
        <v>0.13889129990702584</v>
      </c>
      <c r="X1060" s="142">
        <f t="shared" si="193"/>
        <v>1.7857142857142857E-4</v>
      </c>
      <c r="Y1060" s="139">
        <f t="shared" si="245"/>
        <v>-7.7371915577341688E-2</v>
      </c>
      <c r="Z1060" s="139">
        <f t="shared" si="246"/>
        <v>-7.7371915577341688E-2</v>
      </c>
      <c r="AA1060" s="139">
        <f t="shared" si="247"/>
        <v>5.9864133201072891E-3</v>
      </c>
      <c r="AB1060" s="144">
        <f t="shared" si="248"/>
        <v>3.5562124083331792</v>
      </c>
      <c r="AC1060" s="144">
        <f t="shared" si="249"/>
        <v>-6.7041120026474874E-2</v>
      </c>
      <c r="AD1060" s="144">
        <f t="shared" si="250"/>
        <v>-6.0482795322080896E-2</v>
      </c>
      <c r="AE1060" s="144">
        <f t="shared" si="251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7"/>
        <v>52784182.118252099</v>
      </c>
      <c r="E1061" s="67">
        <f t="shared" si="239"/>
        <v>60667367.421713203</v>
      </c>
      <c r="F1061" s="67">
        <f t="shared" si="240"/>
        <v>-3200068.3314769045</v>
      </c>
      <c r="G1061" s="70">
        <f t="shared" si="241"/>
        <v>-5.7160153181838209E-2</v>
      </c>
      <c r="H1061" s="70"/>
      <c r="I1061" s="70"/>
      <c r="J1061" s="67">
        <f t="shared" si="242"/>
        <v>-7883185.3034611046</v>
      </c>
      <c r="K1061" s="70">
        <f t="shared" ref="K1061:K1081" si="252">(1+K1060)*(1+G1061)-1</f>
        <v>-0.12994111395444641</v>
      </c>
      <c r="L1061" s="70">
        <f t="shared" si="243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6"/>
        <v>-8799112.4517479017</v>
      </c>
      <c r="R1061" s="70">
        <f t="shared" si="232"/>
        <v>-0.14288148292790989</v>
      </c>
      <c r="S1061" s="67">
        <f t="shared" si="237"/>
        <v>-1808473.9217479005</v>
      </c>
      <c r="T1061" s="70">
        <f t="shared" si="233"/>
        <v>-3.3126688696421602E-2</v>
      </c>
      <c r="U1061" s="67">
        <f t="shared" si="238"/>
        <v>21316206.658252098</v>
      </c>
      <c r="V1061" s="70">
        <f t="shared" si="234"/>
        <v>0.67739364692678894</v>
      </c>
      <c r="W1061" s="87">
        <f t="shared" si="244"/>
        <v>-4.8873999339046362E-2</v>
      </c>
      <c r="X1061" s="142">
        <f t="shared" si="193"/>
        <v>1.7857142857142857E-4</v>
      </c>
      <c r="Y1061" s="139">
        <f t="shared" si="245"/>
        <v>-5.733872461040964E-2</v>
      </c>
      <c r="Z1061" s="139">
        <f t="shared" si="246"/>
        <v>-5.733872461040964E-2</v>
      </c>
      <c r="AA1061" s="139">
        <f t="shared" si="247"/>
        <v>3.2877293399483963E-3</v>
      </c>
      <c r="AB1061" s="144">
        <f t="shared" si="248"/>
        <v>2.9452781463220226</v>
      </c>
      <c r="AC1061" s="144">
        <f t="shared" si="249"/>
        <v>-7.0944461902771705E-2</v>
      </c>
      <c r="AD1061" s="144">
        <f t="shared" si="250"/>
        <v>-6.1781817094156637E-2</v>
      </c>
      <c r="AE1061" s="144">
        <f t="shared" si="251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7"/>
        <v>47370825.216570102</v>
      </c>
      <c r="E1062" s="67">
        <f t="shared" si="239"/>
        <v>60667367.421713203</v>
      </c>
      <c r="F1062" s="67">
        <f t="shared" si="240"/>
        <v>-5413356.9016819969</v>
      </c>
      <c r="G1062" s="70">
        <f t="shared" si="241"/>
        <v>-0.10255642286082002</v>
      </c>
      <c r="H1062" s="70"/>
      <c r="I1062" s="70"/>
      <c r="J1062" s="67">
        <f t="shared" si="242"/>
        <v>-13296542.205143102</v>
      </c>
      <c r="K1062" s="70">
        <f t="shared" si="252"/>
        <v>-0.21917124098554819</v>
      </c>
      <c r="L1062" s="70">
        <f t="shared" si="243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6"/>
        <v>-12526534.993429899</v>
      </c>
      <c r="R1062" s="70">
        <f t="shared" si="232"/>
        <v>-0.20913333992536395</v>
      </c>
      <c r="S1062" s="67">
        <f t="shared" si="237"/>
        <v>-7587893.4934298992</v>
      </c>
      <c r="T1062" s="70">
        <f t="shared" si="233"/>
        <v>-0.13806532742273059</v>
      </c>
      <c r="U1062" s="67">
        <f t="shared" si="238"/>
        <v>15878276.146570101</v>
      </c>
      <c r="V1062" s="70">
        <f t="shared" si="234"/>
        <v>0.50419151880264423</v>
      </c>
      <c r="W1062" s="87">
        <f t="shared" si="244"/>
        <v>-0.36884940637212399</v>
      </c>
      <c r="X1062" s="142">
        <f t="shared" si="193"/>
        <v>1.7857142857142857E-4</v>
      </c>
      <c r="Y1062" s="139">
        <f t="shared" si="245"/>
        <v>-0.10273499428939145</v>
      </c>
      <c r="Z1062" s="139">
        <f t="shared" si="246"/>
        <v>-0.10273499428939145</v>
      </c>
      <c r="AA1062" s="139">
        <f t="shared" si="247"/>
        <v>1.0554479051641294E-2</v>
      </c>
      <c r="AB1062" s="144">
        <f t="shared" si="248"/>
        <v>1.9565195456369262</v>
      </c>
      <c r="AC1062" s="144">
        <f t="shared" si="249"/>
        <v>-7.9450438556777123E-2</v>
      </c>
      <c r="AD1062" s="144">
        <f t="shared" si="250"/>
        <v>-6.5443924057929995E-2</v>
      </c>
      <c r="AE1062" s="144">
        <f t="shared" si="251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7"/>
        <v>48756449.268375501</v>
      </c>
      <c r="E1063" s="67">
        <f t="shared" si="239"/>
        <v>60667367.421713203</v>
      </c>
      <c r="F1063" s="67">
        <f t="shared" si="240"/>
        <v>1385624.0518053994</v>
      </c>
      <c r="G1063" s="70">
        <f t="shared" si="241"/>
        <v>2.925057871528728E-2</v>
      </c>
      <c r="H1063" s="70"/>
      <c r="I1063" s="70"/>
      <c r="J1063" s="67">
        <f t="shared" si="242"/>
        <v>-11910918.153337702</v>
      </c>
      <c r="K1063" s="70">
        <f t="shared" si="252"/>
        <v>-0.19633154790683593</v>
      </c>
      <c r="L1063" s="70">
        <f t="shared" si="243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6"/>
        <v>-9283243.471624501</v>
      </c>
      <c r="R1063" s="70">
        <f t="shared" si="232"/>
        <v>-0.15994646135034829</v>
      </c>
      <c r="S1063" s="67">
        <f t="shared" si="237"/>
        <v>-5937564.0916244984</v>
      </c>
      <c r="T1063" s="70">
        <f t="shared" si="233"/>
        <v>-0.10855967091942982</v>
      </c>
      <c r="U1063" s="67">
        <f t="shared" si="238"/>
        <v>18046245.138375502</v>
      </c>
      <c r="V1063" s="70">
        <f t="shared" si="234"/>
        <v>0.58763025677014613</v>
      </c>
      <c r="W1063" s="87">
        <f t="shared" si="244"/>
        <v>-0.27546251314588743</v>
      </c>
      <c r="X1063" s="142">
        <f t="shared" si="193"/>
        <v>1.7857142857142857E-4</v>
      </c>
      <c r="Y1063" s="139">
        <f t="shared" si="245"/>
        <v>2.9072007286715853E-2</v>
      </c>
      <c r="Z1063" s="139">
        <f t="shared" si="246"/>
        <v>0</v>
      </c>
      <c r="AA1063" s="139">
        <f t="shared" si="247"/>
        <v>0</v>
      </c>
      <c r="AB1063" s="144">
        <f t="shared" si="248"/>
        <v>2.0716872076254882</v>
      </c>
      <c r="AC1063" s="144">
        <f t="shared" si="249"/>
        <v>-7.8225132318648694E-2</v>
      </c>
      <c r="AD1063" s="144">
        <f t="shared" si="250"/>
        <v>-6.5392192317157025E-2</v>
      </c>
      <c r="AE1063" s="144">
        <f t="shared" si="251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7"/>
        <v>47312325.508298703</v>
      </c>
      <c r="E1064" s="67">
        <f t="shared" si="239"/>
        <v>60667367.421713203</v>
      </c>
      <c r="F1064" s="67">
        <f t="shared" si="240"/>
        <v>-1444123.7600767985</v>
      </c>
      <c r="G1064" s="70">
        <f t="shared" si="241"/>
        <v>-2.9619133094121536E-2</v>
      </c>
      <c r="H1064" s="70"/>
      <c r="I1064" s="70"/>
      <c r="J1064" s="67">
        <f t="shared" si="242"/>
        <v>-13355041.913414501</v>
      </c>
      <c r="K1064" s="70">
        <f t="shared" si="252"/>
        <v>-0.22013551075293003</v>
      </c>
      <c r="L1064" s="70">
        <f t="shared" si="243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6"/>
        <v>-12686520.511701301</v>
      </c>
      <c r="R1064" s="70">
        <f t="shared" si="232"/>
        <v>-0.21144607527072068</v>
      </c>
      <c r="S1064" s="67">
        <f t="shared" si="237"/>
        <v>-6368142.5417012945</v>
      </c>
      <c r="T1064" s="70">
        <f t="shared" si="233"/>
        <v>-0.11863053309762069</v>
      </c>
      <c r="U1064" s="67">
        <f t="shared" si="238"/>
        <v>17027484.858298704</v>
      </c>
      <c r="V1064" s="70">
        <f t="shared" si="234"/>
        <v>0.56224449238760332</v>
      </c>
      <c r="W1064" s="87">
        <f t="shared" si="244"/>
        <v>-0.36572789939883027</v>
      </c>
      <c r="X1064" s="142">
        <f t="shared" si="193"/>
        <v>1.7857142857142857E-4</v>
      </c>
      <c r="Y1064" s="139">
        <f t="shared" si="245"/>
        <v>-2.9797704522692963E-2</v>
      </c>
      <c r="Z1064" s="139">
        <f t="shared" si="246"/>
        <v>-2.9797704522692963E-2</v>
      </c>
      <c r="AA1064" s="139">
        <f t="shared" si="247"/>
        <v>8.879031948217167E-4</v>
      </c>
      <c r="AB1064" s="144">
        <f t="shared" si="248"/>
        <v>1.992514542194338</v>
      </c>
      <c r="AC1064" s="144">
        <f t="shared" si="249"/>
        <v>-7.8140600274760857E-2</v>
      </c>
      <c r="AD1064" s="144">
        <f t="shared" si="250"/>
        <v>-6.5849383425390415E-2</v>
      </c>
      <c r="AE1064" s="144">
        <f t="shared" si="251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7"/>
        <v>51762391.9934242</v>
      </c>
      <c r="E1065" s="67">
        <f t="shared" si="239"/>
        <v>60667367.421713203</v>
      </c>
      <c r="F1065" s="67">
        <f t="shared" si="240"/>
        <v>4450066.485125497</v>
      </c>
      <c r="G1065" s="70">
        <f t="shared" si="241"/>
        <v>9.4057234289718947E-2</v>
      </c>
      <c r="H1065" s="70"/>
      <c r="I1065" s="70"/>
      <c r="J1065" s="67">
        <f t="shared" si="242"/>
        <v>-8904975.4282890037</v>
      </c>
      <c r="K1065" s="70">
        <f t="shared" si="252"/>
        <v>-0.14678361377358629</v>
      </c>
      <c r="L1065" s="70">
        <f t="shared" si="243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6"/>
        <v>-7745352.5465757996</v>
      </c>
      <c r="R1065" s="70">
        <f t="shared" si="232"/>
        <v>-0.13015705109390455</v>
      </c>
      <c r="S1065" s="67">
        <f t="shared" si="237"/>
        <v>-2636116.5265758038</v>
      </c>
      <c r="T1065" s="70">
        <f t="shared" si="233"/>
        <v>-4.8459352991389766E-2</v>
      </c>
      <c r="U1065" s="67">
        <f t="shared" si="238"/>
        <v>21449702.673424199</v>
      </c>
      <c r="V1065" s="70">
        <f t="shared" si="234"/>
        <v>0.70761463778378475</v>
      </c>
      <c r="W1065" s="87">
        <f t="shared" si="244"/>
        <v>-7.1967989457344672E-2</v>
      </c>
      <c r="X1065" s="142">
        <f t="shared" si="193"/>
        <v>1.7857142857142857E-4</v>
      </c>
      <c r="Y1065" s="139">
        <f t="shared" si="245"/>
        <v>9.3878662861147516E-2</v>
      </c>
      <c r="Z1065" s="139">
        <f t="shared" si="246"/>
        <v>0</v>
      </c>
      <c r="AA1065" s="139">
        <f t="shared" si="247"/>
        <v>0</v>
      </c>
      <c r="AB1065" s="144">
        <f t="shared" si="248"/>
        <v>2.9630792513487707</v>
      </c>
      <c r="AC1065" s="144">
        <f t="shared" si="249"/>
        <v>-8.1129547881972672E-2</v>
      </c>
      <c r="AD1065" s="144">
        <f t="shared" si="250"/>
        <v>-6.6553027926578898E-2</v>
      </c>
      <c r="AE1065" s="144">
        <f t="shared" si="251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7"/>
        <v>52521250.0197547</v>
      </c>
      <c r="E1066" s="67">
        <f t="shared" si="239"/>
        <v>60667367.421713203</v>
      </c>
      <c r="F1066" s="67">
        <f t="shared" si="240"/>
        <v>758858.02633050084</v>
      </c>
      <c r="G1066" s="70">
        <f t="shared" si="241"/>
        <v>1.4660412649146987E-2</v>
      </c>
      <c r="H1066" s="70"/>
      <c r="I1066" s="70"/>
      <c r="J1066" s="67">
        <f t="shared" si="242"/>
        <v>-8146117.4019585028</v>
      </c>
      <c r="K1066" s="70">
        <f t="shared" si="252"/>
        <v>-0.1342751094724931</v>
      </c>
      <c r="L1066" s="70">
        <f t="shared" si="243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6"/>
        <v>-6203317.590245299</v>
      </c>
      <c r="R1066" s="70">
        <f t="shared" si="232"/>
        <v>-0.10563411265013653</v>
      </c>
      <c r="S1066" s="67">
        <f t="shared" si="237"/>
        <v>1294090.8297547027</v>
      </c>
      <c r="T1066" s="70">
        <f t="shared" si="233"/>
        <v>2.5261811316824315E-2</v>
      </c>
      <c r="U1066" s="67">
        <f t="shared" si="238"/>
        <v>21462405.439754702</v>
      </c>
      <c r="V1066" s="70">
        <f t="shared" si="234"/>
        <v>0.69102394921590815</v>
      </c>
      <c r="W1066" s="87">
        <f t="shared" si="244"/>
        <v>-2.7718031935941623E-2</v>
      </c>
      <c r="X1066" s="142">
        <f t="shared" si="193"/>
        <v>1.7857142857142857E-4</v>
      </c>
      <c r="Y1066" s="139">
        <f t="shared" si="245"/>
        <v>1.4481841220575558E-2</v>
      </c>
      <c r="Z1066" s="139">
        <f t="shared" si="246"/>
        <v>0</v>
      </c>
      <c r="AA1066" s="139">
        <f t="shared" si="247"/>
        <v>0</v>
      </c>
      <c r="AB1066" s="144">
        <f t="shared" si="248"/>
        <v>3.3382773825840899</v>
      </c>
      <c r="AC1066" s="144">
        <f t="shared" si="249"/>
        <v>-8.0597913346316635E-2</v>
      </c>
      <c r="AD1066" s="144">
        <f t="shared" si="250"/>
        <v>-6.6546840225213774E-2</v>
      </c>
      <c r="AE1066" s="144">
        <f t="shared" si="251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3">B1067</f>
        <v>53400219.769905001</v>
      </c>
      <c r="E1067" s="67">
        <f t="shared" si="239"/>
        <v>60667367.421713203</v>
      </c>
      <c r="F1067" s="67">
        <f t="shared" si="240"/>
        <v>878969.75015030056</v>
      </c>
      <c r="G1067" s="70">
        <f t="shared" si="241"/>
        <v>1.6735507053234559E-2</v>
      </c>
      <c r="H1067" s="70"/>
      <c r="I1067" s="70"/>
      <c r="J1067" s="67">
        <f t="shared" si="242"/>
        <v>-7267147.6518082023</v>
      </c>
      <c r="K1067" s="70">
        <f t="shared" si="252"/>
        <v>-0.11978676446090941</v>
      </c>
      <c r="L1067" s="70">
        <f t="shared" si="243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6"/>
        <v>-5994702.990094997</v>
      </c>
      <c r="R1067" s="70">
        <f t="shared" si="232"/>
        <v>-0.10092955275517555</v>
      </c>
      <c r="S1067" s="67">
        <f t="shared" si="237"/>
        <v>144232.25990500301</v>
      </c>
      <c r="T1067" s="70">
        <f t="shared" si="233"/>
        <v>2.7082825171145346E-3</v>
      </c>
      <c r="U1067" s="67">
        <f t="shared" si="238"/>
        <v>22297115.359905001</v>
      </c>
      <c r="V1067" s="70">
        <f t="shared" si="234"/>
        <v>0.71687748804702034</v>
      </c>
      <c r="W1067" s="87">
        <f t="shared" si="244"/>
        <v>2.23976138588277E-2</v>
      </c>
      <c r="X1067" s="142">
        <f t="shared" si="193"/>
        <v>1.7857142857142857E-4</v>
      </c>
      <c r="Y1067" s="139">
        <f t="shared" si="245"/>
        <v>1.6556935624663132E-2</v>
      </c>
      <c r="Z1067" s="139">
        <f t="shared" si="246"/>
        <v>0</v>
      </c>
      <c r="AA1067" s="139">
        <f t="shared" si="247"/>
        <v>0</v>
      </c>
      <c r="AB1067" s="144">
        <f t="shared" si="248"/>
        <v>3.4828855207605875</v>
      </c>
      <c r="AC1067" s="144">
        <f t="shared" si="249"/>
        <v>-7.982482649947141E-2</v>
      </c>
      <c r="AD1067" s="144">
        <f t="shared" si="250"/>
        <v>-6.500792880552704E-2</v>
      </c>
      <c r="AE1067" s="144">
        <f t="shared" si="251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3"/>
        <v>56544654.715252496</v>
      </c>
      <c r="E1068" s="67">
        <f t="shared" si="239"/>
        <v>60667367.421713203</v>
      </c>
      <c r="F1068" s="67">
        <f t="shared" si="240"/>
        <v>3144434.9453474954</v>
      </c>
      <c r="G1068" s="70">
        <f t="shared" si="241"/>
        <v>5.888430719754488E-2</v>
      </c>
      <c r="H1068" s="70"/>
      <c r="I1068" s="70"/>
      <c r="J1068" s="67">
        <f t="shared" si="242"/>
        <v>-4122712.7064607069</v>
      </c>
      <c r="K1068" s="70">
        <f t="shared" si="252"/>
        <v>-6.7956017900080656E-2</v>
      </c>
      <c r="L1068" s="70">
        <f t="shared" si="243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6"/>
        <v>-3118395.0747475028</v>
      </c>
      <c r="R1068" s="70">
        <f t="shared" si="232"/>
        <v>-5.2266772914283215E-2</v>
      </c>
      <c r="S1068" s="67">
        <f t="shared" si="237"/>
        <v>3134529.0452524945</v>
      </c>
      <c r="T1068" s="70">
        <f t="shared" si="233"/>
        <v>5.8687917430105055E-2</v>
      </c>
      <c r="U1068" s="67">
        <f t="shared" si="238"/>
        <v>24361840.135252498</v>
      </c>
      <c r="V1068" s="70">
        <f t="shared" si="234"/>
        <v>0.75698289454124246</v>
      </c>
      <c r="W1068" s="87">
        <f t="shared" si="244"/>
        <v>0.19583098006242575</v>
      </c>
      <c r="X1068" s="142">
        <f t="shared" si="193"/>
        <v>1.7857142857142857E-4</v>
      </c>
      <c r="Y1068" s="139">
        <f t="shared" si="245"/>
        <v>5.8705735768973449E-2</v>
      </c>
      <c r="Z1068" s="139">
        <f t="shared" si="246"/>
        <v>0</v>
      </c>
      <c r="AA1068" s="139">
        <f t="shared" si="247"/>
        <v>0</v>
      </c>
      <c r="AB1068" s="144">
        <f t="shared" si="248"/>
        <v>3.7972404316124515</v>
      </c>
      <c r="AC1068" s="144">
        <f t="shared" si="249"/>
        <v>-8.0295449356181714E-2</v>
      </c>
      <c r="AD1068" s="144">
        <f t="shared" si="250"/>
        <v>-6.5211889589931432E-2</v>
      </c>
      <c r="AE1068" s="144">
        <f t="shared" si="251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3"/>
        <v>56692038.266765103</v>
      </c>
      <c r="E1069" s="67">
        <f t="shared" si="239"/>
        <v>60667367.421713203</v>
      </c>
      <c r="F1069" s="67">
        <f t="shared" si="240"/>
        <v>147383.55151260644</v>
      </c>
      <c r="G1069" s="70">
        <f t="shared" si="241"/>
        <v>2.6064983906047418E-3</v>
      </c>
      <c r="H1069" s="70"/>
      <c r="I1069" s="70"/>
      <c r="J1069" s="67">
        <f t="shared" si="242"/>
        <v>-3975329.1549481004</v>
      </c>
      <c r="K1069" s="70">
        <f t="shared" si="252"/>
        <v>-6.5526646760764473E-2</v>
      </c>
      <c r="L1069" s="70">
        <f t="shared" si="243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6"/>
        <v>-4251638.6879028007</v>
      </c>
      <c r="R1069" s="70">
        <f t="shared" si="232"/>
        <v>-6.9763409435655191E-2</v>
      </c>
      <c r="S1069" s="67">
        <f t="shared" si="237"/>
        <v>3104181.346765101</v>
      </c>
      <c r="T1069" s="70">
        <f t="shared" si="233"/>
        <v>5.7926954447893995E-2</v>
      </c>
      <c r="U1069" s="67">
        <f t="shared" si="238"/>
        <v>24800430.936765105</v>
      </c>
      <c r="V1069" s="70">
        <f t="shared" si="234"/>
        <v>0.77764756978666538</v>
      </c>
      <c r="W1069" s="87">
        <f t="shared" si="244"/>
        <v>0.20288877923696588</v>
      </c>
      <c r="X1069" s="142">
        <f t="shared" si="193"/>
        <v>1.7857142857142857E-4</v>
      </c>
      <c r="Y1069" s="139">
        <f t="shared" si="245"/>
        <v>2.4279269620333132E-3</v>
      </c>
      <c r="Z1069" s="139">
        <f t="shared" si="246"/>
        <v>0</v>
      </c>
      <c r="AA1069" s="139">
        <f t="shared" si="247"/>
        <v>0</v>
      </c>
      <c r="AB1069" s="144">
        <f t="shared" si="248"/>
        <v>3.8279142658956222</v>
      </c>
      <c r="AC1069" s="144">
        <f t="shared" si="249"/>
        <v>-8.0345356631114709E-2</v>
      </c>
      <c r="AD1069" s="144">
        <f t="shared" si="250"/>
        <v>-6.5214847390028127E-2</v>
      </c>
      <c r="AE1069" s="144">
        <f t="shared" si="251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3"/>
        <v>59805518.4498135</v>
      </c>
      <c r="E1070" s="67">
        <f t="shared" si="239"/>
        <v>60667367.421713203</v>
      </c>
      <c r="F1070" s="67">
        <f t="shared" si="240"/>
        <v>3113480.1830483973</v>
      </c>
      <c r="G1070" s="70">
        <f t="shared" si="241"/>
        <v>5.491917874601504E-2</v>
      </c>
      <c r="H1070" s="70"/>
      <c r="I1070" s="70"/>
      <c r="J1070" s="67">
        <f t="shared" si="242"/>
        <v>-861848.97189970315</v>
      </c>
      <c r="K1070" s="70">
        <f t="shared" si="252"/>
        <v>-1.4206137640830896E-2</v>
      </c>
      <c r="L1070" s="70">
        <f t="shared" si="243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6"/>
        <v>-4056302.1406579018</v>
      </c>
      <c r="R1070" s="70">
        <f t="shared" si="232"/>
        <v>-6.3516857226321041E-2</v>
      </c>
      <c r="S1070" s="67">
        <f t="shared" si="237"/>
        <v>8783664.6798134968</v>
      </c>
      <c r="T1070" s="70">
        <f t="shared" si="233"/>
        <v>0.17215494990458666</v>
      </c>
      <c r="U1070" s="67">
        <f t="shared" si="238"/>
        <v>27829290.1298135</v>
      </c>
      <c r="V1070" s="70">
        <f t="shared" si="234"/>
        <v>0.87031184076225976</v>
      </c>
      <c r="W1070" s="87">
        <f t="shared" si="244"/>
        <v>0.36034194348952669</v>
      </c>
      <c r="X1070" s="142">
        <f t="shared" si="193"/>
        <v>1.7857142857142857E-4</v>
      </c>
      <c r="Y1070" s="139">
        <f t="shared" si="245"/>
        <v>5.474060731744361E-2</v>
      </c>
      <c r="Z1070" s="139">
        <f t="shared" si="246"/>
        <v>0</v>
      </c>
      <c r="AA1070" s="139">
        <f t="shared" si="247"/>
        <v>0</v>
      </c>
      <c r="AB1070" s="144">
        <f t="shared" si="248"/>
        <v>4.0221459644508366</v>
      </c>
      <c r="AC1070" s="144">
        <f t="shared" si="249"/>
        <v>-8.0715274745450385E-2</v>
      </c>
      <c r="AD1070" s="144">
        <f t="shared" si="250"/>
        <v>-6.5282294465200175E-2</v>
      </c>
      <c r="AE1070" s="144">
        <f t="shared" si="251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3"/>
        <v>61136510.623112902</v>
      </c>
      <c r="E1071" s="67">
        <f t="shared" si="239"/>
        <v>60667367.421713203</v>
      </c>
      <c r="F1071" s="67">
        <f t="shared" si="240"/>
        <v>1330992.173299402</v>
      </c>
      <c r="G1071" s="70">
        <f t="shared" si="241"/>
        <v>2.2255340440135465E-2</v>
      </c>
      <c r="H1071" s="70"/>
      <c r="I1071" s="70"/>
      <c r="J1071" s="67">
        <f t="shared" si="242"/>
        <v>469143.20139969885</v>
      </c>
      <c r="K1071" s="70">
        <f t="shared" si="252"/>
        <v>7.733040369768629E-3</v>
      </c>
      <c r="L1071" s="70">
        <f t="shared" si="243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6"/>
        <v>-2908109.2441542968</v>
      </c>
      <c r="R1071" s="70">
        <f t="shared" si="232"/>
        <v>-4.5407549458195987E-2</v>
      </c>
      <c r="S1071" s="67">
        <f t="shared" si="237"/>
        <v>7051097.573112905</v>
      </c>
      <c r="T1071" s="70">
        <f t="shared" si="233"/>
        <v>0.13036967225514987</v>
      </c>
      <c r="U1071" s="67">
        <f t="shared" si="238"/>
        <v>29112080.803112902</v>
      </c>
      <c r="V1071" s="70">
        <f t="shared" si="234"/>
        <v>0.90905852084622385</v>
      </c>
      <c r="W1071" s="87">
        <f t="shared" si="244"/>
        <v>0.42323595757034549</v>
      </c>
      <c r="X1071" s="142">
        <f t="shared" si="193"/>
        <v>1.7857142857142857E-4</v>
      </c>
      <c r="Y1071" s="139">
        <f t="shared" si="245"/>
        <v>2.2076769011564037E-2</v>
      </c>
      <c r="Z1071" s="139">
        <f t="shared" si="246"/>
        <v>0</v>
      </c>
      <c r="AA1071" s="139">
        <f t="shared" si="247"/>
        <v>0</v>
      </c>
      <c r="AB1071" s="144">
        <f t="shared" si="248"/>
        <v>4.5944340438539024</v>
      </c>
      <c r="AC1071" s="144">
        <f t="shared" si="249"/>
        <v>-8.0525308402567289E-2</v>
      </c>
      <c r="AD1071" s="144">
        <f t="shared" si="250"/>
        <v>-6.4047694801402419E-2</v>
      </c>
      <c r="AE1071" s="144">
        <f t="shared" si="251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3"/>
        <v>63198667.8479895</v>
      </c>
      <c r="E1072" s="67">
        <f t="shared" si="239"/>
        <v>60667367.421713203</v>
      </c>
      <c r="F1072" s="67">
        <f t="shared" si="240"/>
        <v>2062157.2248765975</v>
      </c>
      <c r="G1072" s="70">
        <f t="shared" si="241"/>
        <v>3.3730371652859602E-2</v>
      </c>
      <c r="H1072" s="70"/>
      <c r="I1072" s="70"/>
      <c r="J1072" s="67">
        <f t="shared" si="242"/>
        <v>2531300.4262762964</v>
      </c>
      <c r="K1072" s="70">
        <f t="shared" si="252"/>
        <v>4.1724250348307068E-2</v>
      </c>
      <c r="L1072" s="70">
        <f t="shared" si="243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6"/>
        <v>-1444881.6065388024</v>
      </c>
      <c r="R1072" s="70">
        <f t="shared" si="232"/>
        <v>-2.235152027899031E-2</v>
      </c>
      <c r="S1072" s="67">
        <f t="shared" si="237"/>
        <v>14072665.877989501</v>
      </c>
      <c r="T1072" s="70">
        <f t="shared" si="233"/>
        <v>0.28646063822949241</v>
      </c>
      <c r="U1072" s="67">
        <f t="shared" si="238"/>
        <v>31513165.247989498</v>
      </c>
      <c r="V1072" s="70">
        <f t="shared" si="234"/>
        <v>0.99456100304968797</v>
      </c>
      <c r="W1072" s="87">
        <f t="shared" si="244"/>
        <v>0.51781597466838691</v>
      </c>
      <c r="X1072" s="142">
        <f t="shared" si="193"/>
        <v>1.7857142857142857E-4</v>
      </c>
      <c r="Y1072" s="139">
        <f t="shared" si="245"/>
        <v>3.3551800224288171E-2</v>
      </c>
      <c r="Z1072" s="139">
        <f t="shared" si="246"/>
        <v>0</v>
      </c>
      <c r="AA1072" s="139">
        <f t="shared" si="247"/>
        <v>0</v>
      </c>
      <c r="AB1072" s="144">
        <f t="shared" si="248"/>
        <v>4.7704845971016443</v>
      </c>
      <c r="AC1072" s="144">
        <f t="shared" si="249"/>
        <v>-8.0189188563951422E-2</v>
      </c>
      <c r="AD1072" s="144">
        <f t="shared" si="250"/>
        <v>-6.3812979448044857E-2</v>
      </c>
      <c r="AE1072" s="144">
        <f t="shared" si="251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3"/>
        <v>61777804.835665397</v>
      </c>
      <c r="E1073" s="67">
        <f t="shared" si="239"/>
        <v>60667367.421713203</v>
      </c>
      <c r="F1073" s="67">
        <f t="shared" si="240"/>
        <v>-1420863.0123241022</v>
      </c>
      <c r="G1073" s="70">
        <f t="shared" si="241"/>
        <v>-2.2482483582433665E-2</v>
      </c>
      <c r="H1073" s="70"/>
      <c r="I1073" s="70"/>
      <c r="J1073" s="67">
        <f t="shared" si="242"/>
        <v>1110437.4139521942</v>
      </c>
      <c r="K1073" s="70">
        <f t="shared" si="252"/>
        <v>1.8303701992428145E-2</v>
      </c>
      <c r="L1073" s="70">
        <f t="shared" si="243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6"/>
        <v>-3242680.2577375025</v>
      </c>
      <c r="R1073" s="70">
        <f t="shared" si="232"/>
        <v>-4.9871671259901301E-2</v>
      </c>
      <c r="S1073" s="67">
        <f t="shared" si="237"/>
        <v>15072205.5356654</v>
      </c>
      <c r="T1073" s="70">
        <f t="shared" si="233"/>
        <v>0.32270660823455916</v>
      </c>
      <c r="U1073" s="67">
        <f t="shared" si="238"/>
        <v>29331017.415665396</v>
      </c>
      <c r="V1073" s="70">
        <f t="shared" si="234"/>
        <v>0.90397292761211656</v>
      </c>
      <c r="W1073" s="87">
        <f t="shared" si="244"/>
        <v>0.45105792498730435</v>
      </c>
      <c r="X1073" s="142">
        <f t="shared" ref="X1073:X1168" si="254">4.5%/252</f>
        <v>1.7857142857142857E-4</v>
      </c>
      <c r="Y1073" s="139">
        <f t="shared" si="245"/>
        <v>-2.2661055011005092E-2</v>
      </c>
      <c r="Z1073" s="139">
        <f t="shared" si="246"/>
        <v>-2.2661055011005092E-2</v>
      </c>
      <c r="AA1073" s="139">
        <f t="shared" si="247"/>
        <v>5.1352341421179897E-4</v>
      </c>
      <c r="AB1073" s="144">
        <f t="shared" si="248"/>
        <v>4.4622341284670526</v>
      </c>
      <c r="AC1073" s="144">
        <f t="shared" si="249"/>
        <v>-8.1266698832261078E-2</v>
      </c>
      <c r="AD1073" s="144">
        <f t="shared" si="250"/>
        <v>-6.1173075071309119E-2</v>
      </c>
      <c r="AE1073" s="144">
        <f t="shared" si="251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3"/>
        <v>62658444.354868598</v>
      </c>
      <c r="E1074" s="67">
        <f t="shared" si="239"/>
        <v>60667367.421713203</v>
      </c>
      <c r="F1074" s="67">
        <f t="shared" si="240"/>
        <v>880639.51920320094</v>
      </c>
      <c r="G1074" s="70">
        <f t="shared" si="241"/>
        <v>1.4254950002606639E-2</v>
      </c>
      <c r="H1074" s="70"/>
      <c r="I1074" s="70"/>
      <c r="J1074" s="67">
        <f t="shared" si="242"/>
        <v>1991076.9331553951</v>
      </c>
      <c r="K1074" s="70">
        <f t="shared" si="252"/>
        <v>3.2819570351799499E-2</v>
      </c>
      <c r="L1074" s="70">
        <f t="shared" si="243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6"/>
        <v>-2432640.5803930983</v>
      </c>
      <c r="R1074" s="70">
        <f t="shared" si="232"/>
        <v>-3.7372868846978879E-2</v>
      </c>
      <c r="S1074" s="67">
        <f t="shared" si="237"/>
        <v>16811050.674868599</v>
      </c>
      <c r="T1074" s="70">
        <f t="shared" si="233"/>
        <v>0.36667407513291383</v>
      </c>
      <c r="U1074" s="67">
        <f t="shared" si="238"/>
        <v>29849776.624868598</v>
      </c>
      <c r="V1074" s="70">
        <f t="shared" si="234"/>
        <v>0.90981373795846598</v>
      </c>
      <c r="W1074" s="87">
        <f t="shared" si="244"/>
        <v>0.4901977784069394</v>
      </c>
      <c r="X1074" s="142">
        <f t="shared" si="254"/>
        <v>1.7857142857142857E-4</v>
      </c>
      <c r="Y1074" s="139">
        <f t="shared" si="245"/>
        <v>1.407637857403521E-2</v>
      </c>
      <c r="Z1074" s="139">
        <f t="shared" si="246"/>
        <v>0</v>
      </c>
      <c r="AA1074" s="139">
        <f t="shared" si="247"/>
        <v>0</v>
      </c>
      <c r="AB1074" s="144">
        <f t="shared" si="248"/>
        <v>4.2900569120052872</v>
      </c>
      <c r="AC1074" s="144">
        <f t="shared" si="249"/>
        <v>-8.1100248023314891E-2</v>
      </c>
      <c r="AD1074" s="144">
        <f t="shared" si="250"/>
        <v>-5.986171041713944E-2</v>
      </c>
      <c r="AE1074" s="144">
        <f t="shared" si="251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3"/>
        <v>60262248.670911402</v>
      </c>
      <c r="E1075" s="67">
        <f t="shared" si="239"/>
        <v>60667367.421713203</v>
      </c>
      <c r="F1075" s="67">
        <f t="shared" si="240"/>
        <v>-2396195.6839571968</v>
      </c>
      <c r="G1075" s="70">
        <f t="shared" si="241"/>
        <v>-3.8242182815555505E-2</v>
      </c>
      <c r="H1075" s="70"/>
      <c r="I1075" s="70"/>
      <c r="J1075" s="67">
        <f t="shared" si="242"/>
        <v>-405118.75080180168</v>
      </c>
      <c r="K1075" s="70">
        <f t="shared" si="252"/>
        <v>-6.6777044730774726E-3</v>
      </c>
      <c r="L1075" s="70">
        <f t="shared" si="243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6"/>
        <v>-7141000.8480926007</v>
      </c>
      <c r="R1075" s="70">
        <f t="shared" si="232"/>
        <v>-0.10594445963735372</v>
      </c>
      <c r="S1075" s="67">
        <f t="shared" si="237"/>
        <v>17317385.370911404</v>
      </c>
      <c r="T1075" s="70">
        <f t="shared" si="233"/>
        <v>0.40324695528630095</v>
      </c>
      <c r="U1075" s="67">
        <f t="shared" si="238"/>
        <v>28196612.490911402</v>
      </c>
      <c r="V1075" s="70">
        <f t="shared" si="234"/>
        <v>0.87934049811549386</v>
      </c>
      <c r="W1075" s="87">
        <f t="shared" si="244"/>
        <v>0.37829496303194737</v>
      </c>
      <c r="X1075" s="142">
        <f t="shared" si="254"/>
        <v>1.7857142857142857E-4</v>
      </c>
      <c r="Y1075" s="139">
        <f t="shared" si="245"/>
        <v>-3.8420754244126935E-2</v>
      </c>
      <c r="Z1075" s="139">
        <f t="shared" si="246"/>
        <v>-3.8420754244126935E-2</v>
      </c>
      <c r="AA1075" s="139">
        <f t="shared" si="247"/>
        <v>1.476154356687598E-3</v>
      </c>
      <c r="AB1075" s="144">
        <f t="shared" si="248"/>
        <v>3.86741166014298</v>
      </c>
      <c r="AC1075" s="144">
        <f t="shared" si="249"/>
        <v>-8.3071559752930249E-2</v>
      </c>
      <c r="AD1075" s="144">
        <f t="shared" si="250"/>
        <v>-6.0374355797443068E-2</v>
      </c>
      <c r="AE1075" s="144">
        <f t="shared" si="251"/>
        <v>-4.5009335669959571E-2</v>
      </c>
    </row>
    <row r="1076" spans="1:31">
      <c r="A1076" s="88">
        <v>45527</v>
      </c>
      <c r="B1076" s="78">
        <v>63505365.288649</v>
      </c>
      <c r="D1076" s="67">
        <f t="shared" si="253"/>
        <v>63505365.288649</v>
      </c>
      <c r="E1076" s="67">
        <f t="shared" si="239"/>
        <v>60667367.421713203</v>
      </c>
      <c r="F1076" s="67">
        <f t="shared" si="240"/>
        <v>3243116.6177375987</v>
      </c>
      <c r="G1076" s="70">
        <f t="shared" si="241"/>
        <v>5.3816720903464253E-2</v>
      </c>
      <c r="H1076" s="70"/>
      <c r="I1076" s="70"/>
      <c r="J1076" s="67">
        <f t="shared" si="242"/>
        <v>2837997.866935797</v>
      </c>
      <c r="K1076" s="70">
        <f t="shared" si="252"/>
        <v>4.6779644272483489E-2</v>
      </c>
      <c r="L1076" s="70">
        <f t="shared" si="243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6"/>
        <v>-1938987.6923824027</v>
      </c>
      <c r="R1076" s="70">
        <f t="shared" si="232"/>
        <v>-2.9628036706916563E-2</v>
      </c>
      <c r="S1076" s="67">
        <f t="shared" si="237"/>
        <v>21440568.118648998</v>
      </c>
      <c r="T1076" s="70">
        <f t="shared" si="233"/>
        <v>0.50970335199761996</v>
      </c>
      <c r="U1076" s="67">
        <f t="shared" si="238"/>
        <v>31745629.818649001</v>
      </c>
      <c r="V1076" s="70">
        <f t="shared" si="234"/>
        <v>0.99955586370156257</v>
      </c>
      <c r="W1076" s="87">
        <f t="shared" si="244"/>
        <v>0.52539107886623881</v>
      </c>
      <c r="X1076" s="142">
        <f t="shared" si="254"/>
        <v>1.7857142857142857E-4</v>
      </c>
      <c r="Y1076" s="139">
        <f t="shared" si="245"/>
        <v>5.3638149474892823E-2</v>
      </c>
      <c r="Z1076" s="139">
        <f t="shared" si="246"/>
        <v>0</v>
      </c>
      <c r="AA1076" s="139">
        <f t="shared" si="247"/>
        <v>0</v>
      </c>
      <c r="AB1076" s="144">
        <f t="shared" si="248"/>
        <v>4.286995195524069</v>
      </c>
      <c r="AC1076" s="144">
        <f t="shared" si="249"/>
        <v>-8.3398165723333223E-2</v>
      </c>
      <c r="AD1076" s="144">
        <f t="shared" si="250"/>
        <v>-5.8606381742151187E-2</v>
      </c>
      <c r="AE1076" s="144">
        <f t="shared" si="251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3"/>
        <v>62382833.512212202</v>
      </c>
      <c r="E1077" s="67">
        <f t="shared" si="239"/>
        <v>60667367.421713203</v>
      </c>
      <c r="F1077" s="67">
        <f t="shared" si="240"/>
        <v>-1122531.7764367983</v>
      </c>
      <c r="G1077" s="70">
        <f t="shared" si="241"/>
        <v>-1.7676172262525991E-2</v>
      </c>
      <c r="H1077" s="70"/>
      <c r="I1077" s="70"/>
      <c r="J1077" s="67">
        <f t="shared" si="242"/>
        <v>1715466.0904989988</v>
      </c>
      <c r="K1077" s="70">
        <f t="shared" si="252"/>
        <v>2.827658695941726E-2</v>
      </c>
      <c r="L1077" s="70">
        <f t="shared" si="243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5">B1077-C1077-D1046</f>
        <v>-4770018.6653840989</v>
      </c>
      <c r="R1077" s="70">
        <f t="shared" si="232"/>
        <v>-7.1032257167112312E-2</v>
      </c>
      <c r="S1077" s="67">
        <f t="shared" ref="S1077:S1108" si="256">B1077-C1077-D986</f>
        <v>23613646.682212204</v>
      </c>
      <c r="T1077" s="70">
        <f t="shared" si="233"/>
        <v>0.60908284679161029</v>
      </c>
      <c r="U1077" s="67">
        <f t="shared" ref="U1077:U1108" si="257">B1077-C1077-D711</f>
        <v>30052989.192212202</v>
      </c>
      <c r="V1077" s="70">
        <f t="shared" si="234"/>
        <v>0.9295742006904969</v>
      </c>
      <c r="W1077" s="87">
        <f t="shared" si="244"/>
        <v>0.47395134349357032</v>
      </c>
      <c r="X1077" s="142">
        <f t="shared" si="254"/>
        <v>1.7857142857142857E-4</v>
      </c>
      <c r="Y1077" s="139">
        <f t="shared" si="245"/>
        <v>-1.7854743691097418E-2</v>
      </c>
      <c r="Z1077" s="139">
        <f t="shared" si="246"/>
        <v>-1.7854743691097418E-2</v>
      </c>
      <c r="AA1077" s="139">
        <f t="shared" si="247"/>
        <v>3.1879187227478307E-4</v>
      </c>
      <c r="AB1077" s="144">
        <f t="shared" si="248"/>
        <v>4.1310645686509968</v>
      </c>
      <c r="AC1077" s="144">
        <f t="shared" si="249"/>
        <v>-8.2770821785131343E-2</v>
      </c>
      <c r="AD1077" s="144">
        <f t="shared" si="250"/>
        <v>-5.8544059749753012E-2</v>
      </c>
      <c r="AE1077" s="144">
        <f t="shared" si="251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3"/>
        <v>63190385.891591698</v>
      </c>
      <c r="E1078" s="67">
        <f t="shared" ref="E1078:E1109" si="258">IF(MONTH(A1078)=MONTH(A1077),E1077,D1077)</f>
        <v>60667367.421713203</v>
      </c>
      <c r="F1078" s="67">
        <f t="shared" ref="F1078:F1109" si="259">B1078-C1078-D1077</f>
        <v>807552.37937949598</v>
      </c>
      <c r="G1078" s="70">
        <f t="shared" ref="G1078:G1109" si="260">F1078/B1077</f>
        <v>1.2945105791345751E-2</v>
      </c>
      <c r="H1078" s="70"/>
      <c r="I1078" s="70"/>
      <c r="J1078" s="67">
        <f t="shared" ref="J1078:J1109" si="261">IF(MONTH(A1078)=MONTH(A1077),J1077+F1078,F1078)</f>
        <v>2523018.4698784947</v>
      </c>
      <c r="K1078" s="70">
        <f t="shared" si="252"/>
        <v>4.1587736160370703E-2</v>
      </c>
      <c r="L1078" s="70">
        <f t="shared" si="243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5"/>
        <v>-3886146.2396564037</v>
      </c>
      <c r="R1078" s="70">
        <f t="shared" si="232"/>
        <v>-5.7936004086383192E-2</v>
      </c>
      <c r="S1078" s="67">
        <f t="shared" si="256"/>
        <v>22198201.211591698</v>
      </c>
      <c r="T1078" s="70">
        <f t="shared" si="233"/>
        <v>0.54152276549491041</v>
      </c>
      <c r="U1078" s="67">
        <f t="shared" si="257"/>
        <v>30502978.1515917</v>
      </c>
      <c r="V1078" s="70">
        <f t="shared" si="234"/>
        <v>0.93317213754655792</v>
      </c>
      <c r="W1078" s="87">
        <f t="shared" si="244"/>
        <v>0.50845119087724688</v>
      </c>
      <c r="X1078" s="142">
        <f t="shared" si="254"/>
        <v>1.7857142857142857E-4</v>
      </c>
      <c r="Y1078" s="139">
        <f t="shared" si="245"/>
        <v>1.2766534362774322E-2</v>
      </c>
      <c r="Z1078" s="139">
        <f t="shared" si="246"/>
        <v>0</v>
      </c>
      <c r="AA1078" s="139">
        <f t="shared" si="247"/>
        <v>0</v>
      </c>
      <c r="AB1078" s="144">
        <f t="shared" si="248"/>
        <v>4.2477540392593589</v>
      </c>
      <c r="AC1078" s="144">
        <f t="shared" si="249"/>
        <v>-8.2894944521658714E-2</v>
      </c>
      <c r="AD1078" s="144">
        <f t="shared" si="250"/>
        <v>-5.5898920337308589E-2</v>
      </c>
      <c r="AE1078" s="144">
        <f t="shared" si="251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3"/>
        <v>61388535.955951601</v>
      </c>
      <c r="E1079" s="67">
        <f t="shared" si="258"/>
        <v>60667367.421713203</v>
      </c>
      <c r="F1079" s="67">
        <f t="shared" si="259"/>
        <v>-1801849.9356400967</v>
      </c>
      <c r="G1079" s="70">
        <f t="shared" si="260"/>
        <v>-2.8514621492125691E-2</v>
      </c>
      <c r="H1079" s="70"/>
      <c r="I1079" s="70"/>
      <c r="J1079" s="67">
        <f t="shared" si="261"/>
        <v>721168.53423839808</v>
      </c>
      <c r="K1079" s="70">
        <f t="shared" si="252"/>
        <v>1.1887256112917743E-2</v>
      </c>
      <c r="L1079" s="70">
        <f t="shared" si="243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5"/>
        <v>-7610282.4457273036</v>
      </c>
      <c r="R1079" s="70">
        <f t="shared" si="232"/>
        <v>-0.11029583726236865</v>
      </c>
      <c r="S1079" s="67">
        <f t="shared" si="256"/>
        <v>17558006.405951604</v>
      </c>
      <c r="T1079" s="70">
        <f t="shared" si="233"/>
        <v>0.4005885072851374</v>
      </c>
      <c r="U1079" s="67">
        <f t="shared" si="257"/>
        <v>27893896.3559516</v>
      </c>
      <c r="V1079" s="70">
        <f t="shared" si="234"/>
        <v>0.83278687840998888</v>
      </c>
      <c r="W1079" s="87">
        <f t="shared" si="244"/>
        <v>0.4267857478668603</v>
      </c>
      <c r="X1079" s="142">
        <f t="shared" si="254"/>
        <v>1.7857142857142857E-4</v>
      </c>
      <c r="Y1079" s="139">
        <f t="shared" si="245"/>
        <v>-2.8693192920697119E-2</v>
      </c>
      <c r="Z1079" s="139">
        <f t="shared" si="246"/>
        <v>-2.8693192920697119E-2</v>
      </c>
      <c r="AA1079" s="139">
        <f t="shared" si="247"/>
        <v>8.2329931998434327E-4</v>
      </c>
      <c r="AB1079" s="144">
        <f t="shared" si="248"/>
        <v>4.0049980156915082</v>
      </c>
      <c r="AC1079" s="144">
        <f t="shared" si="249"/>
        <v>-8.4136793760729717E-2</v>
      </c>
      <c r="AD1079" s="144">
        <f t="shared" si="250"/>
        <v>-5.6464036163213244E-2</v>
      </c>
      <c r="AE1079" s="144">
        <f t="shared" si="251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3"/>
        <v>60263866.115877703</v>
      </c>
      <c r="E1080" s="67">
        <f t="shared" si="258"/>
        <v>60667367.421713203</v>
      </c>
      <c r="F1080" s="67">
        <f t="shared" si="259"/>
        <v>-1124669.8400738984</v>
      </c>
      <c r="G1080" s="70">
        <f t="shared" si="260"/>
        <v>-1.8320519011577146E-2</v>
      </c>
      <c r="H1080" s="70"/>
      <c r="I1080" s="70"/>
      <c r="J1080" s="67">
        <f t="shared" si="261"/>
        <v>-403501.30583550036</v>
      </c>
      <c r="K1080" s="70">
        <f t="shared" si="252"/>
        <v>-6.6510436002715778E-3</v>
      </c>
      <c r="L1080" s="70">
        <f t="shared" si="243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5"/>
        <v>-2087532.0791593939</v>
      </c>
      <c r="R1080" s="70">
        <f t="shared" si="232"/>
        <v>-3.3480116558565844E-2</v>
      </c>
      <c r="S1080" s="67">
        <f t="shared" si="256"/>
        <v>16193507.765877701</v>
      </c>
      <c r="T1080" s="70">
        <f t="shared" si="233"/>
        <v>0.36744670050720613</v>
      </c>
      <c r="U1080" s="67">
        <f t="shared" si="257"/>
        <v>26549517.455877706</v>
      </c>
      <c r="V1080" s="70">
        <f t="shared" si="234"/>
        <v>0.78748421699088256</v>
      </c>
      <c r="W1080" s="87">
        <f t="shared" si="244"/>
        <v>0.37456231213825847</v>
      </c>
      <c r="X1080" s="142">
        <f t="shared" si="254"/>
        <v>1.7857142857142857E-4</v>
      </c>
      <c r="Y1080" s="139">
        <f t="shared" si="245"/>
        <v>-1.8499090440148573E-2</v>
      </c>
      <c r="Z1080" s="139">
        <f t="shared" si="246"/>
        <v>-1.8499090440148573E-2</v>
      </c>
      <c r="AA1080" s="139">
        <f t="shared" si="247"/>
        <v>3.4221634711279636E-4</v>
      </c>
      <c r="AB1080" s="144">
        <f t="shared" si="248"/>
        <v>3.9736304195889498</v>
      </c>
      <c r="AC1080" s="144">
        <f t="shared" si="249"/>
        <v>-8.5131389137528851E-2</v>
      </c>
      <c r="AD1080" s="144">
        <f t="shared" si="250"/>
        <v>-5.6525372787213743E-2</v>
      </c>
      <c r="AE1080" s="144">
        <f t="shared" si="251"/>
        <v>-4.5293039139490364E-2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3"/>
        <v>62205008.162722297</v>
      </c>
      <c r="E1081" s="80">
        <f t="shared" si="258"/>
        <v>60667367.421713203</v>
      </c>
      <c r="F1081" s="80">
        <f t="shared" si="259"/>
        <v>1941142.0468445942</v>
      </c>
      <c r="G1081" s="81">
        <f t="shared" si="260"/>
        <v>3.2210712188827893E-2</v>
      </c>
      <c r="H1081" s="81"/>
      <c r="I1081" s="81"/>
      <c r="J1081" s="80">
        <f t="shared" si="261"/>
        <v>1537640.7410090938</v>
      </c>
      <c r="K1081" s="81">
        <f t="shared" si="252"/>
        <v>2.534543373739262E-2</v>
      </c>
      <c r="L1081" s="81">
        <f t="shared" si="243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5"/>
        <v>754761.04609839618</v>
      </c>
      <c r="R1081" s="81">
        <f t="shared" si="232"/>
        <v>1.2282473733034241E-2</v>
      </c>
      <c r="S1081" s="80">
        <f t="shared" si="256"/>
        <v>17383582.852722295</v>
      </c>
      <c r="T1081" s="81">
        <f t="shared" si="233"/>
        <v>0.38784092055287417</v>
      </c>
      <c r="U1081" s="80">
        <f t="shared" si="257"/>
        <v>28391853.0427223</v>
      </c>
      <c r="V1081" s="81">
        <f t="shared" si="234"/>
        <v>0.83966884906072914</v>
      </c>
      <c r="W1081" s="136">
        <f t="shared" si="244"/>
        <v>0.46097322231554289</v>
      </c>
      <c r="X1081" s="143">
        <f t="shared" si="254"/>
        <v>1.7857142857142857E-4</v>
      </c>
      <c r="Y1081" s="140">
        <f t="shared" si="245"/>
        <v>3.2032140760256463E-2</v>
      </c>
      <c r="Z1081" s="140">
        <f t="shared" si="246"/>
        <v>0</v>
      </c>
      <c r="AA1081" s="140">
        <f t="shared" si="247"/>
        <v>0</v>
      </c>
      <c r="AB1081" s="145">
        <f t="shared" si="248"/>
        <v>4.3066337243811654</v>
      </c>
      <c r="AC1081" s="145">
        <f t="shared" si="249"/>
        <v>-7.6754438447849016E-2</v>
      </c>
      <c r="AD1081" s="145">
        <f t="shared" si="250"/>
        <v>-5.6425872321953278E-2</v>
      </c>
      <c r="AE1081" s="145">
        <f t="shared" si="251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3"/>
        <v>61961389.694617704</v>
      </c>
      <c r="E1082" s="67">
        <f t="shared" si="258"/>
        <v>62205008.162722297</v>
      </c>
      <c r="F1082" s="67">
        <f t="shared" si="259"/>
        <v>-243618.46810459346</v>
      </c>
      <c r="G1082" s="70">
        <f t="shared" si="260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61"/>
        <v>-243618.46810459346</v>
      </c>
      <c r="K1082" s="85">
        <f>G1082</f>
        <v>-3.9163802931640335E-3</v>
      </c>
      <c r="L1082" s="70">
        <f t="shared" si="243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5"/>
        <v>3424984.5514562055</v>
      </c>
      <c r="R1082" s="70">
        <f t="shared" si="232"/>
        <v>5.8510332895909456E-2</v>
      </c>
      <c r="S1082" s="67">
        <f t="shared" si="256"/>
        <v>13970053.374617703</v>
      </c>
      <c r="T1082" s="70">
        <f t="shared" si="233"/>
        <v>0.29109531940238548</v>
      </c>
      <c r="U1082" s="67">
        <f t="shared" si="257"/>
        <v>28218500.984617703</v>
      </c>
      <c r="V1082" s="70">
        <f t="shared" si="234"/>
        <v>0.83627994114964144</v>
      </c>
      <c r="W1082" s="87">
        <f t="shared" si="244"/>
        <v>0.44890377339659249</v>
      </c>
      <c r="X1082" s="142">
        <f t="shared" si="254"/>
        <v>1.7857142857142857E-4</v>
      </c>
      <c r="Y1082" s="139">
        <f t="shared" si="245"/>
        <v>-4.0949517217354625E-3</v>
      </c>
      <c r="Z1082" s="139">
        <f t="shared" si="246"/>
        <v>-4.0949517217354625E-3</v>
      </c>
      <c r="AA1082" s="139">
        <f t="shared" si="247"/>
        <v>1.6768629603344228E-5</v>
      </c>
      <c r="AB1082" s="144">
        <f t="shared" si="248"/>
        <v>4.235506051015248</v>
      </c>
      <c r="AC1082" s="144">
        <f t="shared" si="249"/>
        <v>-7.6302603960186691E-2</v>
      </c>
      <c r="AD1082" s="144">
        <f t="shared" si="250"/>
        <v>-5.6630225931091564E-2</v>
      </c>
      <c r="AE1082" s="144">
        <f t="shared" si="251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3"/>
        <v>55698633.107094899</v>
      </c>
      <c r="E1083" s="67">
        <f t="shared" si="258"/>
        <v>62205008.162722297</v>
      </c>
      <c r="F1083" s="67">
        <f t="shared" si="259"/>
        <v>-6262756.5875228047</v>
      </c>
      <c r="G1083" s="70">
        <f t="shared" si="260"/>
        <v>-0.10107514725524017</v>
      </c>
      <c r="H1083" s="67">
        <f t="shared" ref="H1083:H1102" si="262">IF(WEEKNUM(A1083)=WEEKNUM(A1082),H1082+F1083,F1083)</f>
        <v>-6506375.0556273982</v>
      </c>
      <c r="I1083" s="70">
        <f t="shared" ref="I1083:I1102" si="263">IF(WEEKNUM(A1083)=WEEKNUM(A1082),I1082+G1083,G1083)</f>
        <v>-0.1049915275484042</v>
      </c>
      <c r="J1083" s="67">
        <f t="shared" si="261"/>
        <v>-6506375.0556273982</v>
      </c>
      <c r="K1083" s="70">
        <f t="shared" ref="K1083:K1102" si="264">(1+K1082)*(1+G1083)-1</f>
        <v>-0.10459567883356502</v>
      </c>
      <c r="L1083" s="70">
        <f t="shared" si="243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5"/>
        <v>-5301874.7954265997</v>
      </c>
      <c r="R1083" s="70">
        <f t="shared" si="232"/>
        <v>-8.6915256572928354E-2</v>
      </c>
      <c r="S1083" s="67">
        <f t="shared" si="256"/>
        <v>6907844.7870948985</v>
      </c>
      <c r="T1083" s="70">
        <f t="shared" si="233"/>
        <v>0.14158092182870674</v>
      </c>
      <c r="U1083" s="67">
        <f t="shared" si="257"/>
        <v>21601221.997094899</v>
      </c>
      <c r="V1083" s="70">
        <f t="shared" si="234"/>
        <v>0.63351501753045847</v>
      </c>
      <c r="W1083" s="87">
        <f t="shared" si="244"/>
        <v>0.1672473612401979</v>
      </c>
      <c r="X1083" s="142">
        <f t="shared" si="254"/>
        <v>1.7857142857142857E-4</v>
      </c>
      <c r="Y1083" s="139">
        <f t="shared" si="245"/>
        <v>-0.1012537186838116</v>
      </c>
      <c r="Z1083" s="139">
        <f t="shared" si="246"/>
        <v>-0.1012537186838116</v>
      </c>
      <c r="AA1083" s="139">
        <f t="shared" si="247"/>
        <v>1.0252315547300458E-2</v>
      </c>
      <c r="AB1083" s="144">
        <f t="shared" si="248"/>
        <v>2.9811252616253552</v>
      </c>
      <c r="AC1083" s="144">
        <f t="shared" si="249"/>
        <v>-8.2363969357801506E-2</v>
      </c>
      <c r="AD1083" s="144">
        <f t="shared" si="250"/>
        <v>-6.0024640163128813E-2</v>
      </c>
      <c r="AE1083" s="144">
        <f t="shared" si="251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3"/>
        <v>54381510.365982004</v>
      </c>
      <c r="E1084" s="67">
        <f t="shared" si="258"/>
        <v>62205008.162722297</v>
      </c>
      <c r="F1084" s="67">
        <f t="shared" si="259"/>
        <v>-1317122.7411128953</v>
      </c>
      <c r="G1084" s="70">
        <f t="shared" si="260"/>
        <v>-2.3647308158898428E-2</v>
      </c>
      <c r="H1084" s="67">
        <f t="shared" si="262"/>
        <v>-7823497.7967402935</v>
      </c>
      <c r="I1084" s="70">
        <f t="shared" si="263"/>
        <v>-0.12863883570730261</v>
      </c>
      <c r="J1084" s="67">
        <f t="shared" si="261"/>
        <v>-7823497.7967402935</v>
      </c>
      <c r="K1084" s="70">
        <f t="shared" si="264"/>
        <v>-0.12576958074299693</v>
      </c>
      <c r="L1084" s="70">
        <f t="shared" si="243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5"/>
        <v>-5824901.9884676933</v>
      </c>
      <c r="R1084" s="70">
        <f t="shared" si="232"/>
        <v>-9.6748863795023829E-2</v>
      </c>
      <c r="S1084" s="67">
        <f t="shared" si="256"/>
        <v>9185187.8959820047</v>
      </c>
      <c r="T1084" s="70">
        <f t="shared" si="233"/>
        <v>0.2032286565367982</v>
      </c>
      <c r="U1084" s="67">
        <f t="shared" si="257"/>
        <v>20408059.535982005</v>
      </c>
      <c r="V1084" s="70">
        <f t="shared" si="234"/>
        <v>0.60070611131327356</v>
      </c>
      <c r="W1084" s="87">
        <f t="shared" si="244"/>
        <v>0.10391975234855975</v>
      </c>
      <c r="X1084" s="142">
        <f t="shared" si="254"/>
        <v>1.7857142857142857E-4</v>
      </c>
      <c r="Y1084" s="139">
        <f t="shared" si="245"/>
        <v>-2.3825879587469855E-2</v>
      </c>
      <c r="Z1084" s="139">
        <f t="shared" si="246"/>
        <v>-2.3825879587469855E-2</v>
      </c>
      <c r="AA1084" s="139">
        <f t="shared" si="247"/>
        <v>5.6767253811661276E-4</v>
      </c>
      <c r="AB1084" s="144">
        <f t="shared" si="248"/>
        <v>2.9430603855614845</v>
      </c>
      <c r="AC1084" s="144">
        <f t="shared" si="249"/>
        <v>-8.3674192783888685E-2</v>
      </c>
      <c r="AD1084" s="144">
        <f t="shared" si="250"/>
        <v>-6.056972532721696E-2</v>
      </c>
      <c r="AE1084" s="144">
        <f t="shared" si="251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3"/>
        <v>54434606.4776785</v>
      </c>
      <c r="E1085" s="67">
        <f t="shared" si="258"/>
        <v>62205008.162722297</v>
      </c>
      <c r="F1085" s="67">
        <f t="shared" si="259"/>
        <v>53096.111696496606</v>
      </c>
      <c r="G1085" s="70">
        <f t="shared" si="260"/>
        <v>9.7636331428026192E-4</v>
      </c>
      <c r="H1085" s="67">
        <f t="shared" si="262"/>
        <v>-7770401.6850437969</v>
      </c>
      <c r="I1085" s="70">
        <f t="shared" si="263"/>
        <v>-0.12766247239302236</v>
      </c>
      <c r="J1085" s="67">
        <f t="shared" si="261"/>
        <v>-7770401.6850437969</v>
      </c>
      <c r="K1085" s="70">
        <f t="shared" si="264"/>
        <v>-0.12491601423340648</v>
      </c>
      <c r="L1085" s="70">
        <f t="shared" si="243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5"/>
        <v>-1969768.1113926023</v>
      </c>
      <c r="R1085" s="70">
        <f t="shared" si="232"/>
        <v>-3.49222578167592E-2</v>
      </c>
      <c r="S1085" s="67">
        <f t="shared" si="256"/>
        <v>11414866.007678501</v>
      </c>
      <c r="T1085" s="70">
        <f t="shared" si="233"/>
        <v>0.26534018762011607</v>
      </c>
      <c r="U1085" s="67">
        <f t="shared" si="257"/>
        <v>20606896.207678497</v>
      </c>
      <c r="V1085" s="70">
        <f t="shared" si="234"/>
        <v>0.60917206760972109</v>
      </c>
      <c r="W1085" s="87">
        <f t="shared" si="244"/>
        <v>0.10620547908028821</v>
      </c>
      <c r="X1085" s="142">
        <f t="shared" si="254"/>
        <v>1.7857142857142857E-4</v>
      </c>
      <c r="Y1085" s="139">
        <f t="shared" si="245"/>
        <v>7.9779188570883338E-4</v>
      </c>
      <c r="Z1085" s="139">
        <f t="shared" si="246"/>
        <v>0</v>
      </c>
      <c r="AA1085" s="139">
        <f t="shared" si="247"/>
        <v>0</v>
      </c>
      <c r="AB1085" s="144">
        <f t="shared" si="248"/>
        <v>2.9081271882097686</v>
      </c>
      <c r="AC1085" s="144">
        <f t="shared" si="249"/>
        <v>-8.3179073598131301E-2</v>
      </c>
      <c r="AD1085" s="144">
        <f t="shared" si="250"/>
        <v>-5.8370301321395528E-2</v>
      </c>
      <c r="AE1085" s="144">
        <f t="shared" si="251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3"/>
        <v>50975553.849122301</v>
      </c>
      <c r="E1086" s="67">
        <f t="shared" si="258"/>
        <v>62205008.162722297</v>
      </c>
      <c r="F1086" s="67">
        <f t="shared" si="259"/>
        <v>-3459052.6285561994</v>
      </c>
      <c r="G1086" s="70">
        <f t="shared" si="260"/>
        <v>-6.3545102139658555E-2</v>
      </c>
      <c r="H1086" s="67">
        <f t="shared" si="262"/>
        <v>-11229454.313599996</v>
      </c>
      <c r="I1086" s="70">
        <f t="shared" si="263"/>
        <v>-0.19120757453268092</v>
      </c>
      <c r="J1086" s="67">
        <f t="shared" si="261"/>
        <v>-11229454.313599996</v>
      </c>
      <c r="K1086" s="70">
        <f t="shared" si="264"/>
        <v>-0.18052331548972422</v>
      </c>
      <c r="L1086" s="70">
        <f t="shared" si="243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5"/>
        <v>-4603438.7955484986</v>
      </c>
      <c r="R1086" s="70">
        <f t="shared" si="232"/>
        <v>-8.2826956310261587E-2</v>
      </c>
      <c r="S1086" s="67">
        <f t="shared" si="256"/>
        <v>5197220.2091223001</v>
      </c>
      <c r="T1086" s="70">
        <f t="shared" si="233"/>
        <v>0.11353013086918251</v>
      </c>
      <c r="U1086" s="67">
        <f t="shared" si="257"/>
        <v>17545937.289122302</v>
      </c>
      <c r="V1086" s="70">
        <f t="shared" si="234"/>
        <v>0.52486205630359473</v>
      </c>
      <c r="W1086" s="87">
        <f t="shared" si="244"/>
        <v>-6.0815943973167627E-2</v>
      </c>
      <c r="X1086" s="142">
        <f t="shared" si="254"/>
        <v>1.7857142857142857E-4</v>
      </c>
      <c r="Y1086" s="139">
        <f t="shared" si="245"/>
        <v>-6.3723673568229985E-2</v>
      </c>
      <c r="Z1086" s="139">
        <f t="shared" si="246"/>
        <v>-6.3723673568229985E-2</v>
      </c>
      <c r="AA1086" s="139">
        <f t="shared" si="247"/>
        <v>4.0607065730303331E-3</v>
      </c>
      <c r="AB1086" s="144">
        <f t="shared" si="248"/>
        <v>2.2084904948426916</v>
      </c>
      <c r="AC1086" s="144">
        <f t="shared" si="249"/>
        <v>-8.3217472513318513E-2</v>
      </c>
      <c r="AD1086" s="144">
        <f t="shared" si="250"/>
        <v>-5.8973951004408713E-2</v>
      </c>
      <c r="AE1086" s="144">
        <f t="shared" si="251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3"/>
        <v>52872142.811052501</v>
      </c>
      <c r="E1087" s="67">
        <f t="shared" si="258"/>
        <v>62205008.162722297</v>
      </c>
      <c r="F1087" s="67">
        <f t="shared" si="259"/>
        <v>1896588.9619302005</v>
      </c>
      <c r="G1087" s="70">
        <f t="shared" si="260"/>
        <v>3.7205852976972729E-2</v>
      </c>
      <c r="H1087" s="67">
        <f t="shared" si="262"/>
        <v>1896588.9619302005</v>
      </c>
      <c r="I1087" s="70">
        <f t="shared" si="263"/>
        <v>3.7205852976972729E-2</v>
      </c>
      <c r="J1087" s="67">
        <f t="shared" si="261"/>
        <v>-9332865.3516697958</v>
      </c>
      <c r="K1087" s="70">
        <f t="shared" si="264"/>
        <v>-0.15003398644777777</v>
      </c>
      <c r="L1087" s="70">
        <f t="shared" si="243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5"/>
        <v>-4716931.0596693978</v>
      </c>
      <c r="R1087" s="70">
        <f t="shared" si="232"/>
        <v>-8.1906701091567141E-2</v>
      </c>
      <c r="S1087" s="67">
        <f t="shared" si="256"/>
        <v>3857968.9410525039</v>
      </c>
      <c r="T1087" s="70">
        <f t="shared" si="233"/>
        <v>7.8711291784392248E-2</v>
      </c>
      <c r="U1087" s="67">
        <f t="shared" si="257"/>
        <v>19777248.361052502</v>
      </c>
      <c r="V1087" s="70">
        <f t="shared" si="234"/>
        <v>0.59759212681376306</v>
      </c>
      <c r="W1087" s="87">
        <f t="shared" si="244"/>
        <v>3.5972318998733807E-2</v>
      </c>
      <c r="X1087" s="142">
        <f t="shared" si="254"/>
        <v>1.7857142857142857E-4</v>
      </c>
      <c r="Y1087" s="139">
        <f t="shared" si="245"/>
        <v>3.7027281548401299E-2</v>
      </c>
      <c r="Z1087" s="139">
        <f t="shared" si="246"/>
        <v>0</v>
      </c>
      <c r="AA1087" s="139">
        <f t="shared" si="247"/>
        <v>0</v>
      </c>
      <c r="AB1087" s="144">
        <f t="shared" si="248"/>
        <v>2.7505290520424097</v>
      </c>
      <c r="AC1087" s="144">
        <f t="shared" si="249"/>
        <v>-8.228759684703274E-2</v>
      </c>
      <c r="AD1087" s="144">
        <f t="shared" si="250"/>
        <v>-5.8634311809341158E-2</v>
      </c>
      <c r="AE1087" s="144">
        <f t="shared" si="251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3"/>
        <v>53540814.445052102</v>
      </c>
      <c r="E1088" s="67">
        <f t="shared" si="258"/>
        <v>62205008.162722297</v>
      </c>
      <c r="F1088" s="67">
        <f t="shared" si="259"/>
        <v>668671.63399960101</v>
      </c>
      <c r="G1088" s="70">
        <f t="shared" si="260"/>
        <v>1.2646955437180059E-2</v>
      </c>
      <c r="H1088" s="67">
        <f t="shared" si="262"/>
        <v>2565260.5959298015</v>
      </c>
      <c r="I1088" s="70">
        <f t="shared" si="263"/>
        <v>4.9852808414152787E-2</v>
      </c>
      <c r="J1088" s="67">
        <f t="shared" si="261"/>
        <v>-8664193.7176701948</v>
      </c>
      <c r="K1088" s="70">
        <f t="shared" si="264"/>
        <v>-0.13928450415126525</v>
      </c>
      <c r="L1088" s="70">
        <f t="shared" ref="L1088:L1119" si="265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5"/>
        <v>-3546873.3140679002</v>
      </c>
      <c r="R1088" s="70">
        <f t="shared" si="232"/>
        <v>-6.2130267546197333E-2</v>
      </c>
      <c r="S1088" s="67">
        <f t="shared" si="256"/>
        <v>1937897.6050520986</v>
      </c>
      <c r="T1088" s="70">
        <f t="shared" si="233"/>
        <v>3.755403228582492E-2</v>
      </c>
      <c r="U1088" s="67">
        <f t="shared" si="257"/>
        <v>19617304.2750521</v>
      </c>
      <c r="V1088" s="70">
        <f t="shared" si="234"/>
        <v>0.57828049564282746</v>
      </c>
      <c r="W1088" s="87">
        <f t="shared" ref="W1088:W1119" si="266">O1088/P1088</f>
        <v>6.8530298593214967E-2</v>
      </c>
      <c r="X1088" s="142">
        <f t="shared" si="254"/>
        <v>1.7857142857142857E-4</v>
      </c>
      <c r="Y1088" s="139">
        <f t="shared" ref="Y1088:Y1119" si="267">G1088-X1088</f>
        <v>1.246838400860863E-2</v>
      </c>
      <c r="Z1088" s="139">
        <f t="shared" ref="Z1088:Z1119" si="268">IF(Y1088&lt;0,Y1088,0)</f>
        <v>0</v>
      </c>
      <c r="AA1088" s="139">
        <f t="shared" ref="AA1088:AA1119" si="269">Z1088^2</f>
        <v>0</v>
      </c>
      <c r="AB1088" s="144">
        <f t="shared" ref="AB1088:AB1119" si="270">AVERAGE(Y835:Y1088)/AVERAGE(AA835:AA1088)</f>
        <v>2.8731724294488714</v>
      </c>
      <c r="AC1088" s="144">
        <f t="shared" ref="AC1088:AC1119" si="271">AVERAGE(G1057:G1088)-_xlfn.NORM.S.INV(0.95)*_xlfn.STDEV.S(G1057:G1088)</f>
        <v>-8.2390766208945018E-2</v>
      </c>
      <c r="AD1088" s="144">
        <f t="shared" ref="AD1088:AD1119" si="272">AVERAGE(G997:G1088)-_xlfn.NORM.S.INV(0.95)*_xlfn.STDEV.S(G997:G1088)</f>
        <v>-5.8126405536086966E-2</v>
      </c>
      <c r="AE1088" s="144">
        <f t="shared" ref="AE1088:AE1119" si="273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3"/>
        <v>56818392.436094403</v>
      </c>
      <c r="E1089" s="67">
        <f t="shared" si="258"/>
        <v>62205008.162722297</v>
      </c>
      <c r="F1089" s="67">
        <f t="shared" si="259"/>
        <v>3277577.9910423011</v>
      </c>
      <c r="G1089" s="70">
        <f t="shared" si="260"/>
        <v>6.1216438804942271E-2</v>
      </c>
      <c r="H1089" s="67">
        <f t="shared" si="262"/>
        <v>5842838.5869721025</v>
      </c>
      <c r="I1089" s="70">
        <f t="shared" si="263"/>
        <v>0.11106924721909506</v>
      </c>
      <c r="J1089" s="67">
        <f t="shared" si="261"/>
        <v>-5386615.7266278937</v>
      </c>
      <c r="K1089" s="70">
        <f t="shared" si="264"/>
        <v>-8.6594566671175599E-2</v>
      </c>
      <c r="L1089" s="70">
        <f t="shared" si="265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5"/>
        <v>1945847.0385647044</v>
      </c>
      <c r="R1089" s="70">
        <f t="shared" si="232"/>
        <v>3.5461213334789174E-2</v>
      </c>
      <c r="S1089" s="67">
        <f t="shared" si="256"/>
        <v>5904929.0560944006</v>
      </c>
      <c r="T1089" s="70">
        <f t="shared" si="233"/>
        <v>0.11597971664237626</v>
      </c>
      <c r="U1089" s="67">
        <f t="shared" si="257"/>
        <v>23572043.136094403</v>
      </c>
      <c r="V1089" s="70">
        <f t="shared" si="234"/>
        <v>0.70901147441455781</v>
      </c>
      <c r="W1089" s="87">
        <f t="shared" si="266"/>
        <v>0.22406480050790026</v>
      </c>
      <c r="X1089" s="142">
        <f t="shared" si="254"/>
        <v>1.7857142857142857E-4</v>
      </c>
      <c r="Y1089" s="139">
        <f t="shared" si="267"/>
        <v>6.103786737637084E-2</v>
      </c>
      <c r="Z1089" s="139">
        <f t="shared" si="268"/>
        <v>0</v>
      </c>
      <c r="AA1089" s="139">
        <f t="shared" si="269"/>
        <v>0</v>
      </c>
      <c r="AB1089" s="144">
        <f t="shared" si="270"/>
        <v>3.3674941956647397</v>
      </c>
      <c r="AC1089" s="144">
        <f t="shared" si="271"/>
        <v>-8.2152359423227614E-2</v>
      </c>
      <c r="AD1089" s="144">
        <f t="shared" si="272"/>
        <v>-5.8266385555767318E-2</v>
      </c>
      <c r="AE1089" s="144">
        <f t="shared" si="273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3"/>
        <v>58637478.353476003</v>
      </c>
      <c r="E1090" s="67">
        <f t="shared" si="258"/>
        <v>62205008.162722297</v>
      </c>
      <c r="F1090" s="67">
        <f t="shared" si="259"/>
        <v>1819085.9173815995</v>
      </c>
      <c r="G1090" s="70">
        <f t="shared" si="260"/>
        <v>3.2015793467363371E-2</v>
      </c>
      <c r="H1090" s="67">
        <f t="shared" si="262"/>
        <v>7661924.5043537021</v>
      </c>
      <c r="I1090" s="70">
        <f t="shared" si="263"/>
        <v>0.14308504068645844</v>
      </c>
      <c r="J1090" s="67">
        <f t="shared" si="261"/>
        <v>-3567529.8092462942</v>
      </c>
      <c r="K1090" s="70">
        <f t="shared" si="264"/>
        <v>-5.7351166965752487E-2</v>
      </c>
      <c r="L1090" s="70">
        <f t="shared" si="265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5"/>
        <v>-2029889.0682372004</v>
      </c>
      <c r="R1090" s="70">
        <f t="shared" si="232"/>
        <v>-3.345932343045252E-2</v>
      </c>
      <c r="S1090" s="67">
        <f t="shared" si="256"/>
        <v>7785176.8434760049</v>
      </c>
      <c r="T1090" s="70">
        <f t="shared" si="233"/>
        <v>0.15309389373350321</v>
      </c>
      <c r="U1090" s="67">
        <f t="shared" si="257"/>
        <v>25816116.733476002</v>
      </c>
      <c r="V1090" s="70">
        <f t="shared" si="234"/>
        <v>0.78656446470352137</v>
      </c>
      <c r="W1090" s="87">
        <f t="shared" si="266"/>
        <v>0.30427614861855679</v>
      </c>
      <c r="X1090" s="142">
        <f t="shared" si="254"/>
        <v>1.7857142857142857E-4</v>
      </c>
      <c r="Y1090" s="139">
        <f t="shared" si="267"/>
        <v>3.183722203879194E-2</v>
      </c>
      <c r="Z1090" s="139">
        <f t="shared" si="268"/>
        <v>0</v>
      </c>
      <c r="AA1090" s="139">
        <f t="shared" si="269"/>
        <v>0</v>
      </c>
      <c r="AB1090" s="144">
        <f t="shared" si="270"/>
        <v>3.8172731082248061</v>
      </c>
      <c r="AC1090" s="144">
        <f t="shared" si="271"/>
        <v>-7.9522451588577042E-2</v>
      </c>
      <c r="AD1090" s="144">
        <f t="shared" si="272"/>
        <v>-5.7939828476748681E-2</v>
      </c>
      <c r="AE1090" s="144">
        <f t="shared" si="273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3"/>
        <v>59971224.9107861</v>
      </c>
      <c r="E1091" s="67">
        <f t="shared" si="258"/>
        <v>62205008.162722297</v>
      </c>
      <c r="F1091" s="67">
        <f t="shared" si="259"/>
        <v>1333746.5573100969</v>
      </c>
      <c r="G1091" s="70">
        <f t="shared" si="260"/>
        <v>2.2745632908530981E-2</v>
      </c>
      <c r="H1091" s="67">
        <f t="shared" si="262"/>
        <v>8995671.061663799</v>
      </c>
      <c r="I1091" s="70">
        <f t="shared" si="263"/>
        <v>0.16583067359498943</v>
      </c>
      <c r="J1091" s="67">
        <f t="shared" si="261"/>
        <v>-2233783.2519361973</v>
      </c>
      <c r="K1091" s="70">
        <f t="shared" si="264"/>
        <v>-3.5910022647900441E-2</v>
      </c>
      <c r="L1091" s="70">
        <f t="shared" si="265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5"/>
        <v>3986974.4610570967</v>
      </c>
      <c r="R1091" s="70">
        <f t="shared" si="232"/>
        <v>7.1216001447356986E-2</v>
      </c>
      <c r="S1091" s="67">
        <f t="shared" si="256"/>
        <v>8750268.2307861</v>
      </c>
      <c r="T1091" s="70">
        <f t="shared" si="233"/>
        <v>0.17083375239265641</v>
      </c>
      <c r="U1091" s="67">
        <f t="shared" si="257"/>
        <v>27024811.400786098</v>
      </c>
      <c r="V1091" s="70">
        <f t="shared" si="234"/>
        <v>0.82026565327310785</v>
      </c>
      <c r="W1091" s="87">
        <f t="shared" si="266"/>
        <v>0.36067107614543714</v>
      </c>
      <c r="X1091" s="142">
        <f t="shared" si="254"/>
        <v>1.7857142857142857E-4</v>
      </c>
      <c r="Y1091" s="139">
        <f t="shared" si="267"/>
        <v>2.2567061479959554E-2</v>
      </c>
      <c r="Z1091" s="139">
        <f t="shared" si="268"/>
        <v>0</v>
      </c>
      <c r="AA1091" s="139">
        <f t="shared" si="269"/>
        <v>0</v>
      </c>
      <c r="AB1091" s="144">
        <f t="shared" si="270"/>
        <v>4.3283717963692654</v>
      </c>
      <c r="AC1091" s="144">
        <f t="shared" si="271"/>
        <v>-7.6495161935793948E-2</v>
      </c>
      <c r="AD1091" s="144">
        <f t="shared" si="272"/>
        <v>-5.7779936859146487E-2</v>
      </c>
      <c r="AE1091" s="144">
        <f t="shared" si="273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3"/>
        <v>59486150.511345498</v>
      </c>
      <c r="E1092" s="67">
        <f t="shared" si="258"/>
        <v>62205008.162722297</v>
      </c>
      <c r="F1092" s="67">
        <f t="shared" si="259"/>
        <v>-485074.39944060147</v>
      </c>
      <c r="G1092" s="70">
        <f t="shared" si="260"/>
        <v>-8.0884524230112661E-3</v>
      </c>
      <c r="H1092" s="67">
        <f t="shared" si="262"/>
        <v>-485074.39944060147</v>
      </c>
      <c r="I1092" s="70">
        <f t="shared" si="263"/>
        <v>-8.0884524230112661E-3</v>
      </c>
      <c r="J1092" s="67">
        <f t="shared" si="261"/>
        <v>-2718857.6513767987</v>
      </c>
      <c r="K1092" s="70">
        <f t="shared" si="264"/>
        <v>-4.3708018561214868E-2</v>
      </c>
      <c r="L1092" s="70">
        <f t="shared" si="265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5"/>
        <v>6701968.3930933997</v>
      </c>
      <c r="R1092" s="70">
        <f t="shared" si="232"/>
        <v>0.12696925715508897</v>
      </c>
      <c r="S1092" s="67">
        <f t="shared" si="256"/>
        <v>6942530.0313455015</v>
      </c>
      <c r="T1092" s="70">
        <f t="shared" si="233"/>
        <v>0.1321288858271211</v>
      </c>
      <c r="U1092" s="67">
        <f t="shared" si="257"/>
        <v>26843632.711345498</v>
      </c>
      <c r="V1092" s="70">
        <f t="shared" si="234"/>
        <v>0.82235178290522359</v>
      </c>
      <c r="W1092" s="87">
        <f t="shared" si="266"/>
        <v>0.33921717864015549</v>
      </c>
      <c r="X1092" s="142">
        <f t="shared" si="254"/>
        <v>1.7857142857142857E-4</v>
      </c>
      <c r="Y1092" s="139">
        <f t="shared" si="267"/>
        <v>-8.2670238515826951E-3</v>
      </c>
      <c r="Z1092" s="139">
        <f t="shared" si="268"/>
        <v>-8.2670238515826951E-3</v>
      </c>
      <c r="AA1092" s="139">
        <f t="shared" si="269"/>
        <v>6.8343683362637181E-5</v>
      </c>
      <c r="AB1092" s="144">
        <f t="shared" si="270"/>
        <v>4.2288779858739636</v>
      </c>
      <c r="AC1092" s="144">
        <f t="shared" si="271"/>
        <v>-7.0782540730774418E-2</v>
      </c>
      <c r="AD1092" s="144">
        <f t="shared" si="272"/>
        <v>-5.7967528704642814E-2</v>
      </c>
      <c r="AE1092" s="144">
        <f t="shared" si="273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3"/>
        <v>59580701.894372702</v>
      </c>
      <c r="E1093" s="67">
        <f t="shared" si="258"/>
        <v>62205008.162722297</v>
      </c>
      <c r="F1093" s="67">
        <f t="shared" si="259"/>
        <v>94551.383027203381</v>
      </c>
      <c r="G1093" s="70">
        <f t="shared" si="260"/>
        <v>1.5894688463522289E-3</v>
      </c>
      <c r="H1093" s="67">
        <f t="shared" si="262"/>
        <v>-390523.01641339809</v>
      </c>
      <c r="I1093" s="70">
        <f t="shared" si="263"/>
        <v>-6.4989835766590372E-3</v>
      </c>
      <c r="J1093" s="67">
        <f t="shared" si="261"/>
        <v>-2624306.2683495954</v>
      </c>
      <c r="K1093" s="70">
        <f t="shared" si="264"/>
        <v>-4.218802224870144E-2</v>
      </c>
      <c r="L1093" s="70">
        <f t="shared" si="265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5"/>
        <v>12209876.6778026</v>
      </c>
      <c r="R1093" s="70">
        <f t="shared" si="232"/>
        <v>0.25775098115731454</v>
      </c>
      <c r="S1093" s="67">
        <f t="shared" si="256"/>
        <v>7284125.514372699</v>
      </c>
      <c r="T1093" s="70">
        <f t="shared" si="233"/>
        <v>0.13928494021184909</v>
      </c>
      <c r="U1093" s="67">
        <f t="shared" si="257"/>
        <v>26899135.414372701</v>
      </c>
      <c r="V1093" s="70">
        <f t="shared" si="234"/>
        <v>0.82306750598488143</v>
      </c>
      <c r="W1093" s="87">
        <f t="shared" si="266"/>
        <v>0.34230394240670003</v>
      </c>
      <c r="X1093" s="142">
        <f t="shared" si="254"/>
        <v>1.7857142857142857E-4</v>
      </c>
      <c r="Y1093" s="139">
        <f t="shared" si="267"/>
        <v>1.4108974177808003E-3</v>
      </c>
      <c r="Z1093" s="139">
        <f t="shared" si="268"/>
        <v>0</v>
      </c>
      <c r="AA1093" s="139">
        <f t="shared" si="269"/>
        <v>0</v>
      </c>
      <c r="AB1093" s="144">
        <f t="shared" si="270"/>
        <v>4.2251416557878931</v>
      </c>
      <c r="AC1093" s="144">
        <f t="shared" si="271"/>
        <v>-6.67142178846033E-2</v>
      </c>
      <c r="AD1093" s="144">
        <f t="shared" si="272"/>
        <v>-5.8092177401258348E-2</v>
      </c>
      <c r="AE1093" s="144">
        <f t="shared" si="273"/>
        <v>-4.6843260436490473E-2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3"/>
        <v>58296770.351896398</v>
      </c>
      <c r="E1094" s="67">
        <f t="shared" si="258"/>
        <v>62205008.162722297</v>
      </c>
      <c r="F1094" s="67">
        <f t="shared" si="259"/>
        <v>-1013931.5424763039</v>
      </c>
      <c r="G1094" s="70">
        <f t="shared" si="260"/>
        <v>-1.7017784454332989E-2</v>
      </c>
      <c r="H1094" s="67">
        <f t="shared" si="262"/>
        <v>-1404454.558889702</v>
      </c>
      <c r="I1094" s="70">
        <f t="shared" si="263"/>
        <v>-2.3516768030992025E-2</v>
      </c>
      <c r="J1094" s="67">
        <f t="shared" si="261"/>
        <v>-3638237.8108258992</v>
      </c>
      <c r="K1094" s="70">
        <f t="shared" si="264"/>
        <v>-5.8487860033851424E-2</v>
      </c>
      <c r="L1094" s="70">
        <f t="shared" si="265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5"/>
        <v>9810321.0835208967</v>
      </c>
      <c r="R1094" s="70">
        <f t="shared" si="232"/>
        <v>0.2012107368508495</v>
      </c>
      <c r="S1094" s="67">
        <f t="shared" si="256"/>
        <v>5041445.9518963993</v>
      </c>
      <c r="T1094" s="70">
        <f t="shared" si="233"/>
        <v>9.4188050393140627E-2</v>
      </c>
      <c r="U1094" s="67">
        <f t="shared" si="257"/>
        <v>26047296.621896397</v>
      </c>
      <c r="V1094" s="70">
        <f t="shared" si="234"/>
        <v>0.80097534290252481</v>
      </c>
      <c r="W1094" s="87">
        <f t="shared" si="266"/>
        <v>0.29845299908113815</v>
      </c>
      <c r="X1094" s="142">
        <f t="shared" si="254"/>
        <v>1.7857142857142857E-4</v>
      </c>
      <c r="Y1094" s="139">
        <f t="shared" si="267"/>
        <v>-1.7196355882904416E-2</v>
      </c>
      <c r="Z1094" s="139">
        <f t="shared" si="268"/>
        <v>-1.7196355882904416E-2</v>
      </c>
      <c r="AA1094" s="139">
        <f t="shared" si="269"/>
        <v>2.9571465565150133E-4</v>
      </c>
      <c r="AB1094" s="144">
        <f t="shared" si="270"/>
        <v>4.2909859414325009</v>
      </c>
      <c r="AC1094" s="144">
        <f t="shared" si="271"/>
        <v>-5.679215348559126E-2</v>
      </c>
      <c r="AD1094" s="144">
        <f t="shared" si="272"/>
        <v>-5.8303902553533841E-2</v>
      </c>
      <c r="AE1094" s="144">
        <f t="shared" si="273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3"/>
        <v>62621199.177230798</v>
      </c>
      <c r="E1095" s="67">
        <f t="shared" si="258"/>
        <v>62205008.162722297</v>
      </c>
      <c r="F1095" s="67">
        <f t="shared" si="259"/>
        <v>4324428.8253343999</v>
      </c>
      <c r="G1095" s="70">
        <f t="shared" si="260"/>
        <v>7.417956087843082E-2</v>
      </c>
      <c r="H1095" s="67">
        <f t="shared" si="262"/>
        <v>2919974.266444698</v>
      </c>
      <c r="I1095" s="70">
        <f t="shared" si="263"/>
        <v>5.0662792847438798E-2</v>
      </c>
      <c r="J1095" s="67">
        <f t="shared" si="261"/>
        <v>686191.0145085007</v>
      </c>
      <c r="K1095" s="70">
        <f t="shared" si="264"/>
        <v>1.1353097070549101E-2</v>
      </c>
      <c r="L1095" s="70">
        <f t="shared" si="265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5"/>
        <v>15308873.668932095</v>
      </c>
      <c r="R1095" s="70">
        <f t="shared" si="232"/>
        <v>0.32357051792448627</v>
      </c>
      <c r="S1095" s="67">
        <f t="shared" si="256"/>
        <v>6345751.2272307947</v>
      </c>
      <c r="T1095" s="70">
        <f t="shared" si="233"/>
        <v>0.11276234056579898</v>
      </c>
      <c r="U1095" s="67">
        <f t="shared" si="257"/>
        <v>29814848.887230799</v>
      </c>
      <c r="V1095" s="70">
        <f t="shared" si="234"/>
        <v>0.90881334326052521</v>
      </c>
      <c r="W1095" s="87">
        <f t="shared" si="266"/>
        <v>0.47726683976550432</v>
      </c>
      <c r="X1095" s="142">
        <f t="shared" si="254"/>
        <v>1.7857142857142857E-4</v>
      </c>
      <c r="Y1095" s="139">
        <f t="shared" si="267"/>
        <v>7.4000989449859389E-2</v>
      </c>
      <c r="Z1095" s="139">
        <f t="shared" si="268"/>
        <v>0</v>
      </c>
      <c r="AA1095" s="139">
        <f t="shared" si="269"/>
        <v>0</v>
      </c>
      <c r="AB1095" s="144">
        <f t="shared" si="270"/>
        <v>4.8036543029604974</v>
      </c>
      <c r="AC1095" s="144">
        <f t="shared" si="271"/>
        <v>-5.7999820207665705E-2</v>
      </c>
      <c r="AD1095" s="144">
        <f t="shared" si="272"/>
        <v>-5.8911730694688746E-2</v>
      </c>
      <c r="AE1095" s="144">
        <f t="shared" si="273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3"/>
        <v>62115518.523997501</v>
      </c>
      <c r="E1096" s="67">
        <f t="shared" si="258"/>
        <v>62205008.162722297</v>
      </c>
      <c r="F1096" s="67">
        <f t="shared" si="259"/>
        <v>-505680.65323329717</v>
      </c>
      <c r="G1096" s="70">
        <f t="shared" si="260"/>
        <v>-8.0752310699467363E-3</v>
      </c>
      <c r="H1096" s="67">
        <f t="shared" si="262"/>
        <v>2414293.6132114008</v>
      </c>
      <c r="I1096" s="70">
        <f t="shared" si="263"/>
        <v>4.258756177749206E-2</v>
      </c>
      <c r="J1096" s="67">
        <f t="shared" si="261"/>
        <v>180510.36127520353</v>
      </c>
      <c r="K1096" s="70">
        <f t="shared" si="264"/>
        <v>3.1861871183980206E-3</v>
      </c>
      <c r="L1096" s="70">
        <f t="shared" si="265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5"/>
        <v>10353126.530573301</v>
      </c>
      <c r="R1096" s="70">
        <f t="shared" si="232"/>
        <v>0.20001252128936667</v>
      </c>
      <c r="S1096" s="67">
        <f t="shared" si="256"/>
        <v>6473217.8239974976</v>
      </c>
      <c r="T1096" s="70">
        <f t="shared" si="233"/>
        <v>0.11633627191115585</v>
      </c>
      <c r="U1096" s="67">
        <f t="shared" si="257"/>
        <v>29538500.873997502</v>
      </c>
      <c r="V1096" s="70">
        <f t="shared" si="234"/>
        <v>0.90672820917348473</v>
      </c>
      <c r="W1096" s="87">
        <f t="shared" si="266"/>
        <v>0.45601812298279076</v>
      </c>
      <c r="X1096" s="142">
        <f t="shared" si="254"/>
        <v>1.7857142857142857E-4</v>
      </c>
      <c r="Y1096" s="139">
        <f t="shared" si="267"/>
        <v>-8.2538024985181653E-3</v>
      </c>
      <c r="Z1096" s="139">
        <f t="shared" si="268"/>
        <v>-8.2538024985181653E-3</v>
      </c>
      <c r="AA1096" s="139">
        <f t="shared" si="269"/>
        <v>6.8125255684544706E-5</v>
      </c>
      <c r="AB1096" s="144">
        <f t="shared" si="270"/>
        <v>4.6764978479011159</v>
      </c>
      <c r="AC1096" s="144">
        <f t="shared" si="271"/>
        <v>-5.6534243619731105E-2</v>
      </c>
      <c r="AD1096" s="144">
        <f t="shared" si="272"/>
        <v>-5.8991251365173317E-2</v>
      </c>
      <c r="AE1096" s="144">
        <f t="shared" si="273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3"/>
        <v>62521188.067773402</v>
      </c>
      <c r="E1097" s="67">
        <f t="shared" si="258"/>
        <v>62205008.162722297</v>
      </c>
      <c r="F1097" s="67">
        <f t="shared" si="259"/>
        <v>405669.5437759012</v>
      </c>
      <c r="G1097" s="70">
        <f t="shared" si="260"/>
        <v>6.5308887926159099E-3</v>
      </c>
      <c r="H1097" s="67">
        <f t="shared" si="262"/>
        <v>405669.5437759012</v>
      </c>
      <c r="I1097" s="70">
        <f t="shared" si="263"/>
        <v>6.5308887926159099E-3</v>
      </c>
      <c r="J1097" s="67">
        <f t="shared" si="261"/>
        <v>586179.90505110472</v>
      </c>
      <c r="K1097" s="70">
        <f t="shared" si="264"/>
        <v>9.7378845447566587E-3</v>
      </c>
      <c r="L1097" s="70">
        <f t="shared" si="265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5"/>
        <v>9999938.0480187014</v>
      </c>
      <c r="R1097" s="70">
        <f t="shared" si="232"/>
        <v>0.19039794453211695</v>
      </c>
      <c r="S1097" s="67">
        <f t="shared" si="256"/>
        <v>6647816.0077733994</v>
      </c>
      <c r="T1097" s="70">
        <f t="shared" si="233"/>
        <v>0.11898003937608413</v>
      </c>
      <c r="U1097" s="67">
        <f t="shared" si="257"/>
        <v>30338177.107773401</v>
      </c>
      <c r="V1097" s="70">
        <f t="shared" si="234"/>
        <v>0.94267677892166368</v>
      </c>
      <c r="W1097" s="87">
        <f t="shared" si="266"/>
        <v>0.47083163329893468</v>
      </c>
      <c r="X1097" s="142">
        <f t="shared" si="254"/>
        <v>1.7857142857142857E-4</v>
      </c>
      <c r="Y1097" s="139">
        <f t="shared" si="267"/>
        <v>6.3523173640444809E-3</v>
      </c>
      <c r="Z1097" s="139">
        <f t="shared" si="268"/>
        <v>0</v>
      </c>
      <c r="AA1097" s="139">
        <f t="shared" si="269"/>
        <v>0</v>
      </c>
      <c r="AB1097" s="144">
        <f t="shared" si="270"/>
        <v>4.7514183033382134</v>
      </c>
      <c r="AC1097" s="144">
        <f t="shared" si="271"/>
        <v>-5.4191153425565228E-2</v>
      </c>
      <c r="AD1097" s="144">
        <f t="shared" si="272"/>
        <v>-5.8761260014071795E-2</v>
      </c>
      <c r="AE1097" s="144">
        <f t="shared" si="273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3"/>
        <v>65022483.825473301</v>
      </c>
      <c r="E1098" s="67">
        <f t="shared" si="258"/>
        <v>62205008.162722297</v>
      </c>
      <c r="F1098" s="67">
        <f t="shared" si="259"/>
        <v>2501295.7576998994</v>
      </c>
      <c r="G1098" s="70">
        <f t="shared" si="260"/>
        <v>4.0007169329355635E-2</v>
      </c>
      <c r="H1098" s="67">
        <f t="shared" si="262"/>
        <v>2906965.3014758006</v>
      </c>
      <c r="I1098" s="70">
        <f t="shared" si="263"/>
        <v>4.6538058121971544E-2</v>
      </c>
      <c r="J1098" s="67">
        <f t="shared" si="261"/>
        <v>3087475.6627510041</v>
      </c>
      <c r="K1098" s="70">
        <f t="shared" si="264"/>
        <v>5.0134639070003928E-2</v>
      </c>
      <c r="L1098" s="70">
        <f t="shared" si="265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5"/>
        <v>11622264.0555683</v>
      </c>
      <c r="R1098" s="70">
        <f t="shared" si="232"/>
        <v>0.21764449857411095</v>
      </c>
      <c r="S1098" s="67">
        <f t="shared" si="256"/>
        <v>8236395.1354733035</v>
      </c>
      <c r="T1098" s="70">
        <f t="shared" si="233"/>
        <v>0.14504248004183687</v>
      </c>
      <c r="U1098" s="67">
        <f t="shared" si="257"/>
        <v>31724092.6354733</v>
      </c>
      <c r="V1098" s="70">
        <f t="shared" si="234"/>
        <v>0.95272148298265269</v>
      </c>
      <c r="W1098" s="87">
        <f t="shared" si="266"/>
        <v>0.56569570833373239</v>
      </c>
      <c r="X1098" s="142">
        <f t="shared" si="254"/>
        <v>1.7857142857142857E-4</v>
      </c>
      <c r="Y1098" s="139">
        <f t="shared" si="267"/>
        <v>3.9828597900784204E-2</v>
      </c>
      <c r="Z1098" s="139">
        <f t="shared" si="268"/>
        <v>0</v>
      </c>
      <c r="AA1098" s="139">
        <f t="shared" si="269"/>
        <v>0</v>
      </c>
      <c r="AB1098" s="144">
        <f t="shared" si="270"/>
        <v>5.0280125416574926</v>
      </c>
      <c r="AC1098" s="144">
        <f t="shared" si="271"/>
        <v>-5.4128233671137303E-2</v>
      </c>
      <c r="AD1098" s="144">
        <f t="shared" si="272"/>
        <v>-5.872047140774958E-2</v>
      </c>
      <c r="AE1098" s="144">
        <f t="shared" si="273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3"/>
        <v>65068145.0645753</v>
      </c>
      <c r="E1099" s="67">
        <f t="shared" si="258"/>
        <v>62205008.162722297</v>
      </c>
      <c r="F1099" s="67">
        <f t="shared" si="259"/>
        <v>45661.239101998508</v>
      </c>
      <c r="G1099" s="70">
        <f t="shared" si="260"/>
        <v>7.0223769403453945E-4</v>
      </c>
      <c r="H1099" s="67">
        <f t="shared" si="262"/>
        <v>2952626.5405777991</v>
      </c>
      <c r="I1099" s="70">
        <f t="shared" si="263"/>
        <v>4.7240295816006084E-2</v>
      </c>
      <c r="J1099" s="67">
        <f t="shared" si="261"/>
        <v>3133136.9018530026</v>
      </c>
      <c r="K1099" s="70">
        <f t="shared" si="264"/>
        <v>5.0872083197370133E-2</v>
      </c>
      <c r="L1099" s="70">
        <f t="shared" si="265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5"/>
        <v>8523490.3493228033</v>
      </c>
      <c r="R1099" s="70">
        <f t="shared" si="232"/>
        <v>0.15073909978308977</v>
      </c>
      <c r="S1099" s="67">
        <f t="shared" si="256"/>
        <v>8282056.374575302</v>
      </c>
      <c r="T1099" s="70">
        <f t="shared" si="233"/>
        <v>0.14584657203259305</v>
      </c>
      <c r="U1099" s="67">
        <f t="shared" si="257"/>
        <v>30924377.804575302</v>
      </c>
      <c r="V1099" s="70">
        <f t="shared" si="234"/>
        <v>0.90571077201559225</v>
      </c>
      <c r="W1099" s="87">
        <f t="shared" si="266"/>
        <v>0.56593090924368694</v>
      </c>
      <c r="X1099" s="142">
        <f t="shared" si="254"/>
        <v>1.7857142857142857E-4</v>
      </c>
      <c r="Y1099" s="139">
        <f t="shared" si="267"/>
        <v>5.2366626546311091E-4</v>
      </c>
      <c r="Z1099" s="139">
        <f t="shared" si="268"/>
        <v>0</v>
      </c>
      <c r="AA1099" s="139">
        <f t="shared" si="269"/>
        <v>0</v>
      </c>
      <c r="AB1099" s="144">
        <f t="shared" si="270"/>
        <v>5.346823166001224</v>
      </c>
      <c r="AC1099" s="144">
        <f t="shared" si="271"/>
        <v>-5.45965338359456E-2</v>
      </c>
      <c r="AD1099" s="144">
        <f t="shared" si="272"/>
        <v>-5.8842730232043679E-2</v>
      </c>
      <c r="AE1099" s="144">
        <f t="shared" si="273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3"/>
        <v>66938914.518993497</v>
      </c>
      <c r="E1100" s="67">
        <f t="shared" si="258"/>
        <v>62205008.162722297</v>
      </c>
      <c r="F1100" s="67">
        <f t="shared" si="259"/>
        <v>1870769.4544181973</v>
      </c>
      <c r="G1100" s="70">
        <f t="shared" si="260"/>
        <v>2.8750926471956401E-2</v>
      </c>
      <c r="H1100" s="67">
        <f t="shared" si="262"/>
        <v>4823395.9949959964</v>
      </c>
      <c r="I1100" s="70">
        <f t="shared" si="263"/>
        <v>7.5991222287962484E-2</v>
      </c>
      <c r="J1100" s="67">
        <f t="shared" si="261"/>
        <v>5003906.3562711999</v>
      </c>
      <c r="K1100" s="70">
        <f t="shared" si="264"/>
        <v>8.1085629192809261E-2</v>
      </c>
      <c r="L1100" s="70">
        <f t="shared" si="265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5"/>
        <v>10246876.252228394</v>
      </c>
      <c r="R1100" s="70">
        <f t="shared" si="232"/>
        <v>0.18074630169428005</v>
      </c>
      <c r="S1100" s="67">
        <f t="shared" si="256"/>
        <v>11631696.3989935</v>
      </c>
      <c r="T1100" s="70">
        <f t="shared" si="233"/>
        <v>0.21031063926875193</v>
      </c>
      <c r="U1100" s="67">
        <f t="shared" si="257"/>
        <v>33807591.038993493</v>
      </c>
      <c r="V1100" s="70">
        <f t="shared" si="234"/>
        <v>1.0204117278744307</v>
      </c>
      <c r="W1100" s="87">
        <f t="shared" si="266"/>
        <v>0.63323567971635719</v>
      </c>
      <c r="X1100" s="142">
        <f t="shared" si="254"/>
        <v>1.7857142857142857E-4</v>
      </c>
      <c r="Y1100" s="139">
        <f t="shared" si="267"/>
        <v>2.8572355043384973E-2</v>
      </c>
      <c r="Z1100" s="139">
        <f t="shared" si="268"/>
        <v>0</v>
      </c>
      <c r="AA1100" s="139">
        <f t="shared" si="269"/>
        <v>0</v>
      </c>
      <c r="AB1100" s="144">
        <f t="shared" si="270"/>
        <v>5.3699481860987026</v>
      </c>
      <c r="AC1100" s="144">
        <f t="shared" si="271"/>
        <v>-5.3926872262150913E-2</v>
      </c>
      <c r="AD1100" s="144">
        <f t="shared" si="272"/>
        <v>-5.8698734988345616E-2</v>
      </c>
      <c r="AE1100" s="144">
        <f t="shared" si="273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3"/>
        <v>65600574.063981697</v>
      </c>
      <c r="E1101" s="67">
        <f t="shared" si="258"/>
        <v>62205008.162722297</v>
      </c>
      <c r="F1101" s="67">
        <f t="shared" si="259"/>
        <v>-1338340.4550117999</v>
      </c>
      <c r="G1101" s="70">
        <f t="shared" si="260"/>
        <v>-1.9993459180340522E-2</v>
      </c>
      <c r="H1101" s="67">
        <f t="shared" si="262"/>
        <v>3485055.5399841964</v>
      </c>
      <c r="I1101" s="70">
        <f t="shared" si="263"/>
        <v>5.5997763107621959E-2</v>
      </c>
      <c r="J1101" s="67">
        <f t="shared" si="261"/>
        <v>3665565.9012594</v>
      </c>
      <c r="K1101" s="70">
        <f t="shared" si="264"/>
        <v>5.947098779509008E-2</v>
      </c>
      <c r="L1101" s="70">
        <f t="shared" si="265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5"/>
        <v>5795055.6141681969</v>
      </c>
      <c r="R1101" s="70">
        <f t="shared" ref="R1101:R1154" si="274">Q1101/B1070</f>
        <v>9.6898342567353302E-2</v>
      </c>
      <c r="S1101" s="67">
        <f t="shared" si="256"/>
        <v>10897999.383981697</v>
      </c>
      <c r="T1101" s="70">
        <f t="shared" ref="T1101:T1154" si="275">S1101/B1010</f>
        <v>0.19922278700286028</v>
      </c>
      <c r="U1101" s="67">
        <f t="shared" si="257"/>
        <v>32011918.883981697</v>
      </c>
      <c r="V1101" s="70">
        <f t="shared" ref="V1101:V1154" si="276">U1101/B735</f>
        <v>0.95305747468695468</v>
      </c>
      <c r="W1101" s="87">
        <f t="shared" si="266"/>
        <v>0.58263949794423953</v>
      </c>
      <c r="X1101" s="142">
        <f t="shared" si="254"/>
        <v>1.7857142857142857E-4</v>
      </c>
      <c r="Y1101" s="139">
        <f t="shared" si="267"/>
        <v>-2.0172030608911949E-2</v>
      </c>
      <c r="Z1101" s="139">
        <f t="shared" si="268"/>
        <v>-2.0172030608911949E-2</v>
      </c>
      <c r="AA1101" s="139">
        <f t="shared" si="269"/>
        <v>4.0691081888688058E-4</v>
      </c>
      <c r="AB1101" s="144">
        <f t="shared" si="270"/>
        <v>5.2787057323811561</v>
      </c>
      <c r="AC1101" s="144">
        <f t="shared" si="271"/>
        <v>-5.5105372576266798E-2</v>
      </c>
      <c r="AD1101" s="144">
        <f t="shared" si="272"/>
        <v>-5.8889690570283842E-2</v>
      </c>
      <c r="AE1101" s="144">
        <f t="shared" si="273"/>
        <v>-4.701806394464312E-2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3"/>
        <v>65466153.520501398</v>
      </c>
      <c r="E1102" s="80">
        <f t="shared" si="258"/>
        <v>62205008.162722297</v>
      </c>
      <c r="F1102" s="80">
        <f t="shared" si="259"/>
        <v>-134420.54348029941</v>
      </c>
      <c r="G1102" s="81">
        <f t="shared" si="260"/>
        <v>-2.0490757192032508E-3</v>
      </c>
      <c r="H1102" s="80">
        <f t="shared" si="262"/>
        <v>-134420.54348029941</v>
      </c>
      <c r="I1102" s="81">
        <f t="shared" si="263"/>
        <v>-2.0490757192032508E-3</v>
      </c>
      <c r="J1102" s="80">
        <f t="shared" si="261"/>
        <v>3531145.3577791005</v>
      </c>
      <c r="K1102" s="81">
        <f t="shared" si="264"/>
        <v>5.7300051518798911E-2</v>
      </c>
      <c r="L1102" s="81">
        <f t="shared" si="265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5"/>
        <v>4329642.8973884955</v>
      </c>
      <c r="R1102" s="81">
        <f t="shared" si="274"/>
        <v>7.0819267459985791E-2</v>
      </c>
      <c r="S1102" s="80">
        <f t="shared" si="256"/>
        <v>9379498.7305013984</v>
      </c>
      <c r="T1102" s="81">
        <f t="shared" si="275"/>
        <v>0.16723227237602556</v>
      </c>
      <c r="U1102" s="80">
        <f t="shared" si="257"/>
        <v>32173473.740501396</v>
      </c>
      <c r="V1102" s="81">
        <f t="shared" si="276"/>
        <v>0.96638281907931756</v>
      </c>
      <c r="W1102" s="136">
        <f t="shared" si="266"/>
        <v>0.57619045322594442</v>
      </c>
      <c r="X1102" s="143">
        <f t="shared" si="254"/>
        <v>1.7857142857142857E-4</v>
      </c>
      <c r="Y1102" s="140">
        <f t="shared" si="267"/>
        <v>-2.2276471477746793E-3</v>
      </c>
      <c r="Z1102" s="140">
        <f t="shared" si="268"/>
        <v>-2.2276471477746793E-3</v>
      </c>
      <c r="AA1102" s="140">
        <f t="shared" si="269"/>
        <v>4.9624118149886645E-6</v>
      </c>
      <c r="AB1102" s="145">
        <f t="shared" si="270"/>
        <v>4.9776022157848185</v>
      </c>
      <c r="AC1102" s="145">
        <f t="shared" si="271"/>
        <v>-5.505378866745711E-2</v>
      </c>
      <c r="AD1102" s="145">
        <f t="shared" si="272"/>
        <v>-5.8754676044897869E-2</v>
      </c>
      <c r="AE1102" s="145">
        <f t="shared" si="273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3"/>
        <v>63233929.359802604</v>
      </c>
      <c r="E1103" s="67">
        <f t="shared" si="258"/>
        <v>65466153.520501398</v>
      </c>
      <c r="F1103" s="67">
        <f t="shared" si="259"/>
        <v>-2232224.1606987938</v>
      </c>
      <c r="G1103" s="70">
        <f t="shared" si="260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61"/>
        <v>-2232224.1606987938</v>
      </c>
      <c r="K1103" s="85">
        <f>G1103</f>
        <v>-3.4097377662485544E-2</v>
      </c>
      <c r="L1103" s="70">
        <f t="shared" si="265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5"/>
        <v>35261.511813104153</v>
      </c>
      <c r="R1103" s="70">
        <f t="shared" si="274"/>
        <v>5.5794707410475753E-4</v>
      </c>
      <c r="S1103" s="67">
        <f t="shared" si="256"/>
        <v>7147274.5698026046</v>
      </c>
      <c r="T1103" s="70">
        <f t="shared" si="275"/>
        <v>0.12743271276497903</v>
      </c>
      <c r="U1103" s="67">
        <f t="shared" si="257"/>
        <v>30006586.579802603</v>
      </c>
      <c r="V1103" s="70">
        <f t="shared" si="276"/>
        <v>0.90306910120613026</v>
      </c>
      <c r="W1103" s="87">
        <f t="shared" si="266"/>
        <v>0.49137017768067309</v>
      </c>
      <c r="X1103" s="142">
        <f t="shared" si="254"/>
        <v>1.7857142857142857E-4</v>
      </c>
      <c r="Y1103" s="139">
        <f t="shared" si="267"/>
        <v>-3.4275949091056974E-2</v>
      </c>
      <c r="Z1103" s="139">
        <f t="shared" si="268"/>
        <v>-3.4275949091056974E-2</v>
      </c>
      <c r="AA1103" s="139">
        <f t="shared" si="269"/>
        <v>1.1748406860927294E-3</v>
      </c>
      <c r="AB1103" s="144">
        <f t="shared" si="270"/>
        <v>4.6295307561400385</v>
      </c>
      <c r="AC1103" s="144">
        <f t="shared" si="271"/>
        <v>-5.7534771375697506E-2</v>
      </c>
      <c r="AD1103" s="144">
        <f t="shared" si="272"/>
        <v>-5.9588964121511129E-2</v>
      </c>
      <c r="AE1103" s="144">
        <f t="shared" si="273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3"/>
        <v>64994249.600867599</v>
      </c>
      <c r="E1104" s="67">
        <f t="shared" si="258"/>
        <v>65466153.520501398</v>
      </c>
      <c r="F1104" s="67">
        <f t="shared" si="259"/>
        <v>1760320.2410649955</v>
      </c>
      <c r="G1104" s="70">
        <f t="shared" si="260"/>
        <v>2.7838223227418468E-2</v>
      </c>
      <c r="H1104" s="67">
        <f t="shared" ref="H1104:H1121" si="277">IF(WEEKNUM(A1104)=WEEKNUM(A1103),H1103+F1104,F1104)</f>
        <v>-471903.9196337983</v>
      </c>
      <c r="I1104" s="70">
        <f t="shared" ref="I1104:I1121" si="278">IF(WEEKNUM(A1104)=WEEKNUM(A1103),I1103+G1104,G1104)</f>
        <v>-6.2591544350670755E-3</v>
      </c>
      <c r="J1104" s="67">
        <f t="shared" si="261"/>
        <v>-471903.9196337983</v>
      </c>
      <c r="K1104" s="70">
        <f t="shared" ref="K1104:K1125" si="279">(1+K1103)*(1+G1104)-1</f>
        <v>-7.2083648459050353E-3</v>
      </c>
      <c r="L1104" s="70">
        <f t="shared" si="265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5"/>
        <v>3216444.7652022019</v>
      </c>
      <c r="R1104" s="70">
        <f t="shared" si="274"/>
        <v>5.2064730589865382E-2</v>
      </c>
      <c r="S1104" s="67">
        <f t="shared" si="256"/>
        <v>7415708.6808675975</v>
      </c>
      <c r="T1104" s="70">
        <f t="shared" si="275"/>
        <v>0.12879292462744116</v>
      </c>
      <c r="U1104" s="67">
        <f t="shared" si="257"/>
        <v>31238350.260867596</v>
      </c>
      <c r="V1104" s="70">
        <f t="shared" si="276"/>
        <v>0.92541898961793723</v>
      </c>
      <c r="W1104" s="87">
        <f t="shared" si="266"/>
        <v>0.55580975365502283</v>
      </c>
      <c r="X1104" s="142">
        <f t="shared" si="254"/>
        <v>1.7857142857142857E-4</v>
      </c>
      <c r="Y1104" s="139">
        <f t="shared" si="267"/>
        <v>2.7659651798847041E-2</v>
      </c>
      <c r="Z1104" s="139">
        <f t="shared" si="268"/>
        <v>0</v>
      </c>
      <c r="AA1104" s="139">
        <f t="shared" si="269"/>
        <v>0</v>
      </c>
      <c r="AB1104" s="144">
        <f t="shared" si="270"/>
        <v>4.7762178791516501</v>
      </c>
      <c r="AC1104" s="144">
        <f t="shared" si="271"/>
        <v>-5.746684531487932E-2</v>
      </c>
      <c r="AD1104" s="144">
        <f t="shared" si="272"/>
        <v>-5.9447034080586936E-2</v>
      </c>
      <c r="AE1104" s="144">
        <f t="shared" si="273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3"/>
        <v>65768492.211809203</v>
      </c>
      <c r="E1105" s="67">
        <f t="shared" si="258"/>
        <v>65466153.520501398</v>
      </c>
      <c r="F1105" s="67">
        <f t="shared" si="259"/>
        <v>774242.61094160378</v>
      </c>
      <c r="G1105" s="70">
        <f t="shared" si="260"/>
        <v>1.1912478653054077E-2</v>
      </c>
      <c r="H1105" s="67">
        <f t="shared" si="277"/>
        <v>302338.69130780548</v>
      </c>
      <c r="I1105" s="70">
        <f t="shared" si="278"/>
        <v>5.6533242179870012E-3</v>
      </c>
      <c r="J1105" s="67">
        <f t="shared" si="261"/>
        <v>302338.69130780548</v>
      </c>
      <c r="K1105" s="70">
        <f t="shared" si="279"/>
        <v>4.6182443147986252E-3</v>
      </c>
      <c r="L1105" s="70">
        <f t="shared" si="265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5"/>
        <v>3110047.8569406047</v>
      </c>
      <c r="R1105" s="70">
        <f t="shared" si="274"/>
        <v>4.9634935705181647E-2</v>
      </c>
      <c r="S1105" s="67">
        <f t="shared" si="256"/>
        <v>9758072.9218092039</v>
      </c>
      <c r="T1105" s="70">
        <f t="shared" si="275"/>
        <v>0.17421888722678056</v>
      </c>
      <c r="U1105" s="67">
        <f t="shared" si="257"/>
        <v>32384237.011809204</v>
      </c>
      <c r="V1105" s="70">
        <f t="shared" si="276"/>
        <v>0.97004521496136908</v>
      </c>
      <c r="W1105" s="87">
        <f t="shared" si="266"/>
        <v>0.58262711608855688</v>
      </c>
      <c r="X1105" s="142">
        <f t="shared" si="254"/>
        <v>1.7857142857142857E-4</v>
      </c>
      <c r="Y1105" s="139">
        <f t="shared" si="267"/>
        <v>1.1733907224482648E-2</v>
      </c>
      <c r="Z1105" s="139">
        <f t="shared" si="268"/>
        <v>0</v>
      </c>
      <c r="AA1105" s="139">
        <f t="shared" si="269"/>
        <v>0</v>
      </c>
      <c r="AB1105" s="144">
        <f t="shared" si="270"/>
        <v>4.7845070956235585</v>
      </c>
      <c r="AC1105" s="144">
        <f t="shared" si="271"/>
        <v>-5.6011213856053989E-2</v>
      </c>
      <c r="AD1105" s="144">
        <f t="shared" si="272"/>
        <v>-5.9484566403070538E-2</v>
      </c>
      <c r="AE1105" s="144">
        <f t="shared" si="273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3"/>
        <v>68053355.274336606</v>
      </c>
      <c r="E1106" s="67">
        <f t="shared" si="258"/>
        <v>65466153.520501398</v>
      </c>
      <c r="F1106" s="67">
        <f t="shared" si="259"/>
        <v>2284863.0625274032</v>
      </c>
      <c r="G1106" s="70">
        <f t="shared" si="260"/>
        <v>3.4740998093265391E-2</v>
      </c>
      <c r="H1106" s="67">
        <f t="shared" si="277"/>
        <v>2587201.7538352087</v>
      </c>
      <c r="I1106" s="70">
        <f t="shared" si="278"/>
        <v>4.0394322311252395E-2</v>
      </c>
      <c r="J1106" s="67">
        <f t="shared" si="261"/>
        <v>2587201.7538352087</v>
      </c>
      <c r="K1106" s="70">
        <f t="shared" si="279"/>
        <v>3.9519684824998569E-2</v>
      </c>
      <c r="L1106" s="70">
        <f t="shared" si="265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5"/>
        <v>7791106.6034252048</v>
      </c>
      <c r="R1106" s="70">
        <f t="shared" si="274"/>
        <v>0.12928668901772949</v>
      </c>
      <c r="S1106" s="67">
        <f t="shared" si="256"/>
        <v>13306728.244336605</v>
      </c>
      <c r="T1106" s="70">
        <f t="shared" si="275"/>
        <v>0.24306023889005615</v>
      </c>
      <c r="U1106" s="67">
        <f t="shared" si="257"/>
        <v>34827267.274336606</v>
      </c>
      <c r="V1106" s="70">
        <f t="shared" si="276"/>
        <v>1.0481904241732161</v>
      </c>
      <c r="W1106" s="87">
        <f t="shared" si="266"/>
        <v>0.66202840961782605</v>
      </c>
      <c r="X1106" s="142">
        <f t="shared" si="254"/>
        <v>1.7857142857142857E-4</v>
      </c>
      <c r="Y1106" s="139">
        <f t="shared" si="267"/>
        <v>3.456242666469396E-2</v>
      </c>
      <c r="Z1106" s="139">
        <f t="shared" si="268"/>
        <v>0</v>
      </c>
      <c r="AA1106" s="139">
        <f t="shared" si="269"/>
        <v>0</v>
      </c>
      <c r="AB1106" s="144">
        <f t="shared" si="270"/>
        <v>5.1004633118759788</v>
      </c>
      <c r="AC1106" s="144">
        <f t="shared" si="271"/>
        <v>-5.6020349623658101E-2</v>
      </c>
      <c r="AD1106" s="144">
        <f t="shared" si="272"/>
        <v>-5.8854180697872495E-2</v>
      </c>
      <c r="AE1106" s="144">
        <f t="shared" si="273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3"/>
        <v>67645256.446463093</v>
      </c>
      <c r="E1107" s="67">
        <f t="shared" si="258"/>
        <v>65466153.520501398</v>
      </c>
      <c r="F1107" s="67">
        <f t="shared" si="259"/>
        <v>-408098.8278735131</v>
      </c>
      <c r="G1107" s="70">
        <f t="shared" si="260"/>
        <v>-5.996748084328621E-3</v>
      </c>
      <c r="H1107" s="67">
        <f t="shared" si="277"/>
        <v>-408098.8278735131</v>
      </c>
      <c r="I1107" s="70">
        <f t="shared" si="278"/>
        <v>-5.996748084328621E-3</v>
      </c>
      <c r="J1107" s="67">
        <f t="shared" si="261"/>
        <v>2179102.9259616956</v>
      </c>
      <c r="K1107" s="70">
        <f t="shared" si="279"/>
        <v>3.3285947146402428E-2</v>
      </c>
      <c r="L1107" s="70">
        <f t="shared" si="265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5"/>
        <v>4139891.1578140929</v>
      </c>
      <c r="R1107" s="70">
        <f t="shared" si="274"/>
        <v>6.5189628293564991E-2</v>
      </c>
      <c r="S1107" s="67">
        <f t="shared" si="256"/>
        <v>12341587.866463095</v>
      </c>
      <c r="T1107" s="70">
        <f t="shared" si="275"/>
        <v>0.22316038308761135</v>
      </c>
      <c r="U1107" s="67">
        <f t="shared" si="257"/>
        <v>33531733.916463092</v>
      </c>
      <c r="V1107" s="70">
        <f t="shared" si="276"/>
        <v>0.98294551338035308</v>
      </c>
      <c r="W1107" s="87">
        <f t="shared" si="266"/>
        <v>0.64612149998664292</v>
      </c>
      <c r="X1107" s="142">
        <f t="shared" si="254"/>
        <v>1.7857142857142857E-4</v>
      </c>
      <c r="Y1107" s="139">
        <f t="shared" si="267"/>
        <v>-6.17531951290005E-3</v>
      </c>
      <c r="Z1107" s="139">
        <f t="shared" si="268"/>
        <v>-6.17531951290005E-3</v>
      </c>
      <c r="AA1107" s="139">
        <f t="shared" si="269"/>
        <v>3.813457108640411E-5</v>
      </c>
      <c r="AB1107" s="144">
        <f t="shared" si="270"/>
        <v>5.2116288106140276</v>
      </c>
      <c r="AC1107" s="144">
        <f t="shared" si="271"/>
        <v>-5.3767987638832365E-2</v>
      </c>
      <c r="AD1107" s="144">
        <f t="shared" si="272"/>
        <v>-5.8537670481695656E-2</v>
      </c>
      <c r="AE1107" s="144">
        <f t="shared" si="273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3"/>
        <v>68642659.184191197</v>
      </c>
      <c r="E1108" s="67">
        <f t="shared" si="258"/>
        <v>65466153.520501398</v>
      </c>
      <c r="F1108" s="67">
        <f t="shared" si="259"/>
        <v>997402.737728104</v>
      </c>
      <c r="G1108" s="70">
        <f t="shared" si="260"/>
        <v>1.4744607236687537E-2</v>
      </c>
      <c r="H1108" s="67">
        <f t="shared" si="277"/>
        <v>589303.90985459089</v>
      </c>
      <c r="I1108" s="70">
        <f t="shared" si="278"/>
        <v>8.7478591523589173E-3</v>
      </c>
      <c r="J1108" s="67">
        <f t="shared" si="261"/>
        <v>3176505.6636897996</v>
      </c>
      <c r="K1108" s="70">
        <f t="shared" si="279"/>
        <v>4.8521342600264639E-2</v>
      </c>
      <c r="L1108" s="70">
        <f t="shared" si="265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5"/>
        <v>6259825.6719789952</v>
      </c>
      <c r="R1108" s="70">
        <f t="shared" si="274"/>
        <v>0.10034532449946439</v>
      </c>
      <c r="S1108" s="67">
        <f t="shared" si="256"/>
        <v>12256646.854191199</v>
      </c>
      <c r="T1108" s="70">
        <f t="shared" si="275"/>
        <v>0.21737034324149376</v>
      </c>
      <c r="U1108" s="67">
        <f t="shared" si="257"/>
        <v>34225266.354191199</v>
      </c>
      <c r="V1108" s="70">
        <f t="shared" si="276"/>
        <v>0.99441775044502112</v>
      </c>
      <c r="W1108" s="87">
        <f t="shared" si="266"/>
        <v>0.67899858306433569</v>
      </c>
      <c r="X1108" s="142">
        <f t="shared" si="254"/>
        <v>1.7857142857142857E-4</v>
      </c>
      <c r="Y1108" s="139">
        <f t="shared" si="267"/>
        <v>1.4566035808116108E-2</v>
      </c>
      <c r="Z1108" s="139">
        <f t="shared" si="268"/>
        <v>0</v>
      </c>
      <c r="AA1108" s="139">
        <f t="shared" si="269"/>
        <v>0</v>
      </c>
      <c r="AB1108" s="144">
        <f t="shared" si="270"/>
        <v>5.1985545153934183</v>
      </c>
      <c r="AC1108" s="144">
        <f t="shared" si="271"/>
        <v>-5.3170865989728991E-2</v>
      </c>
      <c r="AD1108" s="144">
        <f t="shared" si="272"/>
        <v>-5.8509268929009525E-2</v>
      </c>
      <c r="AE1108" s="144">
        <f t="shared" si="273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3"/>
        <v>69303142.322780207</v>
      </c>
      <c r="E1109" s="67">
        <f t="shared" si="258"/>
        <v>65466153.520501398</v>
      </c>
      <c r="F1109" s="67">
        <f t="shared" si="259"/>
        <v>660483.13858900964</v>
      </c>
      <c r="G1109" s="70">
        <f t="shared" si="260"/>
        <v>9.6220505796069562E-3</v>
      </c>
      <c r="H1109" s="67">
        <f t="shared" si="277"/>
        <v>1249787.0484436005</v>
      </c>
      <c r="I1109" s="70">
        <f t="shared" si="278"/>
        <v>1.8369909731965874E-2</v>
      </c>
      <c r="J1109" s="67">
        <f t="shared" si="261"/>
        <v>3836988.8022788092</v>
      </c>
      <c r="K1109" s="70">
        <f t="shared" si="279"/>
        <v>5.8610267992561749E-2</v>
      </c>
      <c r="L1109" s="70">
        <f t="shared" si="265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0">B1109-C1109-D1078</f>
        <v>6112756.4311885089</v>
      </c>
      <c r="R1109" s="70">
        <f t="shared" si="274"/>
        <v>9.6735545208972845E-2</v>
      </c>
      <c r="S1109" s="67">
        <f t="shared" ref="S1109:S1140" si="281">B1109-C1109-D1018</f>
        <v>14202886.312780209</v>
      </c>
      <c r="T1109" s="70">
        <f t="shared" si="275"/>
        <v>0.25776443416528888</v>
      </c>
      <c r="U1109" s="67">
        <f t="shared" ref="U1109:U1140" si="282">B1109-C1109-D743</f>
        <v>35314957.082780205</v>
      </c>
      <c r="V1109" s="70">
        <f t="shared" si="276"/>
        <v>1.0390362660851558</v>
      </c>
      <c r="W1109" s="87">
        <f t="shared" si="266"/>
        <v>0.6998272878863514</v>
      </c>
      <c r="X1109" s="142">
        <f t="shared" si="254"/>
        <v>1.7857142857142857E-4</v>
      </c>
      <c r="Y1109" s="139">
        <f t="shared" si="267"/>
        <v>9.4434791510355272E-3</v>
      </c>
      <c r="Z1109" s="139">
        <f t="shared" si="268"/>
        <v>0</v>
      </c>
      <c r="AA1109" s="139">
        <f t="shared" si="269"/>
        <v>0</v>
      </c>
      <c r="AB1109" s="144">
        <f t="shared" si="270"/>
        <v>5.3231629984918394</v>
      </c>
      <c r="AC1109" s="144">
        <f t="shared" si="271"/>
        <v>-5.1995059881175802E-2</v>
      </c>
      <c r="AD1109" s="144">
        <f t="shared" si="272"/>
        <v>-5.8560647855781668E-2</v>
      </c>
      <c r="AE1109" s="144">
        <f t="shared" si="273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3"/>
        <v>69906175.585444197</v>
      </c>
      <c r="E1110" s="67">
        <f t="shared" ref="E1110:E1141" si="283">IF(MONTH(A1110)=MONTH(A1109),E1109,D1109)</f>
        <v>65466153.520501398</v>
      </c>
      <c r="F1110" s="67">
        <f t="shared" ref="F1110:F1141" si="284">B1110-C1110-D1109</f>
        <v>603033.26266399026</v>
      </c>
      <c r="G1110" s="70">
        <f t="shared" ref="G1110:G1141" si="285">F1110/B1109</f>
        <v>8.7013841285198245E-3</v>
      </c>
      <c r="H1110" s="67">
        <f t="shared" si="277"/>
        <v>1852820.3111075908</v>
      </c>
      <c r="I1110" s="70">
        <f t="shared" si="278"/>
        <v>2.70712938604857E-2</v>
      </c>
      <c r="J1110" s="67">
        <f t="shared" ref="J1110:J1141" si="286">IF(MONTH(A1110)=MONTH(A1109),J1109+F1110,F1110)</f>
        <v>4440022.0649427995</v>
      </c>
      <c r="K1110" s="70">
        <f t="shared" si="279"/>
        <v>6.7821642576760155E-2</v>
      </c>
      <c r="L1110" s="70">
        <f t="shared" si="265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0"/>
        <v>8517639.6294925958</v>
      </c>
      <c r="R1110" s="70">
        <f t="shared" si="274"/>
        <v>0.1387496785328827</v>
      </c>
      <c r="S1110" s="67">
        <f t="shared" si="281"/>
        <v>12252565.885444194</v>
      </c>
      <c r="T1110" s="70">
        <f t="shared" si="275"/>
        <v>0.21252035994277377</v>
      </c>
      <c r="U1110" s="67">
        <f t="shared" si="282"/>
        <v>36019677.975444198</v>
      </c>
      <c r="V1110" s="70">
        <f t="shared" si="276"/>
        <v>1.0629507478168736</v>
      </c>
      <c r="W1110" s="87">
        <f t="shared" si="266"/>
        <v>0.71841637112607548</v>
      </c>
      <c r="X1110" s="142">
        <f t="shared" si="254"/>
        <v>1.7857142857142857E-4</v>
      </c>
      <c r="Y1110" s="139">
        <f t="shared" si="267"/>
        <v>8.5228126999483955E-3</v>
      </c>
      <c r="Z1110" s="139">
        <f t="shared" si="268"/>
        <v>0</v>
      </c>
      <c r="AA1110" s="139">
        <f t="shared" si="269"/>
        <v>0</v>
      </c>
      <c r="AB1110" s="144">
        <f t="shared" si="270"/>
        <v>5.5959688701542865</v>
      </c>
      <c r="AC1110" s="144">
        <f t="shared" si="271"/>
        <v>-5.208214415374228E-2</v>
      </c>
      <c r="AD1110" s="144">
        <f t="shared" si="272"/>
        <v>-5.8065444470089704E-2</v>
      </c>
      <c r="AE1110" s="144">
        <f t="shared" si="273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3"/>
        <v>71568160.597763598</v>
      </c>
      <c r="E1111" s="67">
        <f t="shared" si="283"/>
        <v>65466153.520501398</v>
      </c>
      <c r="F1111" s="67">
        <f t="shared" si="284"/>
        <v>1661985.0123194009</v>
      </c>
      <c r="G1111" s="70">
        <f t="shared" si="285"/>
        <v>2.3774509167477014E-2</v>
      </c>
      <c r="H1111" s="67">
        <f t="shared" si="277"/>
        <v>3514805.3234269917</v>
      </c>
      <c r="I1111" s="70">
        <f t="shared" si="278"/>
        <v>5.084580302796271E-2</v>
      </c>
      <c r="J1111" s="67">
        <f t="shared" si="286"/>
        <v>6102007.0772622004</v>
      </c>
      <c r="K1111" s="70">
        <f t="shared" si="279"/>
        <v>9.3208578007431653E-2</v>
      </c>
      <c r="L1111" s="70">
        <f t="shared" si="265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0"/>
        <v>11304294.481885895</v>
      </c>
      <c r="R1111" s="70">
        <f t="shared" si="274"/>
        <v>0.18757997470904966</v>
      </c>
      <c r="S1111" s="67">
        <f t="shared" si="281"/>
        <v>13625244.5177636</v>
      </c>
      <c r="T1111" s="70">
        <f t="shared" si="275"/>
        <v>0.23514944430742224</v>
      </c>
      <c r="U1111" s="67">
        <f t="shared" si="282"/>
        <v>38016285.537763596</v>
      </c>
      <c r="V1111" s="70">
        <f t="shared" si="276"/>
        <v>1.1330599398626753</v>
      </c>
      <c r="W1111" s="87">
        <f t="shared" si="266"/>
        <v>0.77140025651745681</v>
      </c>
      <c r="X1111" s="142">
        <f t="shared" si="254"/>
        <v>1.7857142857142857E-4</v>
      </c>
      <c r="Y1111" s="139">
        <f t="shared" si="267"/>
        <v>2.3595937738905587E-2</v>
      </c>
      <c r="Z1111" s="139">
        <f t="shared" si="268"/>
        <v>0</v>
      </c>
      <c r="AA1111" s="139">
        <f t="shared" si="269"/>
        <v>0</v>
      </c>
      <c r="AB1111" s="144">
        <f t="shared" si="270"/>
        <v>5.9337590683642718</v>
      </c>
      <c r="AC1111" s="144">
        <f t="shared" si="271"/>
        <v>-4.9869167800886141E-2</v>
      </c>
      <c r="AD1111" s="144">
        <f t="shared" si="272"/>
        <v>-5.7958010416694503E-2</v>
      </c>
      <c r="AE1111" s="144">
        <f t="shared" si="273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3"/>
        <v>73318170.655941799</v>
      </c>
      <c r="E1112" s="67">
        <f t="shared" si="283"/>
        <v>65466153.520501398</v>
      </c>
      <c r="F1112" s="67">
        <f t="shared" si="284"/>
        <v>1750010.0581782013</v>
      </c>
      <c r="G1112" s="70">
        <f t="shared" si="285"/>
        <v>2.4452354839938233E-2</v>
      </c>
      <c r="H1112" s="67">
        <f t="shared" si="277"/>
        <v>1750010.0581782013</v>
      </c>
      <c r="I1112" s="70">
        <f t="shared" si="278"/>
        <v>2.4452354839938233E-2</v>
      </c>
      <c r="J1112" s="67">
        <f t="shared" si="286"/>
        <v>7852017.1354404017</v>
      </c>
      <c r="K1112" s="70">
        <f t="shared" si="279"/>
        <v>0.11994010207093364</v>
      </c>
      <c r="L1112" s="70">
        <f t="shared" si="265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0"/>
        <v>11113162.493219502</v>
      </c>
      <c r="R1112" s="70">
        <f t="shared" si="274"/>
        <v>0.17865382260136584</v>
      </c>
      <c r="S1112" s="67">
        <f t="shared" si="281"/>
        <v>16278024.525941797</v>
      </c>
      <c r="T1112" s="70">
        <f t="shared" si="275"/>
        <v>0.28537838049787961</v>
      </c>
      <c r="U1112" s="67">
        <f t="shared" si="282"/>
        <v>39159500.375941798</v>
      </c>
      <c r="V1112" s="70">
        <f t="shared" si="276"/>
        <v>1.1464000224525659</v>
      </c>
      <c r="W1112" s="87">
        <f t="shared" si="266"/>
        <v>0.82554303751727631</v>
      </c>
      <c r="X1112" s="142">
        <f t="shared" si="254"/>
        <v>1.7857142857142857E-4</v>
      </c>
      <c r="Y1112" s="139">
        <f t="shared" si="267"/>
        <v>2.4273783411366805E-2</v>
      </c>
      <c r="Z1112" s="139">
        <f t="shared" si="268"/>
        <v>0</v>
      </c>
      <c r="AA1112" s="139">
        <f t="shared" si="269"/>
        <v>0</v>
      </c>
      <c r="AB1112" s="144">
        <f t="shared" si="270"/>
        <v>6.3974908566887541</v>
      </c>
      <c r="AC1112" s="144">
        <f t="shared" si="271"/>
        <v>-4.8322374244380746E-2</v>
      </c>
      <c r="AD1112" s="144">
        <f t="shared" si="272"/>
        <v>-5.7858421281386178E-2</v>
      </c>
      <c r="AE1112" s="144">
        <f t="shared" si="273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3"/>
        <v>69786815.498322502</v>
      </c>
      <c r="E1113" s="67">
        <f t="shared" si="283"/>
        <v>65466153.520501398</v>
      </c>
      <c r="F1113" s="67">
        <f t="shared" si="284"/>
        <v>-3531355.1576192975</v>
      </c>
      <c r="G1113" s="70">
        <f t="shared" si="285"/>
        <v>-4.8164801795052857E-2</v>
      </c>
      <c r="H1113" s="67">
        <f t="shared" si="277"/>
        <v>-1781345.0994410962</v>
      </c>
      <c r="I1113" s="70">
        <f t="shared" si="278"/>
        <v>-2.3712446955114624E-2</v>
      </c>
      <c r="J1113" s="67">
        <f t="shared" si="286"/>
        <v>4320661.9778211042</v>
      </c>
      <c r="K1113" s="70">
        <f t="shared" si="279"/>
        <v>6.5998409032355765E-2</v>
      </c>
      <c r="L1113" s="70">
        <f t="shared" si="265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0"/>
        <v>7825425.8037047982</v>
      </c>
      <c r="R1113" s="70">
        <f t="shared" si="274"/>
        <v>0.12629519515738938</v>
      </c>
      <c r="S1113" s="67">
        <f t="shared" si="281"/>
        <v>12055552.858322501</v>
      </c>
      <c r="T1113" s="70">
        <f t="shared" si="275"/>
        <v>0.20882191566635899</v>
      </c>
      <c r="U1113" s="67">
        <f t="shared" si="282"/>
        <v>34831263.528322503</v>
      </c>
      <c r="V1113" s="70">
        <f t="shared" si="276"/>
        <v>0.99644438623700848</v>
      </c>
      <c r="W1113" s="87">
        <f t="shared" si="266"/>
        <v>0.70786554896597509</v>
      </c>
      <c r="X1113" s="142">
        <f t="shared" si="254"/>
        <v>1.7857142857142857E-4</v>
      </c>
      <c r="Y1113" s="139">
        <f t="shared" si="267"/>
        <v>-4.8343373223624288E-2</v>
      </c>
      <c r="Z1113" s="139">
        <f t="shared" si="268"/>
        <v>-4.8343373223624288E-2</v>
      </c>
      <c r="AA1113" s="139">
        <f t="shared" si="269"/>
        <v>2.3370817346386337E-3</v>
      </c>
      <c r="AB1113" s="144">
        <f t="shared" si="270"/>
        <v>5.8945048661787443</v>
      </c>
      <c r="AC1113" s="144">
        <f t="shared" si="271"/>
        <v>-5.2533027794491968E-2</v>
      </c>
      <c r="AD1113" s="144">
        <f t="shared" si="272"/>
        <v>-5.8762940292062901E-2</v>
      </c>
      <c r="AE1113" s="144">
        <f t="shared" si="273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3"/>
        <v>71405431.660173804</v>
      </c>
      <c r="E1114" s="67">
        <f t="shared" si="283"/>
        <v>65466153.520501398</v>
      </c>
      <c r="F1114" s="67">
        <f t="shared" si="284"/>
        <v>1618616.1618513018</v>
      </c>
      <c r="G1114" s="70">
        <f t="shared" si="285"/>
        <v>2.3193724348837916E-2</v>
      </c>
      <c r="H1114" s="67">
        <f t="shared" si="277"/>
        <v>-162728.9375897944</v>
      </c>
      <c r="I1114" s="70">
        <f t="shared" si="278"/>
        <v>-5.1872260627670863E-4</v>
      </c>
      <c r="J1114" s="67">
        <f t="shared" si="286"/>
        <v>5939278.139672406</v>
      </c>
      <c r="K1114" s="70">
        <f t="shared" si="279"/>
        <v>9.0722882287751938E-2</v>
      </c>
      <c r="L1114" s="70">
        <f t="shared" si="265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0"/>
        <v>15706798.553078905</v>
      </c>
      <c r="R1114" s="70">
        <f t="shared" si="274"/>
        <v>0.28199612229044396</v>
      </c>
      <c r="S1114" s="67">
        <f t="shared" si="281"/>
        <v>14034262.3901738</v>
      </c>
      <c r="T1114" s="70">
        <f t="shared" si="275"/>
        <v>0.244622213016538</v>
      </c>
      <c r="U1114" s="67">
        <f t="shared" si="282"/>
        <v>36693363.740173802</v>
      </c>
      <c r="V1114" s="70">
        <f t="shared" si="276"/>
        <v>1.0570780117375906</v>
      </c>
      <c r="W1114" s="87">
        <f t="shared" si="266"/>
        <v>0.75880386827870472</v>
      </c>
      <c r="X1114" s="142">
        <f t="shared" si="254"/>
        <v>1.7857142857142857E-4</v>
      </c>
      <c r="Y1114" s="139">
        <f t="shared" si="267"/>
        <v>2.3015152920266489E-2</v>
      </c>
      <c r="Z1114" s="139">
        <f t="shared" si="268"/>
        <v>0</v>
      </c>
      <c r="AA1114" s="139">
        <f t="shared" si="269"/>
        <v>0</v>
      </c>
      <c r="AB1114" s="144">
        <f t="shared" si="270"/>
        <v>5.9267549125224193</v>
      </c>
      <c r="AC1114" s="144">
        <f t="shared" si="271"/>
        <v>-5.1888562640337872E-2</v>
      </c>
      <c r="AD1114" s="144">
        <f t="shared" si="272"/>
        <v>-5.8722145341238E-2</v>
      </c>
      <c r="AE1114" s="144">
        <f t="shared" si="273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3"/>
        <v>73233905.644602194</v>
      </c>
      <c r="E1115" s="67">
        <f t="shared" si="283"/>
        <v>65466153.520501398</v>
      </c>
      <c r="F1115" s="67">
        <f t="shared" si="284"/>
        <v>1828473.9844283909</v>
      </c>
      <c r="G1115" s="70">
        <f t="shared" si="285"/>
        <v>2.5606931320439275E-2</v>
      </c>
      <c r="H1115" s="67">
        <f t="shared" si="277"/>
        <v>1665745.0468385965</v>
      </c>
      <c r="I1115" s="70">
        <f t="shared" si="278"/>
        <v>2.5088208714162567E-2</v>
      </c>
      <c r="J1115" s="67">
        <f t="shared" si="286"/>
        <v>7767752.1241007969</v>
      </c>
      <c r="K1115" s="70">
        <f t="shared" si="279"/>
        <v>0.11865294822412586</v>
      </c>
      <c r="L1115" s="70">
        <f t="shared" si="265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0"/>
        <v>18852395.278620191</v>
      </c>
      <c r="R1115" s="70">
        <f t="shared" si="274"/>
        <v>0.34666921076199425</v>
      </c>
      <c r="S1115" s="67">
        <f t="shared" si="281"/>
        <v>13783304.664602198</v>
      </c>
      <c r="T1115" s="70">
        <f t="shared" si="275"/>
        <v>0.23184466493852757</v>
      </c>
      <c r="U1115" s="67">
        <f t="shared" si="282"/>
        <v>38770029.734602198</v>
      </c>
      <c r="V1115" s="70">
        <f t="shared" si="276"/>
        <v>1.1249468816521804</v>
      </c>
      <c r="W1115" s="87">
        <f t="shared" si="266"/>
        <v>0.8147432958724723</v>
      </c>
      <c r="X1115" s="142">
        <f t="shared" si="254"/>
        <v>1.7857142857142857E-4</v>
      </c>
      <c r="Y1115" s="139">
        <f t="shared" si="267"/>
        <v>2.5428359891867848E-2</v>
      </c>
      <c r="Z1115" s="139">
        <f t="shared" si="268"/>
        <v>0</v>
      </c>
      <c r="AA1115" s="139">
        <f t="shared" si="269"/>
        <v>0</v>
      </c>
      <c r="AB1115" s="144">
        <f t="shared" si="270"/>
        <v>6.5646070664335952</v>
      </c>
      <c r="AC1115" s="144">
        <f t="shared" si="271"/>
        <v>-3.8443839386172157E-2</v>
      </c>
      <c r="AD1115" s="144">
        <f t="shared" si="272"/>
        <v>-5.8478481280774854E-2</v>
      </c>
      <c r="AE1115" s="144">
        <f t="shared" si="273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3"/>
        <v>74201919.757220402</v>
      </c>
      <c r="E1116" s="67">
        <f t="shared" si="283"/>
        <v>65466153.520501398</v>
      </c>
      <c r="F1116" s="67">
        <f t="shared" si="284"/>
        <v>968014.11261820793</v>
      </c>
      <c r="G1116" s="70">
        <f t="shared" si="285"/>
        <v>1.3218113988292481E-2</v>
      </c>
      <c r="H1116" s="67">
        <f t="shared" si="277"/>
        <v>2633759.1594568044</v>
      </c>
      <c r="I1116" s="70">
        <f t="shared" si="278"/>
        <v>3.8306322702455049E-2</v>
      </c>
      <c r="J1116" s="67">
        <f t="shared" si="286"/>
        <v>8735766.2367190048</v>
      </c>
      <c r="K1116" s="70">
        <f t="shared" si="279"/>
        <v>0.13343943040709183</v>
      </c>
      <c r="L1116" s="70">
        <f t="shared" si="265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0"/>
        <v>19767313.279541902</v>
      </c>
      <c r="R1116" s="70">
        <f t="shared" si="274"/>
        <v>0.36313871925661306</v>
      </c>
      <c r="S1116" s="67">
        <f t="shared" si="281"/>
        <v>14441978.297220401</v>
      </c>
      <c r="T1116" s="70">
        <f t="shared" si="275"/>
        <v>0.24166654023393017</v>
      </c>
      <c r="U1116" s="67">
        <f t="shared" si="282"/>
        <v>40772652.557220399</v>
      </c>
      <c r="V1116" s="70">
        <f t="shared" si="276"/>
        <v>1.21966934881601</v>
      </c>
      <c r="W1116" s="87">
        <f t="shared" si="266"/>
        <v>0.8427832938877422</v>
      </c>
      <c r="X1116" s="142">
        <f t="shared" si="254"/>
        <v>1.7857142857142857E-4</v>
      </c>
      <c r="Y1116" s="139">
        <f t="shared" si="267"/>
        <v>1.3039542559721052E-2</v>
      </c>
      <c r="Z1116" s="139">
        <f t="shared" si="268"/>
        <v>0</v>
      </c>
      <c r="AA1116" s="139">
        <f t="shared" si="269"/>
        <v>0</v>
      </c>
      <c r="AB1116" s="144">
        <f t="shared" si="270"/>
        <v>7.0527109152391496</v>
      </c>
      <c r="AC1116" s="144">
        <f t="shared" si="271"/>
        <v>-3.6271297226794841E-2</v>
      </c>
      <c r="AD1116" s="144">
        <f t="shared" si="272"/>
        <v>-5.8487752044693669E-2</v>
      </c>
      <c r="AE1116" s="144">
        <f t="shared" si="273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3"/>
        <v>74623096.259609193</v>
      </c>
      <c r="E1117" s="67">
        <f t="shared" si="283"/>
        <v>65466153.520501398</v>
      </c>
      <c r="F1117" s="67">
        <f t="shared" si="284"/>
        <v>421176.50238879025</v>
      </c>
      <c r="G1117" s="70">
        <f t="shared" si="285"/>
        <v>5.6760863299336215E-3</v>
      </c>
      <c r="H1117" s="67">
        <f t="shared" si="277"/>
        <v>421176.50238879025</v>
      </c>
      <c r="I1117" s="70">
        <f t="shared" si="278"/>
        <v>5.6760863299336215E-3</v>
      </c>
      <c r="J1117" s="67">
        <f t="shared" si="286"/>
        <v>9156942.7391077951</v>
      </c>
      <c r="K1117" s="70">
        <f t="shared" si="279"/>
        <v>0.13987293046383331</v>
      </c>
      <c r="L1117" s="70">
        <f t="shared" si="265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0"/>
        <v>23647542.410486892</v>
      </c>
      <c r="R1117" s="70">
        <f t="shared" si="274"/>
        <v>0.46389966611209377</v>
      </c>
      <c r="S1117" s="67">
        <f t="shared" si="281"/>
        <v>14863727.822149493</v>
      </c>
      <c r="T1117" s="70">
        <f t="shared" si="275"/>
        <v>0.24872632042128945</v>
      </c>
      <c r="U1117" s="67">
        <f t="shared" si="282"/>
        <v>41735793.089609191</v>
      </c>
      <c r="V1117" s="70">
        <f t="shared" si="276"/>
        <v>1.2690548955586249</v>
      </c>
      <c r="W1117" s="87">
        <f t="shared" si="266"/>
        <v>0.85369380724041277</v>
      </c>
      <c r="X1117" s="142">
        <f t="shared" si="254"/>
        <v>1.7857142857142857E-4</v>
      </c>
      <c r="Y1117" s="139">
        <f t="shared" si="267"/>
        <v>5.4975149013621926E-3</v>
      </c>
      <c r="Z1117" s="139">
        <f t="shared" si="268"/>
        <v>0</v>
      </c>
      <c r="AA1117" s="139">
        <f t="shared" si="269"/>
        <v>0</v>
      </c>
      <c r="AB1117" s="144">
        <f t="shared" si="270"/>
        <v>7.0246219097738827</v>
      </c>
      <c r="AC1117" s="144">
        <f t="shared" si="271"/>
        <v>-3.6062381755998546E-2</v>
      </c>
      <c r="AD1117" s="144">
        <f t="shared" si="272"/>
        <v>-5.8483184968856593E-2</v>
      </c>
      <c r="AE1117" s="144">
        <f t="shared" si="273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3"/>
        <v>74214194.359203994</v>
      </c>
      <c r="E1118" s="67">
        <f t="shared" si="283"/>
        <v>65466153.520501398</v>
      </c>
      <c r="F1118" s="67">
        <f t="shared" si="284"/>
        <v>-408901.90040519834</v>
      </c>
      <c r="G1118" s="70">
        <f t="shared" si="285"/>
        <v>-5.4795622387826632E-3</v>
      </c>
      <c r="H1118" s="67">
        <f t="shared" si="277"/>
        <v>12274.601983591914</v>
      </c>
      <c r="I1118" s="70">
        <f t="shared" si="278"/>
        <v>1.9652409115095831E-4</v>
      </c>
      <c r="J1118" s="67">
        <f t="shared" si="286"/>
        <v>8748040.8387025967</v>
      </c>
      <c r="K1118" s="70">
        <f t="shared" si="279"/>
        <v>0.13362692579705326</v>
      </c>
      <c r="L1118" s="70">
        <f t="shared" si="265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0"/>
        <v>21342051.548151493</v>
      </c>
      <c r="R1118" s="70">
        <f t="shared" si="274"/>
        <v>0.40365399269745705</v>
      </c>
      <c r="S1118" s="67">
        <f t="shared" si="281"/>
        <v>13759113.899203993</v>
      </c>
      <c r="T1118" s="70">
        <f t="shared" si="275"/>
        <v>0.22759235112270981</v>
      </c>
      <c r="U1118" s="67">
        <f t="shared" si="282"/>
        <v>40247654.679203995</v>
      </c>
      <c r="V1118" s="70">
        <f t="shared" si="276"/>
        <v>1.1849206618742623</v>
      </c>
      <c r="W1118" s="87">
        <f t="shared" si="266"/>
        <v>0.83910366636981026</v>
      </c>
      <c r="X1118" s="142">
        <f t="shared" si="254"/>
        <v>1.7857142857142857E-4</v>
      </c>
      <c r="Y1118" s="139">
        <f t="shared" si="267"/>
        <v>-5.6581336673540922E-3</v>
      </c>
      <c r="Z1118" s="139">
        <f t="shared" si="268"/>
        <v>-5.6581336673540922E-3</v>
      </c>
      <c r="AA1118" s="139">
        <f t="shared" si="269"/>
        <v>3.2014476597645872E-5</v>
      </c>
      <c r="AB1118" s="144">
        <f t="shared" si="270"/>
        <v>6.8130212804634986</v>
      </c>
      <c r="AC1118" s="144">
        <f t="shared" si="271"/>
        <v>-2.8948183835354538E-2</v>
      </c>
      <c r="AD1118" s="144">
        <f t="shared" si="272"/>
        <v>-5.8557620952257368E-2</v>
      </c>
      <c r="AE1118" s="144">
        <f t="shared" si="273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3"/>
        <v>71812303.778893396</v>
      </c>
      <c r="E1119" s="67">
        <f t="shared" si="283"/>
        <v>65466153.520501398</v>
      </c>
      <c r="F1119" s="67">
        <f t="shared" si="284"/>
        <v>-2401890.580310598</v>
      </c>
      <c r="G1119" s="70">
        <f t="shared" si="285"/>
        <v>-3.236430174913995E-2</v>
      </c>
      <c r="H1119" s="67">
        <f t="shared" si="277"/>
        <v>-2389615.9783270061</v>
      </c>
      <c r="I1119" s="70">
        <f t="shared" si="278"/>
        <v>-3.2167777657988991E-2</v>
      </c>
      <c r="J1119" s="67">
        <f t="shared" si="286"/>
        <v>6346150.2583919987</v>
      </c>
      <c r="K1119" s="70">
        <f t="shared" si="279"/>
        <v>9.6937881899607614E-2</v>
      </c>
      <c r="L1119" s="70">
        <f t="shared" si="265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0"/>
        <v>18271489.333841294</v>
      </c>
      <c r="R1119" s="70">
        <f t="shared" si="274"/>
        <v>0.3412628202096733</v>
      </c>
      <c r="S1119" s="67">
        <f t="shared" si="281"/>
        <v>10111180.678893395</v>
      </c>
      <c r="T1119" s="70">
        <f t="shared" si="275"/>
        <v>0.16387352726960969</v>
      </c>
      <c r="U1119" s="67">
        <f t="shared" si="282"/>
        <v>36353772.758893393</v>
      </c>
      <c r="V1119" s="70">
        <f t="shared" si="276"/>
        <v>1.0252475698552892</v>
      </c>
      <c r="W1119" s="87">
        <f t="shared" si="266"/>
        <v>0.76174655288124171</v>
      </c>
      <c r="X1119" s="142">
        <f t="shared" si="254"/>
        <v>1.7857142857142857E-4</v>
      </c>
      <c r="Y1119" s="139">
        <f t="shared" si="267"/>
        <v>-3.254287317771138E-2</v>
      </c>
      <c r="Z1119" s="139">
        <f t="shared" si="268"/>
        <v>-3.254287317771138E-2</v>
      </c>
      <c r="AA1119" s="139">
        <f t="shared" si="269"/>
        <v>1.0590385946606068E-3</v>
      </c>
      <c r="AB1119" s="144">
        <f t="shared" si="270"/>
        <v>6.4178245816100539</v>
      </c>
      <c r="AC1119" s="144">
        <f t="shared" si="271"/>
        <v>-3.2391520711745433E-2</v>
      </c>
      <c r="AD1119" s="144">
        <f t="shared" si="272"/>
        <v>-5.931228995884659E-2</v>
      </c>
      <c r="AE1119" s="144">
        <f t="shared" si="273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3"/>
        <v>72382545.387765795</v>
      </c>
      <c r="E1120" s="67">
        <f t="shared" si="283"/>
        <v>65466153.520501398</v>
      </c>
      <c r="F1120" s="67">
        <f t="shared" si="284"/>
        <v>570241.60887239873</v>
      </c>
      <c r="G1120" s="70">
        <f t="shared" si="285"/>
        <v>7.9407229522693631E-3</v>
      </c>
      <c r="H1120" s="67">
        <f t="shared" si="277"/>
        <v>-1819374.3694546074</v>
      </c>
      <c r="I1120" s="70">
        <f t="shared" si="278"/>
        <v>-2.4227054705719626E-2</v>
      </c>
      <c r="J1120" s="67">
        <f t="shared" si="286"/>
        <v>6916391.8672643974</v>
      </c>
      <c r="K1120" s="70">
        <f t="shared" si="279"/>
        <v>0.10564836171562164</v>
      </c>
      <c r="L1120" s="70">
        <f t="shared" ref="L1120:L1153" si="287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0"/>
        <v>15564152.951671392</v>
      </c>
      <c r="R1120" s="70">
        <f t="shared" si="274"/>
        <v>0.27392807653220619</v>
      </c>
      <c r="S1120" s="67">
        <f t="shared" si="281"/>
        <v>9794425.8777657971</v>
      </c>
      <c r="T1120" s="70">
        <f t="shared" si="275"/>
        <v>0.15649017664128567</v>
      </c>
      <c r="U1120" s="67">
        <f t="shared" si="282"/>
        <v>36865339.397765793</v>
      </c>
      <c r="V1120" s="70">
        <f t="shared" si="276"/>
        <v>1.0379571920197035</v>
      </c>
      <c r="W1120" s="87">
        <f t="shared" ref="W1120:W1153" si="288">O1120/P1120</f>
        <v>0.77782681141647936</v>
      </c>
      <c r="X1120" s="142">
        <f t="shared" si="254"/>
        <v>1.7857142857142857E-4</v>
      </c>
      <c r="Y1120" s="139">
        <f t="shared" ref="Y1120:Y1151" si="289">G1120-X1120</f>
        <v>7.7621515236979341E-3</v>
      </c>
      <c r="Z1120" s="139">
        <f t="shared" ref="Z1120:Z1151" si="290">IF(Y1120&lt;0,Y1120,0)</f>
        <v>0</v>
      </c>
      <c r="AA1120" s="139">
        <f t="shared" ref="AA1120:AA1151" si="291">Z1120^2</f>
        <v>0</v>
      </c>
      <c r="AB1120" s="144">
        <f t="shared" ref="AB1120:AB1151" si="292">AVERAGE(Y867:Y1120)/AVERAGE(AA867:AA1120)</f>
        <v>6.2050015339991038</v>
      </c>
      <c r="AC1120" s="144">
        <f t="shared" ref="AC1120:AC1151" si="293">AVERAGE(G1089:G1120)-_xlfn.NORM.S.INV(0.95)*_xlfn.STDEV.S(G1089:G1120)</f>
        <v>-3.2535805045660005E-2</v>
      </c>
      <c r="AD1120" s="144">
        <f t="shared" ref="AD1120:AD1151" si="294">AVERAGE(G1029:G1120)-_xlfn.NORM.S.INV(0.95)*_xlfn.STDEV.S(G1029:G1120)</f>
        <v>-5.9377099045390971E-2</v>
      </c>
      <c r="AE1120" s="144">
        <f t="shared" ref="AE1120:AE1151" si="295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3"/>
        <v>73000981.067492694</v>
      </c>
      <c r="E1121" s="67">
        <f t="shared" si="283"/>
        <v>65466153.520501398</v>
      </c>
      <c r="F1121" s="67">
        <f t="shared" si="284"/>
        <v>618435.67972689867</v>
      </c>
      <c r="G1121" s="70">
        <f t="shared" si="285"/>
        <v>8.5439891124832919E-3</v>
      </c>
      <c r="H1121" s="67">
        <f t="shared" si="277"/>
        <v>-1200938.6897277087</v>
      </c>
      <c r="I1121" s="70">
        <f t="shared" si="278"/>
        <v>-1.5683065593236335E-2</v>
      </c>
      <c r="J1121" s="67">
        <f t="shared" si="286"/>
        <v>7534827.5469912961</v>
      </c>
      <c r="K1121" s="70">
        <f t="shared" si="279"/>
        <v>0.11509500928035488</v>
      </c>
      <c r="L1121" s="70">
        <f t="shared" si="287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0"/>
        <v>14363502.714016691</v>
      </c>
      <c r="R1121" s="70">
        <f t="shared" si="274"/>
        <v>0.24495430426648332</v>
      </c>
      <c r="S1121" s="67">
        <f t="shared" si="281"/>
        <v>11417686.497492693</v>
      </c>
      <c r="T1121" s="70">
        <f t="shared" si="275"/>
        <v>0.18540233316868959</v>
      </c>
      <c r="U1121" s="67">
        <f t="shared" si="282"/>
        <v>36870313.427492693</v>
      </c>
      <c r="V1121" s="70">
        <f t="shared" si="276"/>
        <v>1.0204714121217577</v>
      </c>
      <c r="W1121" s="87">
        <f t="shared" si="288"/>
        <v>0.79517929887612804</v>
      </c>
      <c r="X1121" s="142">
        <f t="shared" si="254"/>
        <v>1.7857142857142857E-4</v>
      </c>
      <c r="Y1121" s="139">
        <f t="shared" si="289"/>
        <v>8.3654176839118629E-3</v>
      </c>
      <c r="Z1121" s="139">
        <f t="shared" si="290"/>
        <v>0</v>
      </c>
      <c r="AA1121" s="139">
        <f t="shared" si="291"/>
        <v>0</v>
      </c>
      <c r="AB1121" s="144">
        <f t="shared" si="292"/>
        <v>5.9884150940741554</v>
      </c>
      <c r="AC1121" s="144">
        <f t="shared" si="293"/>
        <v>-3.1294025514605639E-2</v>
      </c>
      <c r="AD1121" s="144">
        <f t="shared" si="294"/>
        <v>-5.9414540652246516E-2</v>
      </c>
      <c r="AE1121" s="144">
        <f t="shared" si="295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3"/>
        <v>72614532.021846801</v>
      </c>
      <c r="E1122" s="67">
        <f t="shared" si="283"/>
        <v>65466153.520501398</v>
      </c>
      <c r="F1122" s="67">
        <f t="shared" si="284"/>
        <v>-386449.04564589262</v>
      </c>
      <c r="G1122" s="70">
        <f t="shared" si="285"/>
        <v>-5.2937513988832981E-3</v>
      </c>
      <c r="H1122" s="67">
        <f t="shared" ref="H1122:H1125" si="296">J1122</f>
        <v>7148378.5013454035</v>
      </c>
      <c r="I1122" s="70">
        <f t="shared" ref="I1122:I1125" si="297">K1122</f>
        <v>0.10919197351508925</v>
      </c>
      <c r="J1122" s="67">
        <f t="shared" si="286"/>
        <v>7148378.5013454035</v>
      </c>
      <c r="K1122" s="70">
        <f t="shared" si="279"/>
        <v>0.10919197351508925</v>
      </c>
      <c r="L1122" s="70">
        <f t="shared" si="287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0"/>
        <v>12643307.111060701</v>
      </c>
      <c r="R1122" s="70">
        <f t="shared" si="274"/>
        <v>0.21082289264341414</v>
      </c>
      <c r="S1122" s="67">
        <f t="shared" si="281"/>
        <v>12717171.8118468</v>
      </c>
      <c r="T1122" s="70">
        <f t="shared" si="275"/>
        <v>0.21231606480252929</v>
      </c>
      <c r="U1122" s="67">
        <f t="shared" si="282"/>
        <v>36748018.791846804</v>
      </c>
      <c r="V1122" s="70">
        <f t="shared" si="276"/>
        <v>1.0245773977580148</v>
      </c>
      <c r="W1122" s="87">
        <f t="shared" si="288"/>
        <v>0.78134668440783051</v>
      </c>
      <c r="X1122" s="142">
        <f t="shared" si="254"/>
        <v>1.7857142857142857E-4</v>
      </c>
      <c r="Y1122" s="139">
        <f t="shared" si="289"/>
        <v>-5.4723228274547271E-3</v>
      </c>
      <c r="Z1122" s="139">
        <f t="shared" si="290"/>
        <v>-5.4723228274547271E-3</v>
      </c>
      <c r="AA1122" s="139">
        <f t="shared" si="291"/>
        <v>2.9946317127882098E-5</v>
      </c>
      <c r="AB1122" s="144">
        <f t="shared" si="292"/>
        <v>5.8077290280086507</v>
      </c>
      <c r="AC1122" s="144">
        <f t="shared" si="293"/>
        <v>-3.1991728882594737E-2</v>
      </c>
      <c r="AD1122" s="144">
        <f t="shared" si="294"/>
        <v>-5.9230365690008432E-2</v>
      </c>
      <c r="AE1122" s="144">
        <f t="shared" si="295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3"/>
        <v>73588655.892573103</v>
      </c>
      <c r="E1123" s="67">
        <f t="shared" si="283"/>
        <v>65466153.520501398</v>
      </c>
      <c r="F1123" s="67">
        <f t="shared" si="284"/>
        <v>974123.87072630227</v>
      </c>
      <c r="G1123" s="70">
        <f t="shared" si="285"/>
        <v>1.3414998948602016E-2</v>
      </c>
      <c r="H1123" s="67">
        <f t="shared" si="296"/>
        <v>8122502.3720717058</v>
      </c>
      <c r="I1123" s="70">
        <f t="shared" si="297"/>
        <v>0.12407178267359198</v>
      </c>
      <c r="J1123" s="67">
        <f t="shared" si="286"/>
        <v>8122502.3720717058</v>
      </c>
      <c r="K1123" s="70">
        <f t="shared" si="279"/>
        <v>0.12407178267359198</v>
      </c>
      <c r="L1123" s="70">
        <f t="shared" si="287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0"/>
        <v>14102505.381227605</v>
      </c>
      <c r="R1123" s="70">
        <f t="shared" si="274"/>
        <v>0.23707207913105596</v>
      </c>
      <c r="S1123" s="67">
        <f t="shared" si="281"/>
        <v>15548963.152573101</v>
      </c>
      <c r="T1123" s="70">
        <f t="shared" si="275"/>
        <v>0.26790223067216568</v>
      </c>
      <c r="U1123" s="67">
        <f t="shared" si="282"/>
        <v>36885062.1225731</v>
      </c>
      <c r="V1123" s="70">
        <f t="shared" si="276"/>
        <v>1.0049441576132914</v>
      </c>
      <c r="W1123" s="87">
        <f t="shared" si="288"/>
        <v>0.80937840752277634</v>
      </c>
      <c r="X1123" s="142">
        <f t="shared" si="254"/>
        <v>1.7857142857142857E-4</v>
      </c>
      <c r="Y1123" s="139">
        <f t="shared" si="289"/>
        <v>1.3236427520030587E-2</v>
      </c>
      <c r="Z1123" s="139">
        <f t="shared" si="290"/>
        <v>0</v>
      </c>
      <c r="AA1123" s="139">
        <f t="shared" si="291"/>
        <v>0</v>
      </c>
      <c r="AB1123" s="144">
        <f t="shared" si="292"/>
        <v>5.8551248181563267</v>
      </c>
      <c r="AC1123" s="144">
        <f t="shared" si="293"/>
        <v>-3.2051395445228677E-2</v>
      </c>
      <c r="AD1123" s="144">
        <f t="shared" si="294"/>
        <v>-5.8599031373699532E-2</v>
      </c>
      <c r="AE1123" s="144">
        <f t="shared" si="295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3"/>
        <v>72282550.836989194</v>
      </c>
      <c r="E1124" s="67">
        <f t="shared" si="283"/>
        <v>65466153.520501398</v>
      </c>
      <c r="F1124" s="67">
        <f t="shared" si="284"/>
        <v>-1306105.0555839092</v>
      </c>
      <c r="G1124" s="70">
        <f t="shared" si="285"/>
        <v>-1.7748728248150096E-2</v>
      </c>
      <c r="H1124" s="67">
        <f t="shared" si="296"/>
        <v>6816397.3164877966</v>
      </c>
      <c r="I1124" s="70">
        <f t="shared" si="297"/>
        <v>0.10412093807150469</v>
      </c>
      <c r="J1124" s="67">
        <f t="shared" si="286"/>
        <v>6816397.3164877966</v>
      </c>
      <c r="K1124" s="70">
        <f t="shared" si="279"/>
        <v>0.10412093807150469</v>
      </c>
      <c r="L1124" s="70">
        <f t="shared" si="287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0"/>
        <v>12701848.942616493</v>
      </c>
      <c r="R1124" s="70">
        <f t="shared" si="274"/>
        <v>0.21318729955774759</v>
      </c>
      <c r="S1124" s="67">
        <f t="shared" si="281"/>
        <v>12283704.816989191</v>
      </c>
      <c r="T1124" s="70">
        <f t="shared" si="275"/>
        <v>0.20473235123379779</v>
      </c>
      <c r="U1124" s="67">
        <f t="shared" si="282"/>
        <v>35146438.226989195</v>
      </c>
      <c r="V1124" s="70">
        <f t="shared" si="276"/>
        <v>0.94642211467026238</v>
      </c>
      <c r="W1124" s="87">
        <f t="shared" si="288"/>
        <v>0.76719208124211546</v>
      </c>
      <c r="X1124" s="142">
        <f t="shared" si="254"/>
        <v>1.7857142857142857E-4</v>
      </c>
      <c r="Y1124" s="139">
        <f t="shared" si="289"/>
        <v>-1.7927299676721523E-2</v>
      </c>
      <c r="Z1124" s="139">
        <f t="shared" si="290"/>
        <v>-1.7927299676721523E-2</v>
      </c>
      <c r="AA1124" s="139">
        <f t="shared" si="291"/>
        <v>3.2138807369897962E-4</v>
      </c>
      <c r="AB1124" s="144">
        <f t="shared" si="292"/>
        <v>5.5640578496327864</v>
      </c>
      <c r="AC1124" s="144">
        <f t="shared" si="293"/>
        <v>-3.2775925224827258E-2</v>
      </c>
      <c r="AD1124" s="144">
        <f t="shared" si="294"/>
        <v>-5.8279651563624191E-2</v>
      </c>
      <c r="AE1124" s="144">
        <f t="shared" si="295"/>
        <v>-4.7223452943633566E-2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3"/>
        <v>68111189.483541399</v>
      </c>
      <c r="E1125" s="80">
        <f t="shared" si="283"/>
        <v>65466153.520501398</v>
      </c>
      <c r="F1125" s="80">
        <f t="shared" si="284"/>
        <v>-4171361.3534477949</v>
      </c>
      <c r="G1125" s="81">
        <f t="shared" si="285"/>
        <v>-5.7709105519186822E-2</v>
      </c>
      <c r="H1125" s="80">
        <f t="shared" si="296"/>
        <v>2645035.9630400017</v>
      </c>
      <c r="I1125" s="81">
        <f t="shared" si="297"/>
        <v>4.0403106350392681E-2</v>
      </c>
      <c r="J1125" s="80">
        <f t="shared" si="286"/>
        <v>2645035.9630400017</v>
      </c>
      <c r="K1125" s="81">
        <f t="shared" si="279"/>
        <v>4.0403106350392681E-2</v>
      </c>
      <c r="L1125" s="81">
        <f t="shared" si="287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0"/>
        <v>9814419.1316450015</v>
      </c>
      <c r="R1125" s="81">
        <f t="shared" si="274"/>
        <v>0.16835270757543325</v>
      </c>
      <c r="S1125" s="80">
        <f t="shared" si="281"/>
        <v>8603444.9435414001</v>
      </c>
      <c r="T1125" s="81">
        <f t="shared" si="275"/>
        <v>0.14457689515955902</v>
      </c>
      <c r="U1125" s="80">
        <f t="shared" si="282"/>
        <v>30928395.453541398</v>
      </c>
      <c r="V1125" s="81">
        <f t="shared" si="276"/>
        <v>0.83179320598090611</v>
      </c>
      <c r="W1125" s="136">
        <f t="shared" si="288"/>
        <v>0.63201309056241017</v>
      </c>
      <c r="X1125" s="143">
        <f t="shared" si="254"/>
        <v>1.7857142857142857E-4</v>
      </c>
      <c r="Y1125" s="140">
        <f t="shared" si="289"/>
        <v>-5.7887676947758253E-2</v>
      </c>
      <c r="Z1125" s="140">
        <f t="shared" si="290"/>
        <v>-5.7887676947758253E-2</v>
      </c>
      <c r="AA1125" s="140">
        <f t="shared" si="291"/>
        <v>3.3509831424080221E-3</v>
      </c>
      <c r="AB1125" s="145">
        <f t="shared" si="292"/>
        <v>4.9659014978332845</v>
      </c>
      <c r="AC1125" s="145">
        <f t="shared" si="293"/>
        <v>-3.8836137188947989E-2</v>
      </c>
      <c r="AD1125" s="145">
        <f t="shared" si="294"/>
        <v>-5.9910009039258943E-2</v>
      </c>
      <c r="AE1125" s="145">
        <f t="shared" si="295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3"/>
        <v>69482168.659104601</v>
      </c>
      <c r="E1126" s="67">
        <f t="shared" si="283"/>
        <v>68111189.483541399</v>
      </c>
      <c r="F1126" s="67">
        <f t="shared" si="284"/>
        <v>1370979.1755632013</v>
      </c>
      <c r="G1126" s="70">
        <f t="shared" si="285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6"/>
        <v>1370979.1755632013</v>
      </c>
      <c r="K1126" s="85">
        <f>G1126</f>
        <v>2.012854548509227E-2</v>
      </c>
      <c r="L1126" s="70">
        <f t="shared" si="287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0"/>
        <v>6860969.4818738028</v>
      </c>
      <c r="R1126" s="70">
        <f t="shared" si="274"/>
        <v>0.10956304848867324</v>
      </c>
      <c r="S1126" s="67">
        <f t="shared" si="281"/>
        <v>10757601.049104601</v>
      </c>
      <c r="T1126" s="70">
        <f t="shared" si="275"/>
        <v>0.18318740327809119</v>
      </c>
      <c r="U1126" s="67">
        <f t="shared" si="282"/>
        <v>32274918.249104604</v>
      </c>
      <c r="V1126" s="70">
        <f t="shared" si="276"/>
        <v>0.86743626291799958</v>
      </c>
      <c r="W1126" s="87">
        <f t="shared" si="288"/>
        <v>0.67451138460976845</v>
      </c>
      <c r="X1126" s="142">
        <f t="shared" si="254"/>
        <v>1.7857142857142857E-4</v>
      </c>
      <c r="Y1126" s="139">
        <f t="shared" si="289"/>
        <v>1.9949974056520842E-2</v>
      </c>
      <c r="Z1126" s="139">
        <f t="shared" si="290"/>
        <v>0</v>
      </c>
      <c r="AA1126" s="139">
        <f t="shared" si="291"/>
        <v>0</v>
      </c>
      <c r="AB1126" s="144">
        <f t="shared" si="292"/>
        <v>5.2715257951208496</v>
      </c>
      <c r="AC1126" s="144">
        <f t="shared" si="293"/>
        <v>-3.7398831498316021E-2</v>
      </c>
      <c r="AD1126" s="144">
        <f t="shared" si="294"/>
        <v>-5.9655363375064926E-2</v>
      </c>
      <c r="AE1126" s="144">
        <f t="shared" si="295"/>
        <v>-4.7645244209441578E-2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3"/>
        <v>67877466.562653303</v>
      </c>
      <c r="E1127" s="67">
        <f t="shared" si="283"/>
        <v>68111189.483541399</v>
      </c>
      <c r="F1127" s="67">
        <f t="shared" si="284"/>
        <v>-24702.096451297402</v>
      </c>
      <c r="G1127" s="70">
        <f t="shared" si="285"/>
        <v>-3.5551706183051848E-4</v>
      </c>
      <c r="H1127" s="67">
        <f t="shared" ref="H1127:H1146" si="298">IF(WEEKNUM(A1127)=WEEKNUM(A1126),H1126+F1127,F1127)</f>
        <v>-24702.096451297402</v>
      </c>
      <c r="I1127" s="70">
        <f t="shared" ref="I1127:I1146" si="299">IF(WEEKNUM(A1127)=WEEKNUM(A1126),I1126+G1127,G1127)</f>
        <v>-3.5551706183051848E-4</v>
      </c>
      <c r="J1127" s="67">
        <f t="shared" si="286"/>
        <v>1346277.0791119039</v>
      </c>
      <c r="K1127" s="70">
        <f t="shared" ref="K1127:K1146" si="300">(1+K1126)*(1+G1127)-1</f>
        <v>1.9765872381912075E-2</v>
      </c>
      <c r="L1127" s="70">
        <f t="shared" si="287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0"/>
        <v>7341948.0386558026</v>
      </c>
      <c r="R1127" s="70">
        <f t="shared" si="274"/>
        <v>0.11819828946319332</v>
      </c>
      <c r="S1127" s="67">
        <f t="shared" si="281"/>
        <v>10062543.802653305</v>
      </c>
      <c r="T1127" s="70">
        <f t="shared" si="275"/>
        <v>0.16941757535932025</v>
      </c>
      <c r="U1127" s="67">
        <f t="shared" si="282"/>
        <v>33567832.902653307</v>
      </c>
      <c r="V1127" s="70">
        <f t="shared" si="276"/>
        <v>0.93530720376412191</v>
      </c>
      <c r="W1127" s="87">
        <f t="shared" si="288"/>
        <v>0.67218969724974598</v>
      </c>
      <c r="X1127" s="142">
        <f t="shared" si="254"/>
        <v>1.7857142857142857E-4</v>
      </c>
      <c r="Y1127" s="139">
        <f t="shared" si="289"/>
        <v>-5.3408849040194708E-4</v>
      </c>
      <c r="Z1127" s="139">
        <f t="shared" si="290"/>
        <v>-5.3408849040194708E-4</v>
      </c>
      <c r="AA1127" s="139">
        <f t="shared" si="291"/>
        <v>2.8525051557983069E-7</v>
      </c>
      <c r="AB1127" s="144">
        <f t="shared" si="292"/>
        <v>4.936307873974644</v>
      </c>
      <c r="AC1127" s="144">
        <f t="shared" si="293"/>
        <v>-3.4568964055079324E-2</v>
      </c>
      <c r="AD1127" s="144">
        <f t="shared" si="294"/>
        <v>-5.946046131259957E-2</v>
      </c>
      <c r="AE1127" s="144">
        <f t="shared" si="295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3"/>
        <v>71021314.965238407</v>
      </c>
      <c r="E1128" s="67">
        <f t="shared" si="283"/>
        <v>68111189.483541399</v>
      </c>
      <c r="F1128" s="67">
        <f t="shared" si="284"/>
        <v>3143848.4025851041</v>
      </c>
      <c r="G1128" s="70">
        <f t="shared" si="285"/>
        <v>4.6316525377140011E-2</v>
      </c>
      <c r="H1128" s="67">
        <f t="shared" si="298"/>
        <v>3119146.3061338067</v>
      </c>
      <c r="I1128" s="70">
        <f t="shared" si="299"/>
        <v>4.5961008315309491E-2</v>
      </c>
      <c r="J1128" s="67">
        <f t="shared" si="286"/>
        <v>4490125.481697008</v>
      </c>
      <c r="K1128" s="70">
        <f t="shared" si="300"/>
        <v>6.6997884288830356E-2</v>
      </c>
      <c r="L1128" s="70">
        <f t="shared" si="287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0"/>
        <v>8500126.8974650055</v>
      </c>
      <c r="R1128" s="70">
        <f t="shared" si="274"/>
        <v>0.13595594006068484</v>
      </c>
      <c r="S1128" s="67">
        <f t="shared" si="281"/>
        <v>11358265.175238408</v>
      </c>
      <c r="T1128" s="70">
        <f t="shared" si="275"/>
        <v>0.19037352624810244</v>
      </c>
      <c r="U1128" s="67">
        <f t="shared" si="282"/>
        <v>34111237.405238405</v>
      </c>
      <c r="V1128" s="70">
        <f t="shared" si="276"/>
        <v>0.92417138245749064</v>
      </c>
      <c r="W1128" s="87">
        <f t="shared" si="288"/>
        <v>0.76913730750536691</v>
      </c>
      <c r="X1128" s="142">
        <f t="shared" si="254"/>
        <v>1.7857142857142857E-4</v>
      </c>
      <c r="Y1128" s="139">
        <f t="shared" si="289"/>
        <v>4.613795394856858E-2</v>
      </c>
      <c r="Z1128" s="139">
        <f t="shared" si="290"/>
        <v>0</v>
      </c>
      <c r="AA1128" s="139">
        <f t="shared" si="291"/>
        <v>0</v>
      </c>
      <c r="AB1128" s="144">
        <f t="shared" si="292"/>
        <v>5.3278165136432127</v>
      </c>
      <c r="AC1128" s="144">
        <f t="shared" si="293"/>
        <v>-3.4667675849285359E-2</v>
      </c>
      <c r="AD1128" s="144">
        <f t="shared" si="294"/>
        <v>-5.952119651875315E-2</v>
      </c>
      <c r="AE1128" s="144">
        <f t="shared" si="295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3"/>
        <v>74575517.459259003</v>
      </c>
      <c r="E1129" s="67">
        <f t="shared" si="283"/>
        <v>68111189.483541399</v>
      </c>
      <c r="F1129" s="67">
        <f t="shared" si="284"/>
        <v>3554202.4940205961</v>
      </c>
      <c r="G1129" s="70">
        <f t="shared" si="285"/>
        <v>5.0044166258540988E-2</v>
      </c>
      <c r="H1129" s="67">
        <f t="shared" si="298"/>
        <v>6673348.8001544029</v>
      </c>
      <c r="I1129" s="70">
        <f t="shared" si="299"/>
        <v>9.600517457385048E-2</v>
      </c>
      <c r="J1129" s="67">
        <f t="shared" si="286"/>
        <v>8044327.9757176042</v>
      </c>
      <c r="K1129" s="70">
        <f t="shared" si="300"/>
        <v>0.12039490380769191</v>
      </c>
      <c r="L1129" s="70">
        <f t="shared" si="287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0"/>
        <v>9553033.6337857023</v>
      </c>
      <c r="R1129" s="70">
        <f t="shared" si="274"/>
        <v>0.14691892821915228</v>
      </c>
      <c r="S1129" s="67">
        <f t="shared" si="281"/>
        <v>13631840.5045911</v>
      </c>
      <c r="T1129" s="70">
        <f t="shared" si="275"/>
        <v>0.2236793246776192</v>
      </c>
      <c r="U1129" s="67">
        <f t="shared" si="282"/>
        <v>37421466.699259005</v>
      </c>
      <c r="V1129" s="70">
        <f t="shared" si="276"/>
        <v>1.0071974908196795</v>
      </c>
      <c r="W1129" s="87">
        <f t="shared" si="288"/>
        <v>0.87234660350538795</v>
      </c>
      <c r="X1129" s="142">
        <f t="shared" si="254"/>
        <v>1.7857142857142857E-4</v>
      </c>
      <c r="Y1129" s="139">
        <f t="shared" si="289"/>
        <v>4.9865594829969558E-2</v>
      </c>
      <c r="Z1129" s="139">
        <f t="shared" si="290"/>
        <v>0</v>
      </c>
      <c r="AA1129" s="139">
        <f t="shared" si="291"/>
        <v>0</v>
      </c>
      <c r="AB1129" s="144">
        <f t="shared" si="292"/>
        <v>5.6755204950590157</v>
      </c>
      <c r="AC1129" s="144">
        <f t="shared" si="293"/>
        <v>-3.5387361614423775E-2</v>
      </c>
      <c r="AD1129" s="144">
        <f t="shared" si="294"/>
        <v>-5.9552178848741415E-2</v>
      </c>
      <c r="AE1129" s="144">
        <f t="shared" si="295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3"/>
        <v>77248829.062246501</v>
      </c>
      <c r="E1130" s="67">
        <f t="shared" si="283"/>
        <v>68111189.483541399</v>
      </c>
      <c r="F1130" s="67">
        <f t="shared" si="284"/>
        <v>2673311.602987498</v>
      </c>
      <c r="G1130" s="70">
        <f t="shared" si="285"/>
        <v>3.5847040611524314E-2</v>
      </c>
      <c r="H1130" s="67">
        <f t="shared" si="298"/>
        <v>9346660.4031419009</v>
      </c>
      <c r="I1130" s="70">
        <f t="shared" si="299"/>
        <v>0.13185221518537479</v>
      </c>
      <c r="J1130" s="67">
        <f t="shared" si="286"/>
        <v>10717639.578705102</v>
      </c>
      <c r="K1130" s="70">
        <f t="shared" si="300"/>
        <v>0.16055774542543122</v>
      </c>
      <c r="L1130" s="70">
        <f t="shared" si="287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0"/>
        <v>12180683.997671202</v>
      </c>
      <c r="R1130" s="70">
        <f t="shared" si="274"/>
        <v>0.18719888181202612</v>
      </c>
      <c r="S1130" s="67">
        <f t="shared" si="281"/>
        <v>13387008.4717751</v>
      </c>
      <c r="T1130" s="70">
        <f t="shared" si="275"/>
        <v>0.20962459804618425</v>
      </c>
      <c r="U1130" s="67">
        <f t="shared" si="282"/>
        <v>39241500.742246501</v>
      </c>
      <c r="V1130" s="70">
        <f t="shared" si="276"/>
        <v>1.0324719594036043</v>
      </c>
      <c r="W1130" s="87">
        <f t="shared" si="288"/>
        <v>0.94579787362060619</v>
      </c>
      <c r="X1130" s="142">
        <f t="shared" si="254"/>
        <v>1.7857142857142857E-4</v>
      </c>
      <c r="Y1130" s="139">
        <f t="shared" si="289"/>
        <v>3.5668469182952883E-2</v>
      </c>
      <c r="Z1130" s="139">
        <f t="shared" si="290"/>
        <v>0</v>
      </c>
      <c r="AA1130" s="139">
        <f t="shared" si="291"/>
        <v>0</v>
      </c>
      <c r="AB1130" s="144">
        <f t="shared" si="292"/>
        <v>5.9464685510856379</v>
      </c>
      <c r="AC1130" s="144">
        <f t="shared" si="293"/>
        <v>-3.5244490751009869E-2</v>
      </c>
      <c r="AD1130" s="144">
        <f t="shared" si="294"/>
        <v>-5.956819046273109E-2</v>
      </c>
      <c r="AE1130" s="144">
        <f t="shared" si="295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1">B1131</f>
        <v>77271761.294160798</v>
      </c>
      <c r="E1131" s="67">
        <f t="shared" si="283"/>
        <v>68111189.483541399</v>
      </c>
      <c r="F1131" s="67">
        <f t="shared" si="284"/>
        <v>22932.231914296746</v>
      </c>
      <c r="G1131" s="70">
        <f t="shared" si="285"/>
        <v>2.9686187082289794E-4</v>
      </c>
      <c r="H1131" s="67">
        <f t="shared" si="298"/>
        <v>9369592.6350561976</v>
      </c>
      <c r="I1131" s="70">
        <f t="shared" si="299"/>
        <v>0.13214907705619769</v>
      </c>
      <c r="J1131" s="67">
        <f t="shared" si="286"/>
        <v>10740571.810619399</v>
      </c>
      <c r="K1131" s="70">
        <f t="shared" si="300"/>
        <v>0.16090227076893626</v>
      </c>
      <c r="L1131" s="70">
        <f t="shared" si="287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0"/>
        <v>10332846.775167301</v>
      </c>
      <c r="R1131" s="70">
        <f t="shared" si="274"/>
        <v>0.15436232943746678</v>
      </c>
      <c r="S1131" s="67">
        <f t="shared" si="281"/>
        <v>13227141.426893599</v>
      </c>
      <c r="T1131" s="70">
        <f t="shared" si="275"/>
        <v>0.2065300950229218</v>
      </c>
      <c r="U1131" s="67">
        <f t="shared" si="282"/>
        <v>38933139.424160801</v>
      </c>
      <c r="V1131" s="70">
        <f t="shared" si="276"/>
        <v>1.0155070142108058</v>
      </c>
      <c r="W1131" s="87">
        <f t="shared" si="288"/>
        <v>0.94431925114297699</v>
      </c>
      <c r="X1131" s="142">
        <f t="shared" si="254"/>
        <v>1.7857142857142857E-4</v>
      </c>
      <c r="Y1131" s="139">
        <f t="shared" si="289"/>
        <v>1.1829044225146937E-4</v>
      </c>
      <c r="Z1131" s="139">
        <f t="shared" si="290"/>
        <v>0</v>
      </c>
      <c r="AA1131" s="139">
        <f t="shared" si="291"/>
        <v>0</v>
      </c>
      <c r="AB1131" s="144">
        <f t="shared" si="292"/>
        <v>5.9412468525464606</v>
      </c>
      <c r="AC1131" s="144">
        <f t="shared" si="293"/>
        <v>-3.5262191299476976E-2</v>
      </c>
      <c r="AD1131" s="144">
        <f t="shared" si="294"/>
        <v>-5.9612766935976003E-2</v>
      </c>
      <c r="AE1131" s="144">
        <f t="shared" si="295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1"/>
        <v>76190741.105237097</v>
      </c>
      <c r="E1132" s="67">
        <f t="shared" si="283"/>
        <v>68111189.483541399</v>
      </c>
      <c r="F1132" s="67">
        <f t="shared" si="284"/>
        <v>-1081020.1889237016</v>
      </c>
      <c r="G1132" s="70">
        <f t="shared" si="285"/>
        <v>-1.3989847918807452E-2</v>
      </c>
      <c r="H1132" s="67">
        <f t="shared" si="298"/>
        <v>-1081020.1889237016</v>
      </c>
      <c r="I1132" s="70">
        <f t="shared" si="299"/>
        <v>-1.3989847918807452E-2</v>
      </c>
      <c r="J1132" s="67">
        <f t="shared" si="286"/>
        <v>9659551.6216956973</v>
      </c>
      <c r="K1132" s="70">
        <f t="shared" si="300"/>
        <v>0.14466142455228059</v>
      </c>
      <c r="L1132" s="70">
        <f t="shared" si="287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0"/>
        <v>10590167.0412554</v>
      </c>
      <c r="R1132" s="70">
        <f t="shared" si="274"/>
        <v>0.16143406048438805</v>
      </c>
      <c r="S1132" s="67">
        <f t="shared" si="281"/>
        <v>11547191.650708795</v>
      </c>
      <c r="T1132" s="70">
        <f t="shared" si="275"/>
        <v>0.17862867599545015</v>
      </c>
      <c r="U1132" s="67">
        <f t="shared" si="282"/>
        <v>37407543.645237096</v>
      </c>
      <c r="V1132" s="70">
        <f t="shared" si="276"/>
        <v>0.96452964415371578</v>
      </c>
      <c r="W1132" s="87">
        <f t="shared" si="288"/>
        <v>0.9116358336800312</v>
      </c>
      <c r="X1132" s="142">
        <f t="shared" si="254"/>
        <v>1.7857142857142857E-4</v>
      </c>
      <c r="Y1132" s="139">
        <f t="shared" si="289"/>
        <v>-1.4168419347378881E-2</v>
      </c>
      <c r="Z1132" s="139">
        <f t="shared" si="290"/>
        <v>-1.4168419347378881E-2</v>
      </c>
      <c r="AA1132" s="139">
        <f t="shared" si="291"/>
        <v>2.0074410680318019E-4</v>
      </c>
      <c r="AB1132" s="144">
        <f t="shared" si="292"/>
        <v>5.8154986650022984</v>
      </c>
      <c r="AC1132" s="144">
        <f t="shared" si="293"/>
        <v>-3.6452071500540015E-2</v>
      </c>
      <c r="AD1132" s="144">
        <f t="shared" si="294"/>
        <v>-5.9862841285837229E-2</v>
      </c>
      <c r="AE1132" s="144">
        <f t="shared" si="295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1"/>
        <v>75307420.693779007</v>
      </c>
      <c r="E1133" s="67">
        <f t="shared" si="283"/>
        <v>68111189.483541399</v>
      </c>
      <c r="F1133" s="67">
        <f t="shared" si="284"/>
        <v>-883320.41145808995</v>
      </c>
      <c r="G1133" s="70">
        <f t="shared" si="285"/>
        <v>-1.1593540089576231E-2</v>
      </c>
      <c r="H1133" s="67">
        <f t="shared" si="298"/>
        <v>-1964340.6003817916</v>
      </c>
      <c r="I1133" s="70">
        <f t="shared" si="299"/>
        <v>-2.5583388008383681E-2</v>
      </c>
      <c r="J1133" s="67">
        <f t="shared" si="286"/>
        <v>8776231.2102376074</v>
      </c>
      <c r="K1133" s="70">
        <f t="shared" si="300"/>
        <v>0.13139074643774218</v>
      </c>
      <c r="L1133" s="70">
        <f t="shared" si="287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0"/>
        <v>9841267.1732776091</v>
      </c>
      <c r="R1133" s="70">
        <f t="shared" si="274"/>
        <v>0.15032603328673824</v>
      </c>
      <c r="S1133" s="67">
        <f t="shared" si="281"/>
        <v>10286935.600376107</v>
      </c>
      <c r="T1133" s="70">
        <f t="shared" si="275"/>
        <v>0.15821068676431388</v>
      </c>
      <c r="U1133" s="67">
        <f t="shared" si="282"/>
        <v>35641902.803779006</v>
      </c>
      <c r="V1133" s="70">
        <f t="shared" si="276"/>
        <v>0.8985613878185269</v>
      </c>
      <c r="W1133" s="87">
        <f t="shared" si="288"/>
        <v>0.88440586039614566</v>
      </c>
      <c r="X1133" s="142">
        <f t="shared" si="254"/>
        <v>1.7857142857142857E-4</v>
      </c>
      <c r="Y1133" s="139">
        <f t="shared" si="289"/>
        <v>-1.177211151814766E-2</v>
      </c>
      <c r="Z1133" s="139">
        <f t="shared" si="290"/>
        <v>-1.177211151814766E-2</v>
      </c>
      <c r="AA1133" s="139">
        <f t="shared" si="291"/>
        <v>1.385826095957048E-4</v>
      </c>
      <c r="AB1133" s="144">
        <f t="shared" si="292"/>
        <v>5.6039699461622261</v>
      </c>
      <c r="AC1133" s="144">
        <f t="shared" si="293"/>
        <v>-3.5817078432750366E-2</v>
      </c>
      <c r="AD1133" s="144">
        <f t="shared" si="294"/>
        <v>-6.0077027875337988E-2</v>
      </c>
      <c r="AE1133" s="144">
        <f t="shared" si="295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1"/>
        <v>74224569.205802605</v>
      </c>
      <c r="E1134" s="67">
        <f t="shared" si="283"/>
        <v>68111189.483541399</v>
      </c>
      <c r="F1134" s="67">
        <f t="shared" si="284"/>
        <v>-1082851.487976402</v>
      </c>
      <c r="G1134" s="70">
        <f t="shared" si="285"/>
        <v>-1.4379080813026095E-2</v>
      </c>
      <c r="H1134" s="67">
        <f t="shared" si="298"/>
        <v>-3047192.0883581936</v>
      </c>
      <c r="I1134" s="70">
        <f t="shared" si="299"/>
        <v>-3.9962468821409775E-2</v>
      </c>
      <c r="J1134" s="67">
        <f t="shared" si="286"/>
        <v>7693379.7222612053</v>
      </c>
      <c r="K1134" s="70">
        <f t="shared" si="300"/>
        <v>0.11512238746360404</v>
      </c>
      <c r="L1134" s="70">
        <f t="shared" si="287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0"/>
        <v>10990639.846000001</v>
      </c>
      <c r="R1134" s="70">
        <f t="shared" si="274"/>
        <v>0.17380921852037678</v>
      </c>
      <c r="S1134" s="67">
        <f t="shared" si="281"/>
        <v>9133484.270540908</v>
      </c>
      <c r="T1134" s="70">
        <f t="shared" si="275"/>
        <v>0.14031851335132745</v>
      </c>
      <c r="U1134" s="67">
        <f t="shared" si="282"/>
        <v>34887189.045802608</v>
      </c>
      <c r="V1134" s="70">
        <f t="shared" si="276"/>
        <v>0.88687118724996994</v>
      </c>
      <c r="W1134" s="87">
        <f t="shared" si="288"/>
        <v>0.85121762484392482</v>
      </c>
      <c r="X1134" s="142">
        <f t="shared" si="254"/>
        <v>1.7857142857142857E-4</v>
      </c>
      <c r="Y1134" s="139">
        <f t="shared" si="289"/>
        <v>-1.4557652241597524E-2</v>
      </c>
      <c r="Z1134" s="139">
        <f t="shared" si="290"/>
        <v>-1.4557652241597524E-2</v>
      </c>
      <c r="AA1134" s="139">
        <f t="shared" si="291"/>
        <v>2.1192523878728941E-4</v>
      </c>
      <c r="AB1134" s="144">
        <f t="shared" si="292"/>
        <v>5.5038684613839823</v>
      </c>
      <c r="AC1134" s="144">
        <f t="shared" si="293"/>
        <v>-3.655043367618787E-2</v>
      </c>
      <c r="AD1134" s="144">
        <f t="shared" si="294"/>
        <v>-6.0360882118782586E-2</v>
      </c>
      <c r="AE1134" s="144">
        <f t="shared" si="295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1"/>
        <v>73440036.406532899</v>
      </c>
      <c r="E1135" s="67">
        <f t="shared" si="283"/>
        <v>68111189.483541399</v>
      </c>
      <c r="F1135" s="67">
        <f t="shared" si="284"/>
        <v>-784532.79926970601</v>
      </c>
      <c r="G1135" s="70">
        <f t="shared" si="285"/>
        <v>-1.0569718459320801E-2</v>
      </c>
      <c r="H1135" s="67">
        <f t="shared" si="298"/>
        <v>-3831724.8876278996</v>
      </c>
      <c r="I1135" s="70">
        <f t="shared" si="299"/>
        <v>-5.0532187280730577E-2</v>
      </c>
      <c r="J1135" s="67">
        <f t="shared" si="286"/>
        <v>6908846.9229914993</v>
      </c>
      <c r="K1135" s="70">
        <f t="shared" si="300"/>
        <v>0.1033358577804282</v>
      </c>
      <c r="L1135" s="70">
        <f t="shared" si="287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0"/>
        <v>8445786.8056652993</v>
      </c>
      <c r="R1135" s="70">
        <f t="shared" si="274"/>
        <v>0.12994667770658525</v>
      </c>
      <c r="S1135" s="67">
        <f t="shared" si="281"/>
        <v>6036786.8875288963</v>
      </c>
      <c r="T1135" s="70">
        <f t="shared" si="275"/>
        <v>8.9562253016107998E-2</v>
      </c>
      <c r="U1135" s="67">
        <f t="shared" si="282"/>
        <v>34120937.2565329</v>
      </c>
      <c r="V1135" s="70">
        <f t="shared" si="276"/>
        <v>0.86779549873112749</v>
      </c>
      <c r="W1135" s="87">
        <f t="shared" si="288"/>
        <v>0.82652828273356793</v>
      </c>
      <c r="X1135" s="142">
        <f t="shared" si="254"/>
        <v>1.7857142857142857E-4</v>
      </c>
      <c r="Y1135" s="139">
        <f t="shared" si="289"/>
        <v>-1.074828988789223E-2</v>
      </c>
      <c r="Z1135" s="139">
        <f t="shared" si="290"/>
        <v>-1.074828988789223E-2</v>
      </c>
      <c r="AA1135" s="139">
        <f t="shared" si="291"/>
        <v>1.1552573551416635E-4</v>
      </c>
      <c r="AB1135" s="144">
        <f t="shared" si="292"/>
        <v>5.3417009009594816</v>
      </c>
      <c r="AC1135" s="144">
        <f t="shared" si="293"/>
        <v>-3.4423493239986384E-2</v>
      </c>
      <c r="AD1135" s="144">
        <f t="shared" si="294"/>
        <v>-6.0526185131806638E-2</v>
      </c>
      <c r="AE1135" s="144">
        <f t="shared" si="295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1"/>
        <v>71031633.038140401</v>
      </c>
      <c r="E1136" s="67">
        <f t="shared" si="283"/>
        <v>68111189.483541399</v>
      </c>
      <c r="F1136" s="67">
        <f t="shared" si="284"/>
        <v>-2408403.3683924973</v>
      </c>
      <c r="G1136" s="70">
        <f t="shared" si="285"/>
        <v>-3.279414725587277E-2</v>
      </c>
      <c r="H1136" s="67">
        <f t="shared" si="298"/>
        <v>-6240128.2560203969</v>
      </c>
      <c r="I1136" s="70">
        <f t="shared" si="299"/>
        <v>-8.3326334536603347E-2</v>
      </c>
      <c r="J1136" s="67">
        <f t="shared" si="286"/>
        <v>4500443.554599002</v>
      </c>
      <c r="K1136" s="70">
        <f t="shared" si="300"/>
        <v>6.7152899187692183E-2</v>
      </c>
      <c r="L1136" s="70">
        <f t="shared" si="287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0"/>
        <v>5263140.8263311982</v>
      </c>
      <c r="R1136" s="70">
        <f t="shared" si="274"/>
        <v>8.0025262087218163E-2</v>
      </c>
      <c r="S1136" s="67">
        <f t="shared" si="281"/>
        <v>5587280.0571089983</v>
      </c>
      <c r="T1136" s="70">
        <f t="shared" si="275"/>
        <v>8.5374517473317105E-2</v>
      </c>
      <c r="U1136" s="67">
        <f t="shared" si="282"/>
        <v>32133343.928140402</v>
      </c>
      <c r="V1136" s="70">
        <f t="shared" si="276"/>
        <v>0.82608630516552817</v>
      </c>
      <c r="W1136" s="87">
        <f t="shared" si="288"/>
        <v>0.75305577363783349</v>
      </c>
      <c r="X1136" s="142">
        <f t="shared" si="254"/>
        <v>1.7857142857142857E-4</v>
      </c>
      <c r="Y1136" s="139">
        <f t="shared" si="289"/>
        <v>-3.2972718684444201E-2</v>
      </c>
      <c r="Z1136" s="139">
        <f t="shared" si="290"/>
        <v>-3.2972718684444201E-2</v>
      </c>
      <c r="AA1136" s="139">
        <f t="shared" si="291"/>
        <v>1.0872001774434956E-3</v>
      </c>
      <c r="AB1136" s="144">
        <f t="shared" si="292"/>
        <v>5.0492266958750474</v>
      </c>
      <c r="AC1136" s="144">
        <f t="shared" si="293"/>
        <v>-3.7260695893699694E-2</v>
      </c>
      <c r="AD1136" s="144">
        <f t="shared" si="294"/>
        <v>-6.1283142726150236E-2</v>
      </c>
      <c r="AE1136" s="144">
        <f t="shared" si="295"/>
        <v>-4.798603598783785E-2</v>
      </c>
    </row>
    <row r="1137" spans="1:31">
      <c r="A1137" s="88">
        <v>45614</v>
      </c>
      <c r="B1137" s="78">
        <v>72105957.2820701</v>
      </c>
      <c r="D1137" s="67">
        <f t="shared" si="301"/>
        <v>72105957.2820701</v>
      </c>
      <c r="E1137" s="67">
        <f t="shared" si="283"/>
        <v>68111189.483541399</v>
      </c>
      <c r="F1137" s="67">
        <f t="shared" si="284"/>
        <v>1074324.2439296991</v>
      </c>
      <c r="G1137" s="70">
        <f t="shared" si="285"/>
        <v>1.5124588834285158E-2</v>
      </c>
      <c r="H1137" s="67">
        <f t="shared" si="298"/>
        <v>1074324.2439296991</v>
      </c>
      <c r="I1137" s="70">
        <f t="shared" si="299"/>
        <v>1.5124588834285158E-2</v>
      </c>
      <c r="J1137" s="67">
        <f t="shared" si="286"/>
        <v>5574767.7985287011</v>
      </c>
      <c r="K1137" s="70">
        <f t="shared" si="300"/>
        <v>8.3293148011221563E-2</v>
      </c>
      <c r="L1137" s="70">
        <f t="shared" si="287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0"/>
        <v>4052602.007733494</v>
      </c>
      <c r="R1137" s="70">
        <f t="shared" si="274"/>
        <v>5.955036296736068E-2</v>
      </c>
      <c r="S1137" s="67">
        <f t="shared" si="281"/>
        <v>4953105.1044737995</v>
      </c>
      <c r="T1137" s="70">
        <f t="shared" si="275"/>
        <v>7.3758670612746755E-2</v>
      </c>
      <c r="U1137" s="67">
        <f t="shared" si="282"/>
        <v>33956317.432070099</v>
      </c>
      <c r="V1137" s="70">
        <f t="shared" si="276"/>
        <v>0.8900822541335236</v>
      </c>
      <c r="W1137" s="87">
        <f t="shared" si="288"/>
        <v>0.78317970980711282</v>
      </c>
      <c r="X1137" s="142">
        <f t="shared" si="254"/>
        <v>1.7857142857142857E-4</v>
      </c>
      <c r="Y1137" s="139">
        <f t="shared" si="289"/>
        <v>1.4946017405713729E-2</v>
      </c>
      <c r="Z1137" s="139">
        <f t="shared" si="290"/>
        <v>0</v>
      </c>
      <c r="AA1137" s="139">
        <f t="shared" si="291"/>
        <v>0</v>
      </c>
      <c r="AB1137" s="144">
        <f t="shared" si="292"/>
        <v>5.1809288736585231</v>
      </c>
      <c r="AC1137" s="144">
        <f t="shared" si="293"/>
        <v>-3.7226238266818375E-2</v>
      </c>
      <c r="AD1137" s="144">
        <f t="shared" si="294"/>
        <v>-6.0621489134243083E-2</v>
      </c>
      <c r="AE1137" s="144">
        <f t="shared" si="295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1"/>
        <v>74005933.2619057</v>
      </c>
      <c r="E1138" s="67">
        <f t="shared" si="283"/>
        <v>68111189.483541399</v>
      </c>
      <c r="F1138" s="67">
        <f t="shared" si="284"/>
        <v>1899975.9798355997</v>
      </c>
      <c r="G1138" s="70">
        <f t="shared" si="285"/>
        <v>2.6349778179951416E-2</v>
      </c>
      <c r="H1138" s="67">
        <f t="shared" si="298"/>
        <v>2974300.2237652987</v>
      </c>
      <c r="I1138" s="70">
        <f t="shared" si="299"/>
        <v>4.1474367014236575E-2</v>
      </c>
      <c r="J1138" s="67">
        <f t="shared" si="286"/>
        <v>7474743.7783643007</v>
      </c>
      <c r="K1138" s="70">
        <f t="shared" si="300"/>
        <v>0.11183768216517853</v>
      </c>
      <c r="L1138" s="70">
        <f t="shared" si="287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0"/>
        <v>6360676.8154426068</v>
      </c>
      <c r="R1138" s="70">
        <f t="shared" si="274"/>
        <v>9.4029901719371506E-2</v>
      </c>
      <c r="S1138" s="67">
        <f t="shared" si="281"/>
        <v>6929401.1306575984</v>
      </c>
      <c r="T1138" s="70">
        <f t="shared" si="275"/>
        <v>0.10330589418515101</v>
      </c>
      <c r="U1138" s="67">
        <f t="shared" si="282"/>
        <v>35451305.351905704</v>
      </c>
      <c r="V1138" s="70">
        <f t="shared" si="276"/>
        <v>0.91950842930351873</v>
      </c>
      <c r="W1138" s="87">
        <f t="shared" si="288"/>
        <v>0.83614712688909809</v>
      </c>
      <c r="X1138" s="142">
        <f t="shared" si="254"/>
        <v>1.7857142857142857E-4</v>
      </c>
      <c r="Y1138" s="139">
        <f t="shared" si="289"/>
        <v>2.6171206751379988E-2</v>
      </c>
      <c r="Z1138" s="139">
        <f t="shared" si="290"/>
        <v>0</v>
      </c>
      <c r="AA1138" s="139">
        <f t="shared" si="291"/>
        <v>0</v>
      </c>
      <c r="AB1138" s="144">
        <f t="shared" si="292"/>
        <v>5.3498719009250584</v>
      </c>
      <c r="AC1138" s="144">
        <f t="shared" si="293"/>
        <v>-3.7008988266937715E-2</v>
      </c>
      <c r="AD1138" s="144">
        <f t="shared" si="294"/>
        <v>-6.062165651023476E-2</v>
      </c>
      <c r="AE1138" s="144">
        <f t="shared" si="295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1"/>
        <v>73965902.057231799</v>
      </c>
      <c r="E1139" s="67">
        <f t="shared" si="283"/>
        <v>68111189.483541399</v>
      </c>
      <c r="F1139" s="67">
        <f t="shared" si="284"/>
        <v>-40031.2046739012</v>
      </c>
      <c r="G1139" s="70">
        <f t="shared" si="285"/>
        <v>-5.4091885487385816E-4</v>
      </c>
      <c r="H1139" s="67">
        <f t="shared" si="298"/>
        <v>2934269.0190913975</v>
      </c>
      <c r="I1139" s="70">
        <f t="shared" si="299"/>
        <v>4.0933448159362715E-2</v>
      </c>
      <c r="J1139" s="67">
        <f t="shared" si="286"/>
        <v>7434712.5736903995</v>
      </c>
      <c r="K1139" s="70">
        <f t="shared" si="300"/>
        <v>0.11123626819933619</v>
      </c>
      <c r="L1139" s="70">
        <f t="shared" si="287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0"/>
        <v>5323242.8730406016</v>
      </c>
      <c r="R1139" s="70">
        <f t="shared" si="274"/>
        <v>7.7550067790301686E-2</v>
      </c>
      <c r="S1139" s="67">
        <f t="shared" si="281"/>
        <v>4967083.6555528939</v>
      </c>
      <c r="T1139" s="70">
        <f t="shared" si="275"/>
        <v>7.1987952411544959E-2</v>
      </c>
      <c r="U1139" s="67">
        <f t="shared" si="282"/>
        <v>35936422.507231802</v>
      </c>
      <c r="V1139" s="70">
        <f t="shared" si="276"/>
        <v>0.94496224856255773</v>
      </c>
      <c r="W1139" s="87">
        <f t="shared" si="288"/>
        <v>0.83319483680495965</v>
      </c>
      <c r="X1139" s="142">
        <f t="shared" si="254"/>
        <v>1.7857142857142857E-4</v>
      </c>
      <c r="Y1139" s="139">
        <f t="shared" si="289"/>
        <v>-7.194902834452867E-4</v>
      </c>
      <c r="Z1139" s="139">
        <f t="shared" si="290"/>
        <v>-7.194902834452867E-4</v>
      </c>
      <c r="AA1139" s="139">
        <f t="shared" si="291"/>
        <v>5.1766626797217896E-7</v>
      </c>
      <c r="AB1139" s="144">
        <f t="shared" si="292"/>
        <v>5.2796076252657986</v>
      </c>
      <c r="AC1139" s="144">
        <f t="shared" si="293"/>
        <v>-3.6756458748838997E-2</v>
      </c>
      <c r="AD1139" s="144">
        <f t="shared" si="294"/>
        <v>-6.0614400681367017E-2</v>
      </c>
      <c r="AE1139" s="144">
        <f t="shared" si="295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1"/>
        <v>75356816.030168399</v>
      </c>
      <c r="E1140" s="67">
        <f t="shared" si="283"/>
        <v>68111189.483541399</v>
      </c>
      <c r="F1140" s="67">
        <f t="shared" si="284"/>
        <v>1390913.9729366004</v>
      </c>
      <c r="G1140" s="70">
        <f t="shared" si="285"/>
        <v>1.8804799701629651E-2</v>
      </c>
      <c r="H1140" s="67">
        <f t="shared" si="298"/>
        <v>4325182.992027998</v>
      </c>
      <c r="I1140" s="70">
        <f t="shared" si="299"/>
        <v>5.9738247860992369E-2</v>
      </c>
      <c r="J1140" s="67">
        <f t="shared" si="286"/>
        <v>8825626.546627</v>
      </c>
      <c r="K1140" s="70">
        <f t="shared" si="300"/>
        <v>0.13213284364401101</v>
      </c>
      <c r="L1140" s="70">
        <f t="shared" si="287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0"/>
        <v>6053673.7073881924</v>
      </c>
      <c r="R1140" s="70">
        <f t="shared" si="274"/>
        <v>8.7350638145571174E-2</v>
      </c>
      <c r="S1140" s="67">
        <f t="shared" si="281"/>
        <v>13005417.835131302</v>
      </c>
      <c r="T1140" s="70">
        <f t="shared" si="275"/>
        <v>0.20858261741701373</v>
      </c>
      <c r="U1140" s="67">
        <f t="shared" si="282"/>
        <v>38054179.140168399</v>
      </c>
      <c r="V1140" s="70">
        <f t="shared" si="276"/>
        <v>1.0201471615099111</v>
      </c>
      <c r="W1140" s="87">
        <f t="shared" si="288"/>
        <v>0.87042308778560828</v>
      </c>
      <c r="X1140" s="142">
        <f t="shared" si="254"/>
        <v>1.7857142857142857E-4</v>
      </c>
      <c r="Y1140" s="139">
        <f t="shared" si="289"/>
        <v>1.8626228273058223E-2</v>
      </c>
      <c r="Z1140" s="139">
        <f t="shared" si="290"/>
        <v>0</v>
      </c>
      <c r="AA1140" s="139">
        <f t="shared" si="291"/>
        <v>0</v>
      </c>
      <c r="AB1140" s="144">
        <f t="shared" si="292"/>
        <v>5.4708227525235325</v>
      </c>
      <c r="AC1140" s="144">
        <f t="shared" si="293"/>
        <v>-3.6742082914517901E-2</v>
      </c>
      <c r="AD1140" s="144">
        <f t="shared" si="294"/>
        <v>-6.0593865949893126E-2</v>
      </c>
      <c r="AE1140" s="144">
        <f t="shared" si="295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1"/>
        <v>75131531.646461993</v>
      </c>
      <c r="E1141" s="67">
        <f t="shared" si="283"/>
        <v>68111189.483541399</v>
      </c>
      <c r="F1141" s="67">
        <f t="shared" si="284"/>
        <v>-225284.38370640576</v>
      </c>
      <c r="G1141" s="70">
        <f t="shared" si="285"/>
        <v>-2.9895687686196195E-3</v>
      </c>
      <c r="H1141" s="67">
        <f t="shared" si="298"/>
        <v>4099898.6083215922</v>
      </c>
      <c r="I1141" s="70">
        <f t="shared" si="299"/>
        <v>5.6748679092372752E-2</v>
      </c>
      <c r="J1141" s="67">
        <f t="shared" si="286"/>
        <v>8600342.1629205942</v>
      </c>
      <c r="K1141" s="70">
        <f t="shared" si="300"/>
        <v>0.12874825465272433</v>
      </c>
      <c r="L1141" s="70">
        <f t="shared" si="287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2">B1141-C1141-D1110</f>
        <v>5225356.0610177964</v>
      </c>
      <c r="R1141" s="70">
        <f t="shared" si="274"/>
        <v>7.4748132296709638E-2</v>
      </c>
      <c r="S1141" s="67">
        <f t="shared" ref="S1141:S1154" si="303">B1141-C1141-D1050</f>
        <v>13681284.529838093</v>
      </c>
      <c r="T1141" s="70">
        <f t="shared" si="275"/>
        <v>0.22264002460190183</v>
      </c>
      <c r="U1141" s="67">
        <f t="shared" ref="U1141:U1154" si="304">B1141-C1141-D775</f>
        <v>36874368.466461994</v>
      </c>
      <c r="V1141" s="70">
        <f t="shared" si="276"/>
        <v>0.96385527314108588</v>
      </c>
      <c r="W1141" s="87">
        <f t="shared" si="288"/>
        <v>0.86225320762102453</v>
      </c>
      <c r="X1141" s="142">
        <f t="shared" si="254"/>
        <v>1.7857142857142857E-4</v>
      </c>
      <c r="Y1141" s="139">
        <f t="shared" si="289"/>
        <v>-3.1681401971910481E-3</v>
      </c>
      <c r="Z1141" s="139">
        <f t="shared" si="290"/>
        <v>-3.1681401971910481E-3</v>
      </c>
      <c r="AA1141" s="139">
        <f t="shared" si="291"/>
        <v>1.0037112309057733E-5</v>
      </c>
      <c r="AB1141" s="144">
        <f t="shared" si="292"/>
        <v>5.4749686429766031</v>
      </c>
      <c r="AC1141" s="144">
        <f t="shared" si="293"/>
        <v>-3.7147734270804179E-2</v>
      </c>
      <c r="AD1141" s="144">
        <f t="shared" si="294"/>
        <v>-5.7221525694881883E-2</v>
      </c>
      <c r="AE1141" s="144">
        <f t="shared" si="295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1"/>
        <v>73781182.403537303</v>
      </c>
      <c r="E1142" s="67">
        <f t="shared" ref="E1142:E1154" si="305">IF(MONTH(A1142)=MONTH(A1141),E1141,D1141)</f>
        <v>68111189.483541399</v>
      </c>
      <c r="F1142" s="67">
        <f t="shared" ref="F1142:F1154" si="306">B1142-C1142-D1141</f>
        <v>-1350349.2429246902</v>
      </c>
      <c r="G1142" s="70">
        <f t="shared" ref="G1142:G1154" si="307">F1142/B1141</f>
        <v>-1.7973136089902666E-2</v>
      </c>
      <c r="H1142" s="67">
        <f t="shared" si="298"/>
        <v>-1350349.2429246902</v>
      </c>
      <c r="I1142" s="70">
        <f t="shared" si="299"/>
        <v>-1.7973136089902666E-2</v>
      </c>
      <c r="J1142" s="67">
        <f t="shared" ref="J1142:J1154" si="308">IF(MONTH(A1142)=MONTH(A1141),J1141+F1142,F1142)</f>
        <v>7249992.919995904</v>
      </c>
      <c r="K1142" s="70">
        <f t="shared" si="300"/>
        <v>0.10846110866061087</v>
      </c>
      <c r="L1142" s="70">
        <f t="shared" si="287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2"/>
        <v>2213021.8057737052</v>
      </c>
      <c r="R1142" s="70">
        <f t="shared" si="274"/>
        <v>3.0921876254604467E-2</v>
      </c>
      <c r="S1142" s="67">
        <f t="shared" si="303"/>
        <v>15244777.260375805</v>
      </c>
      <c r="T1142" s="70">
        <f t="shared" si="275"/>
        <v>0.26043241335186046</v>
      </c>
      <c r="U1142" s="67">
        <f t="shared" si="304"/>
        <v>35408874.6335373</v>
      </c>
      <c r="V1142" s="70">
        <f t="shared" si="276"/>
        <v>0.92277156864723275</v>
      </c>
      <c r="W1142" s="87">
        <f t="shared" si="288"/>
        <v>0.82216444005214451</v>
      </c>
      <c r="X1142" s="142">
        <f t="shared" si="254"/>
        <v>1.7857142857142857E-4</v>
      </c>
      <c r="Y1142" s="139">
        <f t="shared" si="289"/>
        <v>-1.8151707518474093E-2</v>
      </c>
      <c r="Z1142" s="139">
        <f t="shared" si="290"/>
        <v>-1.8151707518474093E-2</v>
      </c>
      <c r="AA1142" s="139">
        <f t="shared" si="291"/>
        <v>3.2948448583622889E-4</v>
      </c>
      <c r="AB1142" s="144">
        <f t="shared" si="292"/>
        <v>5.0069893135529364</v>
      </c>
      <c r="AC1142" s="144">
        <f t="shared" si="293"/>
        <v>-3.8423131186555902E-2</v>
      </c>
      <c r="AD1142" s="144">
        <f t="shared" si="294"/>
        <v>-5.7293135209546223E-2</v>
      </c>
      <c r="AE1142" s="144">
        <f t="shared" si="295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1"/>
        <v>73988967.515956998</v>
      </c>
      <c r="E1143" s="67">
        <f t="shared" si="305"/>
        <v>68111189.483541399</v>
      </c>
      <c r="F1143" s="67">
        <f t="shared" si="306"/>
        <v>207785.11241969466</v>
      </c>
      <c r="G1143" s="70">
        <f t="shared" si="307"/>
        <v>2.8162345146929063E-3</v>
      </c>
      <c r="H1143" s="67">
        <f t="shared" si="298"/>
        <v>-1142564.1305049956</v>
      </c>
      <c r="I1143" s="70">
        <f t="shared" si="299"/>
        <v>-1.5156901575209759E-2</v>
      </c>
      <c r="J1143" s="67">
        <f t="shared" si="308"/>
        <v>7457778.0324155986</v>
      </c>
      <c r="K1143" s="70">
        <f t="shared" si="300"/>
        <v>0.11158279509301572</v>
      </c>
      <c r="L1143" s="70">
        <f t="shared" si="287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2"/>
        <v>670796.86001519859</v>
      </c>
      <c r="R1143" s="70">
        <f t="shared" si="274"/>
        <v>9.1491216162911219E-3</v>
      </c>
      <c r="S1143" s="67">
        <f t="shared" si="303"/>
        <v>12988459.613435499</v>
      </c>
      <c r="T1143" s="70">
        <f t="shared" si="275"/>
        <v>0.21292379457218605</v>
      </c>
      <c r="U1143" s="67">
        <f t="shared" si="304"/>
        <v>35922158.175956994</v>
      </c>
      <c r="V1143" s="70">
        <f t="shared" si="276"/>
        <v>0.94366086359148982</v>
      </c>
      <c r="W1143" s="87">
        <f t="shared" si="288"/>
        <v>0.82629332474624051</v>
      </c>
      <c r="X1143" s="142">
        <f t="shared" si="254"/>
        <v>1.7857142857142857E-4</v>
      </c>
      <c r="Y1143" s="139">
        <f t="shared" si="289"/>
        <v>2.6376630861214777E-3</v>
      </c>
      <c r="Z1143" s="139">
        <f t="shared" si="290"/>
        <v>0</v>
      </c>
      <c r="AA1143" s="139">
        <f t="shared" si="291"/>
        <v>0</v>
      </c>
      <c r="AB1143" s="144">
        <f t="shared" si="292"/>
        <v>5.2549532644194752</v>
      </c>
      <c r="AC1143" s="144">
        <f t="shared" si="293"/>
        <v>-3.8590019093723178E-2</v>
      </c>
      <c r="AD1143" s="144">
        <f t="shared" si="294"/>
        <v>-5.611086482357313E-2</v>
      </c>
      <c r="AE1143" s="144">
        <f t="shared" si="295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1"/>
        <v>73546391.563899994</v>
      </c>
      <c r="E1144" s="67">
        <f t="shared" si="305"/>
        <v>68111189.483541399</v>
      </c>
      <c r="F1144" s="67">
        <f t="shared" si="306"/>
        <v>-442575.95205700397</v>
      </c>
      <c r="G1144" s="70">
        <f t="shared" si="307"/>
        <v>-5.9816478985404795E-3</v>
      </c>
      <c r="H1144" s="67">
        <f t="shared" si="298"/>
        <v>-1585140.0825619996</v>
      </c>
      <c r="I1144" s="70">
        <f t="shared" si="299"/>
        <v>-2.113854947375024E-2</v>
      </c>
      <c r="J1144" s="67">
        <f t="shared" si="308"/>
        <v>7015202.0803585947</v>
      </c>
      <c r="K1144" s="70">
        <f t="shared" si="300"/>
        <v>0.10493369820269383</v>
      </c>
      <c r="L1144" s="70">
        <f t="shared" si="287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2"/>
        <v>3759576.0655774921</v>
      </c>
      <c r="R1144" s="70">
        <f t="shared" si="274"/>
        <v>5.3872297205879278E-2</v>
      </c>
      <c r="S1144" s="67">
        <f t="shared" si="303"/>
        <v>13339979.209450297</v>
      </c>
      <c r="T1144" s="70">
        <f t="shared" si="275"/>
        <v>0.22157073786284784</v>
      </c>
      <c r="U1144" s="67">
        <f t="shared" si="304"/>
        <v>34196079.97389999</v>
      </c>
      <c r="V1144" s="70">
        <f t="shared" si="276"/>
        <v>0.86901675214663754</v>
      </c>
      <c r="W1144" s="87">
        <f t="shared" si="288"/>
        <v>0.81200004424972572</v>
      </c>
      <c r="X1144" s="142">
        <f t="shared" si="254"/>
        <v>1.7857142857142857E-4</v>
      </c>
      <c r="Y1144" s="139">
        <f t="shared" si="289"/>
        <v>-6.1602193271119085E-3</v>
      </c>
      <c r="Z1144" s="139">
        <f t="shared" si="290"/>
        <v>-6.1602193271119085E-3</v>
      </c>
      <c r="AA1144" s="139">
        <f t="shared" si="291"/>
        <v>3.7948302158123097E-5</v>
      </c>
      <c r="AB1144" s="144">
        <f t="shared" si="292"/>
        <v>5.0863250970330398</v>
      </c>
      <c r="AC1144" s="144">
        <f t="shared" si="293"/>
        <v>-3.9037824587077177E-2</v>
      </c>
      <c r="AD1144" s="144">
        <f t="shared" si="294"/>
        <v>-5.6277171389029781E-2</v>
      </c>
      <c r="AE1144" s="144">
        <f t="shared" si="295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1"/>
        <v>73406976.774448395</v>
      </c>
      <c r="E1145" s="67">
        <f t="shared" si="305"/>
        <v>68111189.483541399</v>
      </c>
      <c r="F1145" s="67">
        <f t="shared" si="306"/>
        <v>-139414.78945159912</v>
      </c>
      <c r="G1145" s="70">
        <f t="shared" si="307"/>
        <v>-1.8956033938180377E-3</v>
      </c>
      <c r="H1145" s="67">
        <f t="shared" si="298"/>
        <v>-1724554.8720135987</v>
      </c>
      <c r="I1145" s="70">
        <f t="shared" si="299"/>
        <v>-2.3034152867568276E-2</v>
      </c>
      <c r="J1145" s="67">
        <f t="shared" si="308"/>
        <v>6875787.2909069955</v>
      </c>
      <c r="K1145" s="70">
        <f t="shared" si="300"/>
        <v>0.10283918213443699</v>
      </c>
      <c r="L1145" s="70">
        <f t="shared" si="287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2"/>
        <v>2001545.1142745912</v>
      </c>
      <c r="R1145" s="70">
        <f t="shared" si="274"/>
        <v>2.8030712338525752E-2</v>
      </c>
      <c r="S1145" s="67">
        <f t="shared" si="303"/>
        <v>17002602.185377292</v>
      </c>
      <c r="T1145" s="70">
        <f t="shared" si="275"/>
        <v>0.3014411968796426</v>
      </c>
      <c r="U1145" s="67">
        <f t="shared" si="304"/>
        <v>33907289.694448397</v>
      </c>
      <c r="V1145" s="70">
        <f t="shared" si="276"/>
        <v>0.85841919774642428</v>
      </c>
      <c r="W1145" s="87">
        <f t="shared" si="288"/>
        <v>0.80633470217341463</v>
      </c>
      <c r="X1145" s="142">
        <f t="shared" si="254"/>
        <v>1.7857142857142857E-4</v>
      </c>
      <c r="Y1145" s="139">
        <f t="shared" si="289"/>
        <v>-2.0741748223894662E-3</v>
      </c>
      <c r="Z1145" s="139">
        <f t="shared" si="290"/>
        <v>-2.0741748223894662E-3</v>
      </c>
      <c r="AA1145" s="139">
        <f t="shared" si="291"/>
        <v>4.3022011938343737E-6</v>
      </c>
      <c r="AB1145" s="144">
        <f t="shared" si="292"/>
        <v>5.2057890598273877</v>
      </c>
      <c r="AC1145" s="144">
        <f t="shared" si="293"/>
        <v>-3.4792465522351892E-2</v>
      </c>
      <c r="AD1145" s="144">
        <f t="shared" si="294"/>
        <v>-5.6097664510834533E-2</v>
      </c>
      <c r="AE1145" s="144">
        <f t="shared" si="295"/>
        <v>-4.7790832508738453E-2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301"/>
        <v>75288855.555961996</v>
      </c>
      <c r="E1146" s="80">
        <f t="shared" si="305"/>
        <v>68111189.483541399</v>
      </c>
      <c r="F1146" s="80">
        <f t="shared" si="306"/>
        <v>1881878.7815136015</v>
      </c>
      <c r="G1146" s="81">
        <f t="shared" si="307"/>
        <v>2.5636238736488171E-2</v>
      </c>
      <c r="H1146" s="80">
        <f t="shared" si="298"/>
        <v>157323.90950000286</v>
      </c>
      <c r="I1146" s="81">
        <f t="shared" si="299"/>
        <v>2.6020858689198949E-3</v>
      </c>
      <c r="J1146" s="80">
        <f t="shared" si="308"/>
        <v>8757666.0724205971</v>
      </c>
      <c r="K1146" s="81">
        <f t="shared" si="300"/>
        <v>0.13111183069558874</v>
      </c>
      <c r="L1146" s="81">
        <f t="shared" si="287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2"/>
        <v>2054949.9113598019</v>
      </c>
      <c r="R1146" s="81">
        <f t="shared" si="274"/>
        <v>2.8060089015766766E-2</v>
      </c>
      <c r="S1146" s="80">
        <f t="shared" si="303"/>
        <v>19709862.911291197</v>
      </c>
      <c r="T1146" s="81">
        <f t="shared" si="275"/>
        <v>0.35462792636960611</v>
      </c>
      <c r="U1146" s="80">
        <f t="shared" si="304"/>
        <v>35863747.065961994</v>
      </c>
      <c r="V1146" s="81">
        <f t="shared" si="276"/>
        <v>0.90966768233646511</v>
      </c>
      <c r="W1146" s="136">
        <f t="shared" si="288"/>
        <v>0.85677883292000123</v>
      </c>
      <c r="X1146" s="143">
        <f t="shared" si="254"/>
        <v>1.7857142857142857E-4</v>
      </c>
      <c r="Y1146" s="140">
        <f t="shared" si="289"/>
        <v>2.5457667307916744E-2</v>
      </c>
      <c r="Z1146" s="140">
        <f t="shared" si="290"/>
        <v>0</v>
      </c>
      <c r="AA1146" s="140">
        <f t="shared" si="291"/>
        <v>0</v>
      </c>
      <c r="AB1146" s="145">
        <f t="shared" si="292"/>
        <v>5.1501824749604701</v>
      </c>
      <c r="AC1146" s="145">
        <f t="shared" si="293"/>
        <v>-3.4840511291159254E-2</v>
      </c>
      <c r="AD1146" s="145">
        <f t="shared" si="294"/>
        <v>-5.4127857233664131E-2</v>
      </c>
      <c r="AE1146" s="145">
        <f t="shared" si="295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1"/>
        <v>76557682.732879505</v>
      </c>
      <c r="E1147" s="67">
        <f t="shared" si="305"/>
        <v>75288855.555961996</v>
      </c>
      <c r="F1147" s="67">
        <f t="shared" si="306"/>
        <v>1268827.1769175082</v>
      </c>
      <c r="G1147" s="70">
        <f t="shared" si="307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08"/>
        <v>1268827.1769175082</v>
      </c>
      <c r="K1147" s="85">
        <f>G1147</f>
        <v>1.6852788736765861E-2</v>
      </c>
      <c r="L1147" s="70">
        <f t="shared" si="287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2"/>
        <v>2355762.9756591022</v>
      </c>
      <c r="R1147" s="70">
        <f t="shared" si="274"/>
        <v>3.1748005757356014E-2</v>
      </c>
      <c r="S1147" s="67">
        <f t="shared" si="303"/>
        <v>18968608.862157606</v>
      </c>
      <c r="T1147" s="70">
        <f t="shared" si="275"/>
        <v>0.32937860582267819</v>
      </c>
      <c r="U1147" s="67">
        <f t="shared" si="304"/>
        <v>37521894.162879504</v>
      </c>
      <c r="V1147" s="70">
        <f t="shared" si="276"/>
        <v>0.96121778340904418</v>
      </c>
      <c r="W1147" s="87">
        <f t="shared" si="288"/>
        <v>0.88939620843559419</v>
      </c>
      <c r="X1147" s="142">
        <f t="shared" si="254"/>
        <v>1.7857142857142857E-4</v>
      </c>
      <c r="Y1147" s="139">
        <f t="shared" si="289"/>
        <v>1.6674217308194433E-2</v>
      </c>
      <c r="Z1147" s="139">
        <f t="shared" si="290"/>
        <v>0</v>
      </c>
      <c r="AA1147" s="139">
        <f t="shared" si="291"/>
        <v>0</v>
      </c>
      <c r="AB1147" s="144">
        <f t="shared" si="292"/>
        <v>5.2071091880920655</v>
      </c>
      <c r="AC1147" s="144">
        <f t="shared" si="293"/>
        <v>-3.4730019901207193E-2</v>
      </c>
      <c r="AD1147" s="144">
        <f t="shared" si="294"/>
        <v>-5.3735269928480919E-2</v>
      </c>
      <c r="AE1147" s="144">
        <f t="shared" si="295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1"/>
        <v>77371524.873387203</v>
      </c>
      <c r="E1148" s="67">
        <f t="shared" si="305"/>
        <v>75288855.555961996</v>
      </c>
      <c r="F1148" s="67">
        <f t="shared" si="306"/>
        <v>813842.14050769806</v>
      </c>
      <c r="G1148" s="70">
        <f t="shared" si="307"/>
        <v>1.0630443757647517E-2</v>
      </c>
      <c r="H1148" s="67">
        <f t="shared" ref="H1148:H1154" si="309">IF(WEEKNUM(A1148)=WEEKNUM(A1147),H1147+F1148,F1148)</f>
        <v>2082669.3174252063</v>
      </c>
      <c r="I1148" s="70">
        <f t="shared" ref="I1148:I1154" si="310">IF(WEEKNUM(A1148)=WEEKNUM(A1147),I1147+G1148,G1148)</f>
        <v>2.7483232494413378E-2</v>
      </c>
      <c r="J1148" s="67">
        <f t="shared" si="308"/>
        <v>2082669.3174252063</v>
      </c>
      <c r="K1148" s="70">
        <f t="shared" ref="K1148:K1153" si="311">(1+K1147)*(1+G1148)-1</f>
        <v>2.7662385117238841E-2</v>
      </c>
      <c r="L1148" s="70">
        <f t="shared" si="287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2"/>
        <v>2748428.61377801</v>
      </c>
      <c r="R1148" s="70">
        <f t="shared" si="274"/>
        <v>3.6830803752988146E-2</v>
      </c>
      <c r="S1148" s="67">
        <f t="shared" si="303"/>
        <v>20283837.1142672</v>
      </c>
      <c r="T1148" s="70">
        <f t="shared" si="275"/>
        <v>0.35531018877230269</v>
      </c>
      <c r="U1148" s="67">
        <f t="shared" si="304"/>
        <v>39757132.213387206</v>
      </c>
      <c r="V1148" s="70">
        <f t="shared" si="276"/>
        <v>1.0569659484537111</v>
      </c>
      <c r="W1148" s="87">
        <f t="shared" si="288"/>
        <v>0.90931093261442997</v>
      </c>
      <c r="X1148" s="142">
        <f t="shared" si="254"/>
        <v>1.7857142857142857E-4</v>
      </c>
      <c r="Y1148" s="139">
        <f t="shared" si="289"/>
        <v>1.0451872329076088E-2</v>
      </c>
      <c r="Z1148" s="139">
        <f t="shared" si="290"/>
        <v>0</v>
      </c>
      <c r="AA1148" s="139">
        <f t="shared" si="291"/>
        <v>0</v>
      </c>
      <c r="AB1148" s="144">
        <f t="shared" si="292"/>
        <v>5.1765831949139391</v>
      </c>
      <c r="AC1148" s="144">
        <f t="shared" si="293"/>
        <v>-3.4752315494700169E-2</v>
      </c>
      <c r="AD1148" s="144">
        <f t="shared" si="294"/>
        <v>-5.376253855406736E-2</v>
      </c>
      <c r="AE1148" s="144">
        <f t="shared" si="295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1"/>
        <v>79098093.401229203</v>
      </c>
      <c r="E1149" s="67">
        <f t="shared" si="305"/>
        <v>75288855.555961996</v>
      </c>
      <c r="F1149" s="67">
        <f t="shared" si="306"/>
        <v>1726568.5278420001</v>
      </c>
      <c r="G1149" s="70">
        <f t="shared" si="307"/>
        <v>2.2315296624532115E-2</v>
      </c>
      <c r="H1149" s="67">
        <f t="shared" si="309"/>
        <v>3809237.8452672064</v>
      </c>
      <c r="I1149" s="70">
        <f t="shared" si="310"/>
        <v>4.9798529118945493E-2</v>
      </c>
      <c r="J1149" s="67">
        <f t="shared" si="308"/>
        <v>3809237.8452672064</v>
      </c>
      <c r="K1149" s="70">
        <f t="shared" si="311"/>
        <v>5.0594976071004272E-2</v>
      </c>
      <c r="L1149" s="70">
        <f t="shared" si="287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2"/>
        <v>4883899.0420252085</v>
      </c>
      <c r="R1149" s="70">
        <f t="shared" si="274"/>
        <v>6.5808152796035982E-2</v>
      </c>
      <c r="S1149" s="67">
        <f t="shared" si="303"/>
        <v>24225548.003699504</v>
      </c>
      <c r="T1149" s="70">
        <f t="shared" si="275"/>
        <v>0.44148759326171355</v>
      </c>
      <c r="U1149" s="67">
        <f t="shared" si="304"/>
        <v>41690424.081229202</v>
      </c>
      <c r="V1149" s="70">
        <f t="shared" si="276"/>
        <v>1.1144886821093509</v>
      </c>
      <c r="W1149" s="87">
        <f t="shared" si="288"/>
        <v>0.9525039477192524</v>
      </c>
      <c r="X1149" s="142">
        <f t="shared" si="254"/>
        <v>1.7857142857142857E-4</v>
      </c>
      <c r="Y1149" s="139">
        <f t="shared" si="289"/>
        <v>2.2136725195960688E-2</v>
      </c>
      <c r="Z1149" s="139">
        <f t="shared" si="290"/>
        <v>0</v>
      </c>
      <c r="AA1149" s="139">
        <f t="shared" si="291"/>
        <v>0</v>
      </c>
      <c r="AB1149" s="144">
        <f t="shared" si="292"/>
        <v>5.0776163411259416</v>
      </c>
      <c r="AC1149" s="144">
        <f t="shared" si="293"/>
        <v>-3.4679183384160095E-2</v>
      </c>
      <c r="AD1149" s="144">
        <f t="shared" si="294"/>
        <v>-5.3465225999797868E-2</v>
      </c>
      <c r="AE1149" s="144">
        <f t="shared" si="295"/>
        <v>-4.7434943804787098E-2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301"/>
        <v>79130454.914675802</v>
      </c>
      <c r="E1150" s="67">
        <f t="shared" si="305"/>
        <v>75288855.555961996</v>
      </c>
      <c r="F1150" s="67">
        <f t="shared" si="306"/>
        <v>-167638.48655340075</v>
      </c>
      <c r="G1150" s="70">
        <f t="shared" si="307"/>
        <v>-2.1193745556298783E-3</v>
      </c>
      <c r="H1150" s="67">
        <f t="shared" si="309"/>
        <v>3641599.3587138057</v>
      </c>
      <c r="I1150" s="70">
        <f t="shared" si="310"/>
        <v>4.7679154563315618E-2</v>
      </c>
      <c r="J1150" s="67">
        <f t="shared" si="308"/>
        <v>3641599.3587138057</v>
      </c>
      <c r="K1150" s="70">
        <f t="shared" si="311"/>
        <v>4.8368371810446842E-2</v>
      </c>
      <c r="L1150" s="70">
        <f t="shared" si="287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2"/>
        <v>7118151.1357824057</v>
      </c>
      <c r="R1150" s="70">
        <f t="shared" si="274"/>
        <v>9.9121609546169803E-2</v>
      </c>
      <c r="S1150" s="67">
        <f t="shared" si="303"/>
        <v>18263087.492962599</v>
      </c>
      <c r="T1150" s="70">
        <f t="shared" si="275"/>
        <v>0.30103642648627826</v>
      </c>
      <c r="U1150" s="67">
        <f t="shared" si="304"/>
        <v>41370263.714675799</v>
      </c>
      <c r="V1150" s="70">
        <f t="shared" si="276"/>
        <v>1.1014391139381579</v>
      </c>
      <c r="W1150" s="87">
        <f t="shared" si="288"/>
        <v>0.94616608967132398</v>
      </c>
      <c r="X1150" s="142">
        <f t="shared" si="254"/>
        <v>1.7857142857142857E-4</v>
      </c>
      <c r="Y1150" s="139">
        <f t="shared" si="289"/>
        <v>-2.2979459842013068E-3</v>
      </c>
      <c r="Z1150" s="139">
        <f t="shared" si="290"/>
        <v>-2.2979459842013068E-3</v>
      </c>
      <c r="AA1150" s="139">
        <f t="shared" si="291"/>
        <v>5.2805557463069132E-6</v>
      </c>
      <c r="AB1150" s="144">
        <f t="shared" si="292"/>
        <v>4.0158754034779953</v>
      </c>
      <c r="AC1150" s="144">
        <f t="shared" si="293"/>
        <v>-3.4522131126979286E-2</v>
      </c>
      <c r="AD1150" s="144">
        <f t="shared" si="294"/>
        <v>-5.2591480958369317E-2</v>
      </c>
      <c r="AE1150" s="144">
        <f t="shared" si="295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1"/>
        <v>79194729.926177502</v>
      </c>
      <c r="E1151" s="67">
        <f t="shared" si="305"/>
        <v>75288855.555961996</v>
      </c>
      <c r="F1151" s="67">
        <f t="shared" si="306"/>
        <v>64275.011501699686</v>
      </c>
      <c r="G1151" s="70">
        <f t="shared" si="307"/>
        <v>8.1226642221387038E-4</v>
      </c>
      <c r="H1151" s="67">
        <f t="shared" si="309"/>
        <v>3705874.3702155054</v>
      </c>
      <c r="I1151" s="70">
        <f t="shared" si="310"/>
        <v>4.8491420985529485E-2</v>
      </c>
      <c r="J1151" s="67">
        <f t="shared" si="308"/>
        <v>3705874.3702155054</v>
      </c>
      <c r="K1151" s="70">
        <f t="shared" si="311"/>
        <v>4.9219926236979461E-2</v>
      </c>
      <c r="L1151" s="70">
        <f t="shared" si="287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2"/>
        <v>6812184.5384117067</v>
      </c>
      <c r="R1151" s="70">
        <f t="shared" si="274"/>
        <v>9.4113636124809621E-2</v>
      </c>
      <c r="S1151" s="67">
        <f t="shared" si="303"/>
        <v>23210479.476448499</v>
      </c>
      <c r="T1151" s="70">
        <f t="shared" si="275"/>
        <v>0.41458944774638579</v>
      </c>
      <c r="U1151" s="67">
        <f t="shared" si="304"/>
        <v>41183418.216177501</v>
      </c>
      <c r="V1151" s="70">
        <f t="shared" si="276"/>
        <v>1.0834516454043595</v>
      </c>
      <c r="W1151" s="87">
        <f t="shared" si="288"/>
        <v>0.94588472168462046</v>
      </c>
      <c r="X1151" s="142">
        <f t="shared" si="254"/>
        <v>1.7857142857142857E-4</v>
      </c>
      <c r="Y1151" s="139">
        <f t="shared" si="289"/>
        <v>6.3369499364244184E-4</v>
      </c>
      <c r="Z1151" s="139">
        <f t="shared" si="290"/>
        <v>0</v>
      </c>
      <c r="AA1151" s="139">
        <f t="shared" si="291"/>
        <v>0</v>
      </c>
      <c r="AB1151" s="144">
        <f t="shared" si="292"/>
        <v>3.6073187419275787</v>
      </c>
      <c r="AC1151" s="144">
        <f t="shared" si="293"/>
        <v>-3.1969554143038453E-2</v>
      </c>
      <c r="AD1151" s="144">
        <f t="shared" si="294"/>
        <v>-5.1014250078585004E-2</v>
      </c>
      <c r="AE1151" s="144">
        <f t="shared" si="295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1"/>
        <v>77933170.673059896</v>
      </c>
      <c r="E1152" s="67">
        <f t="shared" si="305"/>
        <v>75288855.555961996</v>
      </c>
      <c r="F1152" s="67">
        <f t="shared" si="306"/>
        <v>-1261559.253117606</v>
      </c>
      <c r="G1152" s="70">
        <f t="shared" si="307"/>
        <v>-1.5929838441189035E-2</v>
      </c>
      <c r="H1152" s="67">
        <f t="shared" si="309"/>
        <v>-1261559.253117606</v>
      </c>
      <c r="I1152" s="70">
        <f t="shared" si="310"/>
        <v>-1.5929838441189035E-2</v>
      </c>
      <c r="J1152" s="67">
        <f t="shared" si="308"/>
        <v>2444315.1170978993</v>
      </c>
      <c r="K1152" s="70">
        <f t="shared" si="311"/>
        <v>3.250602232274824E-2</v>
      </c>
      <c r="L1152" s="70">
        <f t="shared" si="287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2"/>
        <v>4932189.605567202</v>
      </c>
      <c r="R1152" s="70">
        <f t="shared" si="274"/>
        <v>6.7563333169552486E-2</v>
      </c>
      <c r="S1152" s="67">
        <f t="shared" si="303"/>
        <v>25148988.554807797</v>
      </c>
      <c r="T1152" s="70">
        <f t="shared" si="275"/>
        <v>0.47644933663017952</v>
      </c>
      <c r="U1152" s="67">
        <f t="shared" si="304"/>
        <v>38622581.373059899</v>
      </c>
      <c r="V1152" s="70">
        <f t="shared" si="276"/>
        <v>0.98249815280840624</v>
      </c>
      <c r="W1152" s="87">
        <f t="shared" si="288"/>
        <v>0.91084602451384389</v>
      </c>
      <c r="X1152" s="142">
        <f t="shared" si="254"/>
        <v>1.7857142857142857E-4</v>
      </c>
      <c r="Y1152" s="139">
        <f t="shared" ref="Y1152:Y1153" si="312">G1152-X1152</f>
        <v>-1.6108409869760462E-2</v>
      </c>
      <c r="Z1152" s="139">
        <f t="shared" ref="Z1152:Z1153" si="313">IF(Y1152&lt;0,Y1152,0)</f>
        <v>-1.6108409869760462E-2</v>
      </c>
      <c r="AA1152" s="139">
        <f t="shared" ref="AA1152:AA1153" si="314">Z1152^2</f>
        <v>2.5948086853219628E-4</v>
      </c>
      <c r="AB1152" s="144">
        <f t="shared" ref="AB1152:AB1153" si="315">AVERAGE(Y899:Y1152)/AVERAGE(AA899:AA1152)</f>
        <v>3.571315009390744</v>
      </c>
      <c r="AC1152" s="144">
        <f t="shared" ref="AC1152:AC1153" si="316">AVERAGE(G1121:G1152)-_xlfn.NORM.S.INV(0.95)*_xlfn.STDEV.S(G1121:G1152)</f>
        <v>-3.3151356021522443E-2</v>
      </c>
      <c r="AD1152" s="144">
        <f t="shared" ref="AD1152:AD1153" si="317">AVERAGE(G1061:G1152)-_xlfn.NORM.S.INV(0.95)*_xlfn.STDEV.S(G1061:G1152)</f>
        <v>-4.8637233070914707E-2</v>
      </c>
      <c r="AE1152" s="144">
        <f t="shared" ref="AE1152:AE1153" si="318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1"/>
        <v>76306517.924943596</v>
      </c>
      <c r="E1153" s="67">
        <f t="shared" si="305"/>
        <v>75288855.555961996</v>
      </c>
      <c r="F1153" s="67">
        <f t="shared" si="306"/>
        <v>-1626652.7481162995</v>
      </c>
      <c r="G1153" s="70">
        <f t="shared" si="307"/>
        <v>-2.0872405601721582E-2</v>
      </c>
      <c r="H1153" s="67">
        <f t="shared" si="309"/>
        <v>-2888212.0012339056</v>
      </c>
      <c r="I1153" s="70">
        <f t="shared" si="310"/>
        <v>-3.6802244042910617E-2</v>
      </c>
      <c r="J1153" s="67">
        <f t="shared" si="308"/>
        <v>817662.36898159981</v>
      </c>
      <c r="K1153" s="70">
        <f t="shared" si="311"/>
        <v>1.0955137838607687E-2</v>
      </c>
      <c r="L1153" s="70">
        <f t="shared" si="287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2"/>
        <v>3691985.9030967951</v>
      </c>
      <c r="R1153" s="70">
        <f t="shared" si="274"/>
        <v>5.0843623174298289E-2</v>
      </c>
      <c r="S1153" s="67">
        <f t="shared" si="303"/>
        <v>28935692.708373494</v>
      </c>
      <c r="T1153" s="70">
        <f t="shared" si="275"/>
        <v>0.61083362124440932</v>
      </c>
      <c r="U1153" s="67">
        <f t="shared" si="304"/>
        <v>35422185.434943594</v>
      </c>
      <c r="V1153" s="70">
        <f t="shared" si="276"/>
        <v>0.86639999426693814</v>
      </c>
      <c r="W1153" s="87">
        <f t="shared" si="288"/>
        <v>0.86559545663162518</v>
      </c>
      <c r="X1153" s="142">
        <f t="shared" si="254"/>
        <v>1.7857142857142857E-4</v>
      </c>
      <c r="Y1153" s="139">
        <f t="shared" si="312"/>
        <v>-2.105097703029301E-2</v>
      </c>
      <c r="Z1153" s="139">
        <f t="shared" si="313"/>
        <v>-2.105097703029301E-2</v>
      </c>
      <c r="AA1153" s="139">
        <f t="shared" si="314"/>
        <v>4.4314363392992392E-4</v>
      </c>
      <c r="AB1153" s="144">
        <f t="shared" si="315"/>
        <v>3.3454154924247654</v>
      </c>
      <c r="AC1153" s="144">
        <f t="shared" si="316"/>
        <v>-3.4693620267449925E-2</v>
      </c>
      <c r="AD1153" s="144">
        <f t="shared" si="317"/>
        <v>-4.7348090145245887E-2</v>
      </c>
      <c r="AE1153" s="144">
        <f t="shared" si="318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1"/>
        <v>78179562.519361794</v>
      </c>
      <c r="E1154" s="67">
        <f t="shared" si="305"/>
        <v>75288855.555961996</v>
      </c>
      <c r="F1154" s="67">
        <f t="shared" si="306"/>
        <v>1873044.5944181979</v>
      </c>
      <c r="G1154" s="70">
        <f t="shared" si="307"/>
        <v>2.4546325076195415E-2</v>
      </c>
      <c r="H1154" s="67">
        <f t="shared" si="309"/>
        <v>-1015167.4068157077</v>
      </c>
      <c r="I1154" s="70">
        <f t="shared" si="310"/>
        <v>-1.2255918966715202E-2</v>
      </c>
      <c r="J1154" s="67">
        <f t="shared" si="308"/>
        <v>2690706.9633997977</v>
      </c>
      <c r="K1154" s="70">
        <f t="shared" ref="K1154" si="319">(1+K1153)*(1+G1154)-1</f>
        <v>3.5770371289444158E-2</v>
      </c>
      <c r="L1154" s="70">
        <f t="shared" ref="L1154" si="320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2"/>
        <v>4590906.6267886907</v>
      </c>
      <c r="R1154" s="70">
        <f t="shared" si="274"/>
        <v>6.2386064415833768E-2</v>
      </c>
      <c r="S1154" s="67">
        <f t="shared" si="303"/>
        <v>29423113.250986293</v>
      </c>
      <c r="T1154" s="70">
        <f t="shared" si="275"/>
        <v>0.60347120621990757</v>
      </c>
      <c r="U1154" s="67">
        <f t="shared" si="304"/>
        <v>37377372.349361792</v>
      </c>
      <c r="V1154" s="70">
        <f t="shared" si="276"/>
        <v>0.91606289254648088</v>
      </c>
      <c r="W1154" s="87">
        <f t="shared" ref="W1154" si="321">O1154/P1154</f>
        <v>0.91271340254576416</v>
      </c>
      <c r="X1154" s="142">
        <f t="shared" si="254"/>
        <v>1.7857142857142857E-4</v>
      </c>
      <c r="Y1154" s="139">
        <f t="shared" ref="Y1154" si="322">G1154-X1154</f>
        <v>2.4367753647623988E-2</v>
      </c>
      <c r="Z1154" s="139">
        <f t="shared" ref="Z1154" si="323">IF(Y1154&lt;0,Y1154,0)</f>
        <v>0</v>
      </c>
      <c r="AA1154" s="139">
        <f t="shared" ref="AA1154" si="324">Z1154^2</f>
        <v>0</v>
      </c>
      <c r="AB1154" s="144">
        <f t="shared" ref="AB1154" si="325">AVERAGE(Y901:Y1154)/AVERAGE(AA901:AA1154)</f>
        <v>3.1068788362531659</v>
      </c>
      <c r="AC1154" s="144">
        <f t="shared" ref="AC1154" si="326">AVERAGE(G1123:G1154)-_xlfn.NORM.S.INV(0.95)*_xlfn.STDEV.S(G1123:G1154)</f>
        <v>-3.4243378316069578E-2</v>
      </c>
      <c r="AD1154" s="144">
        <f t="shared" ref="AD1154" si="327">AVERAGE(G1063:G1154)-_xlfn.NORM.S.INV(0.95)*_xlfn.STDEV.S(G1063:G1154)</f>
        <v>-4.263586860196588E-2</v>
      </c>
      <c r="AE1154" s="144">
        <f t="shared" ref="AE1154" si="328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29">B1155</f>
        <v>76823745.0425203</v>
      </c>
      <c r="E1155" s="67">
        <f t="shared" ref="E1155" si="330">IF(MONTH(A1155)=MONTH(A1154),E1154,D1154)</f>
        <v>75288855.555961996</v>
      </c>
      <c r="F1155" s="67">
        <f t="shared" ref="F1155" si="331">B1155-C1155-D1154</f>
        <v>-1355817.4768414944</v>
      </c>
      <c r="G1155" s="70">
        <f t="shared" ref="G1155" si="332">F1155/B1154</f>
        <v>-1.7342351800775497E-2</v>
      </c>
      <c r="H1155" s="67">
        <f t="shared" ref="H1155" si="333">IF(WEEKNUM(A1155)=WEEKNUM(A1154),H1154+F1155,F1155)</f>
        <v>-2370984.8836572021</v>
      </c>
      <c r="I1155" s="70">
        <f t="shared" ref="I1155" si="334">IF(WEEKNUM(A1155)=WEEKNUM(A1154),I1154+G1155,G1155)</f>
        <v>-2.9598270767490699E-2</v>
      </c>
      <c r="J1155" s="67">
        <f t="shared" ref="J1155" si="335">IF(MONTH(A1155)=MONTH(A1154),J1154+F1155,F1155)</f>
        <v>1334889.4865583032</v>
      </c>
      <c r="K1155" s="70">
        <f t="shared" ref="K1155" si="336">(1+K1154)*(1+G1155)-1</f>
        <v>1.7807677125722732E-2</v>
      </c>
      <c r="L1155" s="70">
        <f t="shared" ref="L1155" si="337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38">B1155-C1155-D1124</f>
        <v>4541194.2055311054</v>
      </c>
      <c r="R1155" s="70">
        <f t="shared" ref="R1155" si="339">Q1155/B1124</f>
        <v>6.2825594184858752E-2</v>
      </c>
      <c r="S1155" s="67">
        <f t="shared" ref="S1155" si="340">B1155-C1155-D1064</f>
        <v>29511419.534221597</v>
      </c>
      <c r="T1155" s="70">
        <f t="shared" ref="T1155" si="341">S1155/B1064</f>
        <v>0.62375753500100561</v>
      </c>
      <c r="U1155" s="67">
        <f t="shared" ref="U1155" si="342">B1155-C1155-D789</f>
        <v>35440340.852520302</v>
      </c>
      <c r="V1155" s="70">
        <f t="shared" ref="V1155" si="343">U1155/B789</f>
        <v>0.8563901773234065</v>
      </c>
      <c r="W1155" s="87">
        <f t="shared" ref="W1155" si="344">O1155/P1155</f>
        <v>0.8751307374897459</v>
      </c>
      <c r="X1155" s="142">
        <f t="shared" si="254"/>
        <v>1.7857142857142857E-4</v>
      </c>
      <c r="Y1155" s="139">
        <f t="shared" ref="Y1155" si="345">G1155-X1155</f>
        <v>-1.7520923229346924E-2</v>
      </c>
      <c r="Z1155" s="139">
        <f t="shared" ref="Z1155" si="346">IF(Y1155&lt;0,Y1155,0)</f>
        <v>-1.7520923229346924E-2</v>
      </c>
      <c r="AA1155" s="139">
        <f t="shared" ref="AA1155" si="347">Z1155^2</f>
        <v>3.0698275080866862E-4</v>
      </c>
      <c r="AB1155" s="144">
        <f t="shared" ref="AB1155" si="348">AVERAGE(Y902:Y1155)/AVERAGE(AA902:AA1155)</f>
        <v>3.8081890445294602</v>
      </c>
      <c r="AC1155" s="144">
        <f t="shared" ref="AC1155" si="349">AVERAGE(G1124:G1155)-_xlfn.NORM.S.INV(0.95)*_xlfn.STDEV.S(G1124:G1155)</f>
        <v>-3.5538975015983319E-2</v>
      </c>
      <c r="AD1155" s="144">
        <f t="shared" ref="AD1155" si="350">AVERAGE(G1064:G1155)-_xlfn.NORM.S.INV(0.95)*_xlfn.STDEV.S(G1064:G1155)</f>
        <v>-4.3141270912846898E-2</v>
      </c>
      <c r="AE1155" s="144">
        <f t="shared" ref="AE1155" si="351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2">B1156</f>
        <v>76579798.656568497</v>
      </c>
      <c r="E1156" s="67">
        <f t="shared" ref="E1156" si="353">IF(MONTH(A1156)=MONTH(A1155),E1155,D1155)</f>
        <v>75288855.555961996</v>
      </c>
      <c r="F1156" s="67">
        <f t="shared" ref="F1156" si="354">B1156-C1156-D1155</f>
        <v>-243946.38595180213</v>
      </c>
      <c r="G1156" s="70">
        <f t="shared" ref="G1156" si="355">F1156/B1155</f>
        <v>-3.1754034617393753E-3</v>
      </c>
      <c r="H1156" s="67">
        <f t="shared" ref="H1156" si="356">IF(WEEKNUM(A1156)=WEEKNUM(A1155),H1155+F1156,F1156)</f>
        <v>-2614931.2696090043</v>
      </c>
      <c r="I1156" s="70">
        <f t="shared" ref="I1156" si="357">IF(WEEKNUM(A1156)=WEEKNUM(A1155),I1155+G1156,G1156)</f>
        <v>-3.2773674229230075E-2</v>
      </c>
      <c r="J1156" s="67">
        <f t="shared" ref="J1156" si="358">IF(MONTH(A1156)=MONTH(A1155),J1155+F1156,F1156)</f>
        <v>1090943.1006065011</v>
      </c>
      <c r="K1156" s="70">
        <f t="shared" ref="K1156" si="359">(1+K1155)*(1+G1156)-1</f>
        <v>1.4575727104392699E-2</v>
      </c>
      <c r="L1156" s="70">
        <f t="shared" ref="L1156" si="360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1">B1156-C1156-D1125</f>
        <v>8468609.1730270982</v>
      </c>
      <c r="R1156" s="70">
        <f t="shared" ref="R1156" si="362">Q1156/B1125</f>
        <v>0.12433506502002112</v>
      </c>
      <c r="S1156" s="67">
        <f t="shared" ref="S1156" si="363">B1156-C1156-D1065</f>
        <v>24817406.663144298</v>
      </c>
      <c r="T1156" s="70">
        <f t="shared" ref="T1156" si="364">S1156/B1065</f>
        <v>0.47944860558795382</v>
      </c>
      <c r="U1156" s="67">
        <f t="shared" ref="U1156" si="365">B1156-C1156-D790</f>
        <v>34299480.086568497</v>
      </c>
      <c r="V1156" s="70">
        <f t="shared" ref="V1156" si="366">U1156/B790</f>
        <v>0.81123986872950604</v>
      </c>
      <c r="W1156" s="87">
        <f t="shared" ref="W1156" si="367">O1156/P1156</f>
        <v>0.86692119665153322</v>
      </c>
      <c r="X1156" s="142">
        <f t="shared" si="254"/>
        <v>1.7857142857142857E-4</v>
      </c>
      <c r="Y1156" s="139">
        <f t="shared" ref="Y1156" si="368">G1156-X1156</f>
        <v>-3.3539748903108038E-3</v>
      </c>
      <c r="Z1156" s="139">
        <f t="shared" ref="Z1156" si="369">IF(Y1156&lt;0,Y1156,0)</f>
        <v>-3.3539748903108038E-3</v>
      </c>
      <c r="AA1156" s="139">
        <f t="shared" ref="AA1156" si="370">Z1156^2</f>
        <v>1.1249147564835368E-5</v>
      </c>
      <c r="AB1156" s="144">
        <f t="shared" ref="AB1156" si="371">AVERAGE(Y903:Y1156)/AVERAGE(AA903:AA1156)</f>
        <v>3.268240131322349</v>
      </c>
      <c r="AC1156" s="144">
        <f t="shared" ref="AC1156" si="372">AVERAGE(G1125:G1156)-_xlfn.NORM.S.INV(0.95)*_xlfn.STDEV.S(G1125:G1156)</f>
        <v>-3.4645677819338978E-2</v>
      </c>
      <c r="AD1156" s="144">
        <f t="shared" ref="AD1156" si="373">AVERAGE(G1065:G1156)-_xlfn.NORM.S.INV(0.95)*_xlfn.STDEV.S(G1065:G1156)</f>
        <v>-4.2494816639127832E-2</v>
      </c>
      <c r="AE1156" s="144">
        <f t="shared" ref="AE1156" si="374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5">B1157</f>
        <v>76740517.720513999</v>
      </c>
      <c r="E1157" s="67">
        <f t="shared" ref="E1157" si="376">IF(MONTH(A1157)=MONTH(A1156),E1156,D1156)</f>
        <v>75288855.555961996</v>
      </c>
      <c r="F1157" s="67">
        <f t="shared" ref="F1157" si="377">B1157-C1157-D1156</f>
        <v>160719.06394550204</v>
      </c>
      <c r="G1157" s="70">
        <f t="shared" ref="G1157" si="378">F1157/B1156</f>
        <v>2.0987135871989742E-3</v>
      </c>
      <c r="H1157" s="67">
        <f t="shared" ref="H1157" si="379">IF(WEEKNUM(A1157)=WEEKNUM(A1156),H1156+F1157,F1157)</f>
        <v>160719.06394550204</v>
      </c>
      <c r="I1157" s="70">
        <f t="shared" ref="I1157" si="380">IF(WEEKNUM(A1157)=WEEKNUM(A1156),I1156+G1157,G1157)</f>
        <v>2.0987135871989742E-3</v>
      </c>
      <c r="J1157" s="67">
        <f t="shared" ref="J1157" si="381">IF(MONTH(A1157)=MONTH(A1156),J1156+F1157,F1157)</f>
        <v>1251662.1645520031</v>
      </c>
      <c r="K1157" s="70">
        <f t="shared" ref="K1157" si="382">(1+K1156)*(1+G1157)-1</f>
        <v>1.6705030968108936E-2</v>
      </c>
      <c r="L1157" s="70">
        <f t="shared" ref="L1157" si="383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4">B1157-C1157-D1126</f>
        <v>7258349.0614093989</v>
      </c>
      <c r="R1157" s="70">
        <f t="shared" ref="R1157" si="385">Q1157/B1126</f>
        <v>0.10446347892537031</v>
      </c>
      <c r="S1157" s="67">
        <f t="shared" ref="S1157" si="386">B1157-C1157-D1066</f>
        <v>24219267.700759299</v>
      </c>
      <c r="T1157" s="70">
        <f t="shared" ref="T1157" si="387">S1157/B1066</f>
        <v>0.46113273563842749</v>
      </c>
      <c r="U1157" s="67">
        <f t="shared" ref="U1157" si="388">B1157-C1157-D791</f>
        <v>34602940.770513996</v>
      </c>
      <c r="V1157" s="70">
        <f t="shared" ref="V1157" si="389">U1157/B791</f>
        <v>0.82118961922213696</v>
      </c>
      <c r="W1157" s="87">
        <f t="shared" ref="W1157" si="390">O1157/P1157</f>
        <v>0.86941221813787539</v>
      </c>
      <c r="X1157" s="142">
        <f t="shared" si="254"/>
        <v>1.7857142857142857E-4</v>
      </c>
      <c r="Y1157" s="139">
        <f t="shared" ref="Y1157" si="391">G1157-X1157</f>
        <v>1.9201421586275457E-3</v>
      </c>
      <c r="Z1157" s="139">
        <f t="shared" ref="Z1157" si="392">IF(Y1157&lt;0,Y1157,0)</f>
        <v>0</v>
      </c>
      <c r="AA1157" s="139">
        <f t="shared" ref="AA1157" si="393">Z1157^2</f>
        <v>0</v>
      </c>
      <c r="AB1157" s="144">
        <f t="shared" ref="AB1157" si="394">AVERAGE(Y904:Y1157)/AVERAGE(AA904:AA1157)</f>
        <v>3.202481809207546</v>
      </c>
      <c r="AC1157" s="144">
        <f t="shared" ref="AC1157" si="395">AVERAGE(G1126:G1157)-_xlfn.NORM.S.INV(0.95)*_xlfn.STDEV.S(G1126:G1157)</f>
        <v>-2.8088120065962039E-2</v>
      </c>
      <c r="AD1157" s="144">
        <f t="shared" ref="AD1157" si="396">AVERAGE(G1066:G1157)-_xlfn.NORM.S.INV(0.95)*_xlfn.STDEV.S(G1066:G1157)</f>
        <v>-4.1025898945056469E-2</v>
      </c>
      <c r="AE1157" s="144">
        <f t="shared" ref="AE1157" si="397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398">B1158</f>
        <v>75616350.592625797</v>
      </c>
      <c r="E1158" s="67">
        <f t="shared" ref="E1158" si="399">IF(MONTH(A1158)=MONTH(A1157),E1157,D1157)</f>
        <v>75288855.555961996</v>
      </c>
      <c r="F1158" s="67">
        <f t="shared" ref="F1158" si="400">B1158-C1158-D1157</f>
        <v>-1124167.1278882027</v>
      </c>
      <c r="G1158" s="70">
        <f t="shared" ref="G1158" si="401">F1158/B1157</f>
        <v>-1.4648938543552389E-2</v>
      </c>
      <c r="H1158" s="67">
        <f t="shared" ref="H1158" si="402">IF(WEEKNUM(A1158)=WEEKNUM(A1157),H1157+F1158,F1158)</f>
        <v>-963448.06394270062</v>
      </c>
      <c r="I1158" s="70">
        <f t="shared" ref="I1158" si="403">IF(WEEKNUM(A1158)=WEEKNUM(A1157),I1157+G1158,G1158)</f>
        <v>-1.2550224956353415E-2</v>
      </c>
      <c r="J1158" s="67">
        <f t="shared" ref="J1158" si="404">IF(MONTH(A1158)=MONTH(A1157),J1157+F1158,F1158)</f>
        <v>127495.03666380048</v>
      </c>
      <c r="K1158" s="70">
        <f t="shared" ref="K1158" si="405">(1+K1157)*(1+G1158)-1</f>
        <v>1.8113814525364536E-3</v>
      </c>
      <c r="L1158" s="70">
        <f t="shared" ref="L1158" si="406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7">B1158-C1158-D1127</f>
        <v>7738884.0299724936</v>
      </c>
      <c r="R1158" s="70">
        <f t="shared" ref="R1158" si="408">Q1158/B1127</f>
        <v>0.11401256443225131</v>
      </c>
      <c r="S1158" s="67">
        <f t="shared" ref="S1158" si="409">B1158-C1158-D1067</f>
        <v>22216130.822720796</v>
      </c>
      <c r="T1158" s="70">
        <f t="shared" ref="T1158" si="410">S1158/B1067</f>
        <v>0.41603070021897626</v>
      </c>
      <c r="U1158" s="67">
        <f t="shared" ref="U1158" si="411">B1158-C1158-D792</f>
        <v>35468574.632625796</v>
      </c>
      <c r="V1158" s="70">
        <f t="shared" ref="V1158" si="412">U1158/B792</f>
        <v>0.88345054699826508</v>
      </c>
      <c r="W1158" s="87">
        <f t="shared" ref="W1158" si="413">O1158/P1158</f>
        <v>0.83778425833230319</v>
      </c>
      <c r="X1158" s="142">
        <f t="shared" si="254"/>
        <v>1.7857142857142857E-4</v>
      </c>
      <c r="Y1158" s="139">
        <f t="shared" ref="Y1158" si="414">G1158-X1158</f>
        <v>-1.4827509972123818E-2</v>
      </c>
      <c r="Z1158" s="139">
        <f t="shared" ref="Z1158" si="415">IF(Y1158&lt;0,Y1158,0)</f>
        <v>-1.4827509972123818E-2</v>
      </c>
      <c r="AA1158" s="139">
        <f t="shared" ref="AA1158" si="416">Z1158^2</f>
        <v>2.1985505197343126E-4</v>
      </c>
      <c r="AB1158" s="144">
        <f t="shared" ref="AB1158" si="417">AVERAGE(Y905:Y1158)/AVERAGE(AA905:AA1158)</f>
        <v>3.0845909362927393</v>
      </c>
      <c r="AC1158" s="144">
        <f t="shared" ref="AC1158" si="418">AVERAGE(G1127:G1158)-_xlfn.NORM.S.INV(0.95)*_xlfn.STDEV.S(G1127:G1158)</f>
        <v>-2.9293954740543037E-2</v>
      </c>
      <c r="AD1158" s="144">
        <f t="shared" ref="AD1158" si="419">AVERAGE(G1067:G1158)-_xlfn.NORM.S.INV(0.95)*_xlfn.STDEV.S(G1067:G1158)</f>
        <v>-4.14351160886062E-2</v>
      </c>
      <c r="AE1158" s="144">
        <f t="shared" ref="AE1158" si="420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1">B1159</f>
        <v>70343066.272483796</v>
      </c>
      <c r="E1159" s="67">
        <f t="shared" ref="E1159" si="422">IF(MONTH(A1159)=MONTH(A1158),E1158,D1158)</f>
        <v>75288855.555961996</v>
      </c>
      <c r="F1159" s="67">
        <f t="shared" ref="F1159" si="423">B1159-C1159-D1158</f>
        <v>-5273284.3201420009</v>
      </c>
      <c r="G1159" s="70">
        <f t="shared" ref="G1159" si="424">F1159/B1158</f>
        <v>-6.973735546365098E-2</v>
      </c>
      <c r="H1159" s="67">
        <f t="shared" ref="H1159" si="425">IF(WEEKNUM(A1159)=WEEKNUM(A1158),H1158+F1159,F1159)</f>
        <v>-6236732.3840847015</v>
      </c>
      <c r="I1159" s="70">
        <f t="shared" ref="I1159" si="426">IF(WEEKNUM(A1159)=WEEKNUM(A1158),I1158+G1159,G1159)</f>
        <v>-8.2287580420004391E-2</v>
      </c>
      <c r="J1159" s="67">
        <f t="shared" ref="J1159" si="427">IF(MONTH(A1159)=MONTH(A1158),J1158+F1159,F1159)</f>
        <v>-5145789.2834782004</v>
      </c>
      <c r="K1159" s="70">
        <f t="shared" ref="K1159" si="428">(1+K1158)*(1+G1159)-1</f>
        <v>-6.8052294963350302E-2</v>
      </c>
      <c r="L1159" s="70">
        <f t="shared" ref="L1159" si="429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0">B1159-C1159-D1128</f>
        <v>-678248.69275461137</v>
      </c>
      <c r="R1159" s="70">
        <f t="shared" ref="R1159" si="431">Q1159/B1128</f>
        <v>-9.5499314971369108E-3</v>
      </c>
      <c r="S1159" s="67">
        <f t="shared" ref="S1159" si="432">B1159-C1159-D1068</f>
        <v>13798411.5572313</v>
      </c>
      <c r="T1159" s="70">
        <f t="shared" ref="T1159" si="433">S1159/B1068</f>
        <v>0.24402680725025777</v>
      </c>
      <c r="U1159" s="67">
        <f t="shared" ref="U1159" si="434">B1159-C1159-D793</f>
        <v>30298730.562483795</v>
      </c>
      <c r="V1159" s="70">
        <f t="shared" ref="V1159" si="435">U1159/B793</f>
        <v>0.75662962127543787</v>
      </c>
      <c r="W1159" s="87">
        <f t="shared" ref="W1159" si="436">O1159/P1159</f>
        <v>0.68930393444956095</v>
      </c>
      <c r="X1159" s="142">
        <f t="shared" si="254"/>
        <v>1.7857142857142857E-4</v>
      </c>
      <c r="Y1159" s="139">
        <f t="shared" ref="Y1159" si="437">G1159-X1159</f>
        <v>-6.991592689222241E-2</v>
      </c>
      <c r="Z1159" s="139">
        <f t="shared" ref="Z1159" si="438">IF(Y1159&lt;0,Y1159,0)</f>
        <v>-6.991592689222241E-2</v>
      </c>
      <c r="AA1159" s="139">
        <f t="shared" ref="AA1159" si="439">Z1159^2</f>
        <v>4.8882368331985889E-3</v>
      </c>
      <c r="AB1159" s="144">
        <f t="shared" ref="AB1159" si="440">AVERAGE(Y906:Y1159)/AVERAGE(AA906:AA1159)</f>
        <v>2.1073745843058314</v>
      </c>
      <c r="AC1159" s="144">
        <f t="shared" ref="AC1159" si="441">AVERAGE(G1128:G1159)-_xlfn.NORM.S.INV(0.95)*_xlfn.STDEV.S(G1128:G1159)</f>
        <v>-3.777251133590958E-2</v>
      </c>
      <c r="AD1159" s="144">
        <f t="shared" ref="AD1159" si="442">AVERAGE(G1068:G1159)-_xlfn.NORM.S.INV(0.95)*_xlfn.STDEV.S(G1068:G1159)</f>
        <v>-4.4055670339450764E-2</v>
      </c>
      <c r="AE1159" s="144">
        <f t="shared" ref="AE1159" si="443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4">B1160</f>
        <v>69661755.750236794</v>
      </c>
      <c r="E1160" s="67">
        <f t="shared" ref="E1160" si="445">IF(MONTH(A1160)=MONTH(A1159),E1159,D1159)</f>
        <v>75288855.555961996</v>
      </c>
      <c r="F1160" s="67">
        <f t="shared" ref="F1160" si="446">B1160-C1160-D1159</f>
        <v>-681310.52224700153</v>
      </c>
      <c r="G1160" s="70">
        <f t="shared" ref="G1160" si="447">F1160/B1159</f>
        <v>-9.685539149059114E-3</v>
      </c>
      <c r="H1160" s="67">
        <f t="shared" ref="H1160" si="448">IF(WEEKNUM(A1160)=WEEKNUM(A1159),H1159+F1160,F1160)</f>
        <v>-6918042.9063317031</v>
      </c>
      <c r="I1160" s="70">
        <f t="shared" ref="I1160" si="449">IF(WEEKNUM(A1160)=WEEKNUM(A1159),I1159+G1160,G1160)</f>
        <v>-9.1973119569063511E-2</v>
      </c>
      <c r="J1160" s="67">
        <f t="shared" ref="J1160" si="450">IF(MONTH(A1160)=MONTH(A1159),J1159+F1160,F1160)</f>
        <v>-5827099.805725202</v>
      </c>
      <c r="K1160" s="70">
        <f t="shared" ref="K1160" si="451">(1+K1159)*(1+G1160)-1</f>
        <v>-7.7078710945358564E-2</v>
      </c>
      <c r="L1160" s="70">
        <f t="shared" ref="L1160" si="452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3">B1160-C1160-D1129</f>
        <v>-4913761.709022209</v>
      </c>
      <c r="R1160" s="70">
        <f t="shared" ref="R1160" si="454">Q1160/B1129</f>
        <v>-6.5889743396103456E-2</v>
      </c>
      <c r="S1160" s="67">
        <f t="shared" ref="S1160" si="455">B1160-C1160-D1069</f>
        <v>12969717.483471692</v>
      </c>
      <c r="T1160" s="70">
        <f t="shared" ref="T1160" si="456">S1160/B1069</f>
        <v>0.22877493701042326</v>
      </c>
      <c r="U1160" s="67">
        <f t="shared" ref="U1160" si="457">B1160-C1160-D794</f>
        <v>29618819.990236796</v>
      </c>
      <c r="V1160" s="70">
        <f t="shared" ref="V1160" si="458">U1160/B794</f>
        <v>0.73967653540087985</v>
      </c>
      <c r="W1160" s="87">
        <f t="shared" ref="W1160" si="459">O1160/P1160</f>
        <v>0.66859438768812962</v>
      </c>
      <c r="X1160" s="142">
        <f t="shared" si="254"/>
        <v>1.7857142857142857E-4</v>
      </c>
      <c r="Y1160" s="139">
        <f t="shared" ref="Y1160" si="460">G1160-X1160</f>
        <v>-9.8641105776305429E-3</v>
      </c>
      <c r="Z1160" s="139">
        <f t="shared" ref="Z1160" si="461">IF(Y1160&lt;0,Y1160,0)</f>
        <v>-9.8641105776305429E-3</v>
      </c>
      <c r="AA1160" s="139">
        <f t="shared" ref="AA1160" si="462">Z1160^2</f>
        <v>9.7300677487722762E-5</v>
      </c>
      <c r="AB1160" s="144">
        <f t="shared" ref="AB1160" si="463">AVERAGE(Y907:Y1160)/AVERAGE(AA907:AA1160)</f>
        <v>1.7383629492509944</v>
      </c>
      <c r="AC1160" s="144">
        <f t="shared" ref="AC1160" si="464">AVERAGE(G1129:G1160)-_xlfn.NORM.S.INV(0.95)*_xlfn.STDEV.S(G1129:G1160)</f>
        <v>-3.7218782711741512E-2</v>
      </c>
      <c r="AD1160" s="144">
        <f t="shared" ref="AD1160" si="465">AVERAGE(G1069:G1160)-_xlfn.NORM.S.INV(0.95)*_xlfn.STDEV.S(G1069:G1160)</f>
        <v>-4.3883691308714404E-2</v>
      </c>
      <c r="AE1160" s="144">
        <f t="shared" ref="AE1160" si="466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7">B1161</f>
        <v>72017375.235193595</v>
      </c>
      <c r="E1161" s="67">
        <f t="shared" ref="E1161" si="468">IF(MONTH(A1161)=MONTH(A1160),E1160,D1160)</f>
        <v>75288855.555961996</v>
      </c>
      <c r="F1161" s="67">
        <f t="shared" ref="F1161" si="469">B1161-C1161-D1160</f>
        <v>2355619.4849568009</v>
      </c>
      <c r="G1161" s="70">
        <f t="shared" ref="G1161" si="470">F1161/B1160</f>
        <v>3.3815103561308006E-2</v>
      </c>
      <c r="H1161" s="67">
        <f t="shared" ref="H1161" si="471">IF(WEEKNUM(A1161)=WEEKNUM(A1160),H1160+F1161,F1161)</f>
        <v>-4562423.4213749021</v>
      </c>
      <c r="I1161" s="70">
        <f t="shared" ref="I1161" si="472">IF(WEEKNUM(A1161)=WEEKNUM(A1160),I1160+G1161,G1161)</f>
        <v>-5.8158016007755504E-2</v>
      </c>
      <c r="J1161" s="67">
        <f t="shared" ref="J1161" si="473">IF(MONTH(A1161)=MONTH(A1160),J1160+F1161,F1161)</f>
        <v>-3471480.320768401</v>
      </c>
      <c r="K1161" s="70">
        <f t="shared" ref="K1161" si="474">(1+K1160)*(1+G1161)-1</f>
        <v>-4.5870031977040093E-2</v>
      </c>
      <c r="L1161" s="70">
        <f t="shared" ref="L1161" si="475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6">B1161-C1161-D1130</f>
        <v>-5231453.8270529062</v>
      </c>
      <c r="R1161" s="70">
        <f t="shared" ref="R1161" si="477">Q1161/B1130</f>
        <v>-6.7722111656054254E-2</v>
      </c>
      <c r="S1161" s="67">
        <f t="shared" ref="S1161" si="478">B1161-C1161-D1070</f>
        <v>12211856.785380095</v>
      </c>
      <c r="T1161" s="70">
        <f t="shared" ref="T1161" si="479">S1161/B1070</f>
        <v>0.20419280865573999</v>
      </c>
      <c r="U1161" s="67">
        <f t="shared" ref="U1161" si="480">B1161-C1161-D795</f>
        <v>31589734.305193596</v>
      </c>
      <c r="V1161" s="70">
        <f t="shared" ref="V1161" si="481">U1161/B795</f>
        <v>0.78138950427235809</v>
      </c>
      <c r="W1161" s="87">
        <f t="shared" ref="W1161" si="482">O1161/P1161</f>
        <v>0.73259700906989633</v>
      </c>
      <c r="X1161" s="142">
        <f t="shared" si="254"/>
        <v>1.7857142857142857E-4</v>
      </c>
      <c r="Y1161" s="139">
        <f t="shared" ref="Y1161" si="483">G1161-X1161</f>
        <v>3.3636532132736575E-2</v>
      </c>
      <c r="Z1161" s="139">
        <f t="shared" ref="Z1161" si="484">IF(Y1161&lt;0,Y1161,0)</f>
        <v>0</v>
      </c>
      <c r="AA1161" s="139">
        <f t="shared" ref="AA1161" si="485">Z1161^2</f>
        <v>0</v>
      </c>
      <c r="AB1161" s="144">
        <f t="shared" ref="AB1161" si="486">AVERAGE(Y908:Y1161)/AVERAGE(AA908:AA1161)</f>
        <v>2.1131222847382274</v>
      </c>
      <c r="AC1161" s="144">
        <f t="shared" ref="AC1161" si="487">AVERAGE(G1130:G1161)-_xlfn.NORM.S.INV(0.95)*_xlfn.STDEV.S(G1130:G1161)</f>
        <v>-3.6046202454409551E-2</v>
      </c>
      <c r="AD1161" s="144">
        <f t="shared" ref="AD1161" si="488">AVERAGE(G1070:G1161)-_xlfn.NORM.S.INV(0.95)*_xlfn.STDEV.S(G1070:G1161)</f>
        <v>-4.3842552627768948E-2</v>
      </c>
      <c r="AE1161" s="144">
        <f t="shared" ref="AE1161" si="489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0">B1162</f>
        <v>74183361.931585699</v>
      </c>
      <c r="E1162" s="67">
        <f t="shared" ref="E1162" si="491">IF(MONTH(A1162)=MONTH(A1161),E1161,D1161)</f>
        <v>75288855.555961996</v>
      </c>
      <c r="F1162" s="67">
        <f t="shared" ref="F1162" si="492">B1162-C1162-D1161</f>
        <v>2165986.696392104</v>
      </c>
      <c r="G1162" s="70">
        <f t="shared" ref="G1162" si="493">F1162/B1161</f>
        <v>3.0075890565553761E-2</v>
      </c>
      <c r="H1162" s="67">
        <f t="shared" ref="H1162" si="494">IF(WEEKNUM(A1162)=WEEKNUM(A1161),H1161+F1162,F1162)</f>
        <v>2165986.696392104</v>
      </c>
      <c r="I1162" s="70">
        <f t="shared" ref="I1162" si="495">IF(WEEKNUM(A1162)=WEEKNUM(A1161),I1161+G1162,G1162)</f>
        <v>3.0075890565553761E-2</v>
      </c>
      <c r="J1162" s="67">
        <f t="shared" ref="J1162" si="496">IF(MONTH(A1162)=MONTH(A1161),J1161+F1162,F1162)</f>
        <v>-1305493.624376297</v>
      </c>
      <c r="K1162" s="70">
        <f t="shared" ref="K1162" si="497">(1+K1161)*(1+G1162)-1</f>
        <v>-1.717372347346624E-2</v>
      </c>
      <c r="L1162" s="70">
        <f t="shared" ref="L1162" si="498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499">B1162-C1162-D1131</f>
        <v>-3088399.3625750989</v>
      </c>
      <c r="R1162" s="70">
        <f t="shared" ref="R1162" si="500">Q1162/B1131</f>
        <v>-3.9968020798931629E-2</v>
      </c>
      <c r="S1162" s="67">
        <f t="shared" ref="S1162" si="501">B1162-C1162-D1071</f>
        <v>13046851.308472797</v>
      </c>
      <c r="T1162" s="70">
        <f t="shared" ref="T1162" si="502">S1162/B1071</f>
        <v>0.21340523323129246</v>
      </c>
      <c r="U1162" s="67">
        <f t="shared" ref="U1162" si="503">B1162-C1162-D796</f>
        <v>33765455.441585697</v>
      </c>
      <c r="V1162" s="70">
        <f t="shared" ref="V1162" si="504">U1162/B796</f>
        <v>0.83540832205002447</v>
      </c>
      <c r="W1162" s="87">
        <f t="shared" ref="W1162" si="505">O1162/P1162</f>
        <v>0.78910321452855026</v>
      </c>
      <c r="X1162" s="142">
        <f t="shared" si="254"/>
        <v>1.7857142857142857E-4</v>
      </c>
      <c r="Y1162" s="139">
        <f t="shared" ref="Y1162" si="506">G1162-X1162</f>
        <v>2.9897319136982334E-2</v>
      </c>
      <c r="Z1162" s="139">
        <f t="shared" ref="Z1162" si="507">IF(Y1162&lt;0,Y1162,0)</f>
        <v>0</v>
      </c>
      <c r="AA1162" s="139">
        <f t="shared" ref="AA1162" si="508">Z1162^2</f>
        <v>0</v>
      </c>
      <c r="AB1162" s="144">
        <f t="shared" ref="AB1162" si="509">AVERAGE(Y909:Y1162)/AVERAGE(AA909:AA1162)</f>
        <v>2.7393043593239934</v>
      </c>
      <c r="AC1162" s="144">
        <f t="shared" ref="AC1162" si="510">AVERAGE(G1131:G1162)-_xlfn.NORM.S.INV(0.95)*_xlfn.STDEV.S(G1131:G1162)</f>
        <v>-3.573525359456043E-2</v>
      </c>
      <c r="AD1162" s="144">
        <f t="shared" ref="AD1162" si="511">AVERAGE(G1071:G1162)-_xlfn.NORM.S.INV(0.95)*_xlfn.STDEV.S(G1071:G1162)</f>
        <v>-4.349188378820866E-2</v>
      </c>
      <c r="AE1162" s="144">
        <f t="shared" ref="AE1162" si="512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3">B1163</f>
        <v>75925636.637719199</v>
      </c>
      <c r="E1163" s="67">
        <f t="shared" ref="E1163" si="514">IF(MONTH(A1163)=MONTH(A1162),E1162,D1162)</f>
        <v>75288855.555961996</v>
      </c>
      <c r="F1163" s="67">
        <f t="shared" ref="F1163" si="515">B1163-C1163-D1162</f>
        <v>1742274.7061334997</v>
      </c>
      <c r="G1163" s="70">
        <f t="shared" ref="G1163" si="516">F1163/B1162</f>
        <v>2.3486057530532008E-2</v>
      </c>
      <c r="H1163" s="67">
        <f t="shared" ref="H1163" si="517">IF(WEEKNUM(A1163)=WEEKNUM(A1162),H1162+F1163,F1163)</f>
        <v>3908261.4025256038</v>
      </c>
      <c r="I1163" s="70">
        <f t="shared" ref="I1163" si="518">IF(WEEKNUM(A1163)=WEEKNUM(A1162),I1162+G1163,G1163)</f>
        <v>5.3561948096085769E-2</v>
      </c>
      <c r="J1163" s="67">
        <f t="shared" ref="J1163" si="519">IF(MONTH(A1163)=MONTH(A1162),J1162+F1163,F1163)</f>
        <v>436781.08175720274</v>
      </c>
      <c r="K1163" s="70">
        <f t="shared" ref="K1163" si="520">(1+K1162)*(1+G1163)-1</f>
        <v>5.9089909995544421E-3</v>
      </c>
      <c r="L1163" s="70">
        <f t="shared" ref="L1163" si="521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2">B1163-C1163-D1132</f>
        <v>-265104.46751789749</v>
      </c>
      <c r="R1163" s="70">
        <f t="shared" ref="R1163" si="523">Q1163/B1132</f>
        <v>-3.4794840379847032E-3</v>
      </c>
      <c r="S1163" s="67">
        <f t="shared" ref="S1163" si="524">B1163-C1163-D1072</f>
        <v>12726968.789729699</v>
      </c>
      <c r="T1163" s="70">
        <f t="shared" ref="T1163" si="525">S1163/B1072</f>
        <v>0.20138033321116236</v>
      </c>
      <c r="U1163" s="67">
        <f t="shared" ref="U1163" si="526">B1163-C1163-D797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0.83285114116164127</v>
      </c>
      <c r="X1163" s="142">
        <f t="shared" si="254"/>
        <v>1.7857142857142857E-4</v>
      </c>
      <c r="Y1163" s="139">
        <f t="shared" ref="Y1163" si="529">G1163-X1163</f>
        <v>2.3307486101960581E-2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2.9223798615438361</v>
      </c>
      <c r="AC1163" s="144">
        <f t="shared" ref="AC1163" si="533">AVERAGE(G1132:G1163)-_xlfn.NORM.S.INV(0.95)*_xlfn.STDEV.S(G1132:G1163)</f>
        <v>-3.5742907061425036E-2</v>
      </c>
      <c r="AD1163" s="144">
        <f t="shared" ref="AD1163" si="534">AVERAGE(G1072:G1163)-_xlfn.NORM.S.INV(0.95)*_xlfn.STDEV.S(G1072:G1163)</f>
        <v>-4.3494117944554524E-2</v>
      </c>
      <c r="AE1163" s="144">
        <f t="shared" ref="AE1163" si="535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6">B1164</f>
        <v>75928550.679627493</v>
      </c>
      <c r="E1164" s="67">
        <f t="shared" ref="E1164" si="537">IF(MONTH(A1164)=MONTH(A1163),E1163,D1163)</f>
        <v>75288855.555961996</v>
      </c>
      <c r="F1164" s="67">
        <f t="shared" ref="F1164" si="538">B1164-C1164-D1163</f>
        <v>2914.0419082939625</v>
      </c>
      <c r="G1164" s="70">
        <f t="shared" ref="G1164" si="539">F1164/B1163</f>
        <v>3.8380210391891424E-5</v>
      </c>
      <c r="H1164" s="67">
        <f t="shared" ref="H1164" si="540">IF(WEEKNUM(A1164)=WEEKNUM(A1163),H1163+F1164,F1164)</f>
        <v>3911175.4444338977</v>
      </c>
      <c r="I1164" s="70">
        <f t="shared" ref="I1164" si="541">IF(WEEKNUM(A1164)=WEEKNUM(A1163),I1163+G1164,G1164)</f>
        <v>5.3600328306477658E-2</v>
      </c>
      <c r="J1164" s="67">
        <f t="shared" ref="J1164" si="542">IF(MONTH(A1164)=MONTH(A1163),J1163+F1164,F1164)</f>
        <v>439695.12366549671</v>
      </c>
      <c r="K1164" s="70">
        <f t="shared" ref="K1164" si="543">(1+K1163)*(1+G1164)-1</f>
        <v>5.9475979982639426E-3</v>
      </c>
      <c r="L1164" s="70">
        <f t="shared" ref="L1164" si="544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5">B1164-C1164-D1133</f>
        <v>621129.98584848642</v>
      </c>
      <c r="R1164" s="70">
        <f t="shared" ref="R1164" si="546">Q1164/B1133</f>
        <v>8.2479253721113935E-3</v>
      </c>
      <c r="S1164" s="67">
        <f t="shared" ref="S1164" si="547">B1164-C1164-D1073</f>
        <v>14150745.843962096</v>
      </c>
      <c r="T1164" s="70">
        <f t="shared" ref="T1164" si="548">S1164/B1073</f>
        <v>0.22905873527886547</v>
      </c>
      <c r="U1164" s="67">
        <f t="shared" ref="U1164" si="549">B1164-C1164-D798</f>
        <v>35146692.90962749</v>
      </c>
      <c r="V1164" s="70">
        <f t="shared" ref="V1164" si="550">U1164/B798</f>
        <v>0.86182177153003903</v>
      </c>
      <c r="W1164" s="87">
        <f t="shared" ref="W1164" si="551">O1164/P1164</f>
        <v>0.83130006291272041</v>
      </c>
      <c r="X1164" s="142">
        <f t="shared" si="254"/>
        <v>1.7857142857142857E-4</v>
      </c>
      <c r="Y1164" s="139">
        <f t="shared" ref="Y1164" si="552">G1164-X1164</f>
        <v>-1.4019121817953714E-4</v>
      </c>
      <c r="Z1164" s="139">
        <f t="shared" ref="Z1164" si="553">IF(Y1164&lt;0,Y1164,0)</f>
        <v>-1.4019121817953714E-4</v>
      </c>
      <c r="AA1164" s="139">
        <f t="shared" ref="AA1164" si="554">Z1164^2</f>
        <v>1.9653577654662586E-8</v>
      </c>
      <c r="AB1164" s="144">
        <f t="shared" ref="AB1164" si="555">AVERAGE(Y911:Y1164)/AVERAGE(AA911:AA1164)</f>
        <v>3.5185405366843501</v>
      </c>
      <c r="AC1164" s="144">
        <f t="shared" ref="AC1164" si="556">AVERAGE(G1133:G1164)-_xlfn.NORM.S.INV(0.95)*_xlfn.STDEV.S(G1133:G1164)</f>
        <v>-3.5068398645665494E-2</v>
      </c>
      <c r="AD1164" s="144">
        <f t="shared" ref="AD1164" si="557">AVERAGE(G1073:G1164)-_xlfn.NORM.S.INV(0.95)*_xlfn.STDEV.S(G1073:G1164)</f>
        <v>-4.3557129790647513E-2</v>
      </c>
      <c r="AE1164" s="144">
        <f t="shared" ref="AE1164" si="558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59">B1165</f>
        <v>75709228.804973707</v>
      </c>
      <c r="E1165" s="67">
        <f t="shared" ref="E1165" si="560">IF(MONTH(A1165)=MONTH(A1164),E1164,D1164)</f>
        <v>75288855.555961996</v>
      </c>
      <c r="F1165" s="67">
        <f t="shared" ref="F1165" si="561">B1165-C1165-D1164</f>
        <v>-219321.87465378642</v>
      </c>
      <c r="G1165" s="70">
        <f t="shared" ref="G1165" si="562">F1165/B1164</f>
        <v>-2.8885297123501267E-3</v>
      </c>
      <c r="H1165" s="67">
        <f t="shared" ref="H1165" si="563">IF(WEEKNUM(A1165)=WEEKNUM(A1164),H1164+F1165,F1165)</f>
        <v>3691853.5697801113</v>
      </c>
      <c r="I1165" s="70">
        <f t="shared" ref="I1165" si="564">IF(WEEKNUM(A1165)=WEEKNUM(A1164),I1164+G1165,G1165)</f>
        <v>5.0711798594127534E-2</v>
      </c>
      <c r="J1165" s="67">
        <f t="shared" ref="J1165" si="565">IF(MONTH(A1165)=MONTH(A1164),J1164+F1165,F1165)</f>
        <v>220373.24901171029</v>
      </c>
      <c r="K1165" s="70">
        <f t="shared" ref="K1165" si="566">(1+K1164)*(1+G1165)-1</f>
        <v>3.0418884723788508E-3</v>
      </c>
      <c r="L1165" s="70">
        <f t="shared" ref="L1165" si="567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68">B1165-C1165-D1134</f>
        <v>1484659.599171102</v>
      </c>
      <c r="R1165" s="70">
        <f t="shared" ref="R1165" si="569">Q1165/B1134</f>
        <v>2.0002266298839451E-2</v>
      </c>
      <c r="S1165" s="67">
        <f t="shared" ref="S1165" si="570">B1165-C1165-D1074</f>
        <v>13050784.450105108</v>
      </c>
      <c r="T1165" s="70">
        <f t="shared" ref="T1165" si="571">S1165/B1074</f>
        <v>0.20828452708132156</v>
      </c>
      <c r="U1165" s="67">
        <f t="shared" ref="U1165" si="572">B1165-C1165-D799</f>
        <v>34876281.404973708</v>
      </c>
      <c r="V1165" s="70">
        <f t="shared" ref="V1165" si="573">U1165/B799</f>
        <v>0.85412108666379816</v>
      </c>
      <c r="W1165" s="87">
        <f t="shared" ref="W1165" si="574">O1165/P1165</f>
        <v>0.82401578034907086</v>
      </c>
      <c r="X1165" s="142">
        <f t="shared" si="254"/>
        <v>1.7857142857142857E-4</v>
      </c>
      <c r="Y1165" s="139">
        <f t="shared" ref="Y1165" si="575">G1165-X1165</f>
        <v>-3.0671011409215553E-3</v>
      </c>
      <c r="Z1165" s="139">
        <f t="shared" ref="Z1165" si="576">IF(Y1165&lt;0,Y1165,0)</f>
        <v>-3.0671011409215553E-3</v>
      </c>
      <c r="AA1165" s="139">
        <f t="shared" ref="AA1165" si="577">Z1165^2</f>
        <v>9.4071094086423054E-6</v>
      </c>
      <c r="AB1165" s="144">
        <f t="shared" ref="AB1165" si="578">AVERAGE(Y912:Y1165)/AVERAGE(AA912:AA1165)</f>
        <v>4.0897370174876073</v>
      </c>
      <c r="AC1165" s="144">
        <f t="shared" ref="AC1165" si="579">AVERAGE(G1134:G1165)-_xlfn.NORM.S.INV(0.95)*_xlfn.STDEV.S(G1134:G1165)</f>
        <v>-3.4635552394053783E-2</v>
      </c>
      <c r="AD1165" s="144">
        <f t="shared" ref="AD1165" si="580">AVERAGE(G1074:G1165)-_xlfn.NORM.S.INV(0.95)*_xlfn.STDEV.S(G1074:G1165)</f>
        <v>-4.3148933856579495E-2</v>
      </c>
      <c r="AE1165" s="144">
        <f t="shared" ref="AE1165" si="581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2">B1166</f>
        <v>73648042.516767606</v>
      </c>
      <c r="E1166" s="67">
        <f t="shared" ref="E1166" si="583">IF(MONTH(A1166)=MONTH(A1165),E1165,D1165)</f>
        <v>75288855.555961996</v>
      </c>
      <c r="F1166" s="67">
        <f t="shared" ref="F1166" si="584">B1166-C1166-D1165</f>
        <v>-2061186.2882061005</v>
      </c>
      <c r="G1166" s="70">
        <f t="shared" ref="G1166" si="585">F1166/B1165</f>
        <v>-2.7225033470037026E-2</v>
      </c>
      <c r="H1166" s="67">
        <f t="shared" ref="H1166" si="586">IF(WEEKNUM(A1166)=WEEKNUM(A1165),H1165+F1166,F1166)</f>
        <v>1630667.2815740108</v>
      </c>
      <c r="I1166" s="70">
        <f t="shared" ref="I1166" si="587">IF(WEEKNUM(A1166)=WEEKNUM(A1165),I1165+G1166,G1166)</f>
        <v>2.3486765124090508E-2</v>
      </c>
      <c r="J1166" s="67">
        <f t="shared" ref="J1166" si="588">IF(MONTH(A1166)=MONTH(A1165),J1165+F1166,F1166)</f>
        <v>-1840813.0391943902</v>
      </c>
      <c r="K1166" s="70">
        <f t="shared" ref="K1166" si="589">(1+K1165)*(1+G1166)-1</f>
        <v>-2.4265960513130791E-2</v>
      </c>
      <c r="L1166" s="70">
        <f t="shared" ref="L1166" si="590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1">B1166-C1166-D1135</f>
        <v>208006.11023470759</v>
      </c>
      <c r="R1166" s="70">
        <f t="shared" ref="R1166" si="592">Q1166/B1135</f>
        <v>2.8323258050046976E-3</v>
      </c>
      <c r="S1166" s="67">
        <f t="shared" ref="S1166" si="593">B1166-C1166-D1075</f>
        <v>13385793.845856205</v>
      </c>
      <c r="T1166" s="70">
        <f t="shared" ref="T1166" si="594">S1166/B1075</f>
        <v>0.22212569462774678</v>
      </c>
      <c r="U1166" s="67">
        <f t="shared" ref="U1166" si="595">B1166-C1166-D800</f>
        <v>33480643.636767603</v>
      </c>
      <c r="V1166" s="70">
        <f t="shared" ref="V1166" si="596">U1166/B800</f>
        <v>0.83352780041323904</v>
      </c>
      <c r="W1166" s="87">
        <f t="shared" ref="W1166" si="597">O1166/P1166</f>
        <v>0.76814065372372931</v>
      </c>
      <c r="X1166" s="142">
        <f t="shared" si="254"/>
        <v>1.7857142857142857E-4</v>
      </c>
      <c r="Y1166" s="139">
        <f t="shared" ref="Y1166" si="598">G1166-X1166</f>
        <v>-2.7403604898608453E-2</v>
      </c>
      <c r="Z1166" s="139">
        <f t="shared" ref="Z1166" si="599">IF(Y1166&lt;0,Y1166,0)</f>
        <v>-2.7403604898608453E-2</v>
      </c>
      <c r="AA1166" s="139">
        <f t="shared" ref="AA1166" si="600">Z1166^2</f>
        <v>7.509575614390372E-4</v>
      </c>
      <c r="AB1166" s="144">
        <f t="shared" ref="AB1166" si="601">AVERAGE(Y913:Y1166)/AVERAGE(AA913:AA1166)</f>
        <v>3.9171418412379793</v>
      </c>
      <c r="AC1166" s="144">
        <f t="shared" ref="AC1166" si="602">AVERAGE(G1135:G1166)-_xlfn.NORM.S.INV(0.95)*_xlfn.STDEV.S(G1135:G1166)</f>
        <v>-3.5701539542127798E-2</v>
      </c>
      <c r="AD1166" s="144">
        <f t="shared" ref="AD1166" si="603">AVERAGE(G1075:G1166)-_xlfn.NORM.S.INV(0.95)*_xlfn.STDEV.S(G1075:G1166)</f>
        <v>-4.3843979903813009E-2</v>
      </c>
      <c r="AE1166" s="144">
        <f t="shared" ref="AE1166" si="604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5">B1167</f>
        <v>72275004.793477505</v>
      </c>
      <c r="E1167" s="67">
        <f t="shared" ref="E1167" si="606">IF(MONTH(A1167)=MONTH(A1166),E1166,D1166)</f>
        <v>75288855.555961996</v>
      </c>
      <c r="F1167" s="67">
        <f t="shared" ref="F1167" si="607">B1167-C1167-D1166</f>
        <v>-1373037.7232901007</v>
      </c>
      <c r="G1167" s="70">
        <f t="shared" ref="G1167" si="608">F1167/B1166</f>
        <v>-1.8643234448186431E-2</v>
      </c>
      <c r="H1167" s="67">
        <f t="shared" ref="H1167" si="609">IF(WEEKNUM(A1167)=WEEKNUM(A1166),H1166+F1167,F1167)</f>
        <v>-1373037.7232901007</v>
      </c>
      <c r="I1167" s="70">
        <f t="shared" ref="I1167" si="610">IF(WEEKNUM(A1167)=WEEKNUM(A1166),I1166+G1167,G1167)</f>
        <v>-1.8643234448186431E-2</v>
      </c>
      <c r="J1167" s="67">
        <f t="shared" ref="J1167" si="611">IF(MONTH(A1167)=MONTH(A1166),J1166+F1167,F1167)</f>
        <v>-3213850.7624844909</v>
      </c>
      <c r="K1167" s="70">
        <f t="shared" ref="K1167" si="612">(1+K1166)*(1+G1167)-1</f>
        <v>-4.2456798970360476E-2</v>
      </c>
      <c r="L1167" s="70">
        <f t="shared" ref="L1167" si="613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4">B1167-C1167-D1136</f>
        <v>1243371.7553371042</v>
      </c>
      <c r="R1167" s="70">
        <f t="shared" ref="R1167" si="615">Q1167/B1136</f>
        <v>1.7504479372865839E-2</v>
      </c>
      <c r="S1167" s="67">
        <f t="shared" ref="S1167" si="616">B1167-C1167-D1076</f>
        <v>8769639.5048285052</v>
      </c>
      <c r="T1167" s="70">
        <f t="shared" ref="T1167" si="617">S1167/B1076</f>
        <v>0.13809289128513993</v>
      </c>
      <c r="U1167" s="67">
        <f t="shared" ref="U1167" si="618">B1167-C1167-D801</f>
        <v>33946135.613477506</v>
      </c>
      <c r="V1167" s="70">
        <f t="shared" ref="V1167" si="619">U1167/B801</f>
        <v>0.88565450376476529</v>
      </c>
      <c r="W1167" s="87">
        <f t="shared" ref="W1167" si="620">O1167/P1167</f>
        <v>0.72989447646112171</v>
      </c>
      <c r="X1167" s="142">
        <f t="shared" si="254"/>
        <v>1.7857142857142857E-4</v>
      </c>
      <c r="Y1167" s="139">
        <f t="shared" ref="Y1167" si="621">G1167-X1167</f>
        <v>-1.8821805876757858E-2</v>
      </c>
      <c r="Z1167" s="139">
        <f t="shared" ref="Z1167" si="622">IF(Y1167&lt;0,Y1167,0)</f>
        <v>-1.8821805876757858E-2</v>
      </c>
      <c r="AA1167" s="139">
        <f t="shared" ref="AA1167" si="623">Z1167^2</f>
        <v>3.5426037646235664E-4</v>
      </c>
      <c r="AB1167" s="144">
        <f t="shared" ref="AB1167" si="624">AVERAGE(Y914:Y1167)/AVERAGE(AA914:AA1167)</f>
        <v>3.748418876771459</v>
      </c>
      <c r="AC1167" s="144">
        <f t="shared" ref="AC1167" si="625">AVERAGE(G1136:G1167)-_xlfn.NORM.S.INV(0.95)*_xlfn.STDEV.S(G1136:G1167)</f>
        <v>-3.6237407366190473E-2</v>
      </c>
      <c r="AD1167" s="144">
        <f t="shared" ref="AD1167" si="626">AVERAGE(G1076:G1167)-_xlfn.NORM.S.INV(0.95)*_xlfn.STDEV.S(G1076:G1167)</f>
        <v>-4.3239200097306495E-2</v>
      </c>
      <c r="AE1167" s="144">
        <f t="shared" ref="AE1167" si="627">AVERAGE(G801:G1167)-_xlfn.NORM.S.INV(0.95)*_xlfn.STDEV.S(G801:G1167)</f>
        <v>-4.8121206069827879E-2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70" si="628">B1168</f>
        <v>71204832.621444106</v>
      </c>
      <c r="E1168" s="80">
        <f t="shared" ref="E1168:E1170" si="629">IF(MONTH(A1168)=MONTH(A1167),E1167,D1167)</f>
        <v>75288855.555961996</v>
      </c>
      <c r="F1168" s="80">
        <f t="shared" ref="F1168:F1170" si="630">B1168-C1168-D1167</f>
        <v>-1070172.1720333993</v>
      </c>
      <c r="G1168" s="81">
        <f t="shared" ref="G1168:G1170" si="631">F1168/B1167</f>
        <v>-1.4806947091755538E-2</v>
      </c>
      <c r="H1168" s="80">
        <f t="shared" ref="H1168" si="632">IF(WEEKNUM(A1168)=WEEKNUM(A1167),H1167+F1168,F1168)</f>
        <v>-2443209.8953235</v>
      </c>
      <c r="I1168" s="81">
        <f t="shared" ref="I1168" si="633">IF(WEEKNUM(A1168)=WEEKNUM(A1167),I1167+G1168,G1168)</f>
        <v>-3.3450181539941969E-2</v>
      </c>
      <c r="J1168" s="80">
        <f t="shared" ref="J1168:J1170" si="634">IF(MONTH(A1168)=MONTH(A1167),J1167+F1168,F1168)</f>
        <v>-4284022.9345178902</v>
      </c>
      <c r="K1168" s="81">
        <f t="shared" ref="K1168" si="635">(1+K1167)*(1+G1168)-1</f>
        <v>-5.6635090486076622E-2</v>
      </c>
      <c r="L1168" s="81">
        <f t="shared" ref="L1168:L1170" si="636">1+G1168</f>
        <v>0.98519305290824444</v>
      </c>
      <c r="M1168" s="81">
        <f>PRODUCT($L$2:L1168)-1</f>
        <v>0.59513717102986097</v>
      </c>
      <c r="N1168" s="81">
        <f>PRODUCT($L$909:L1168)-1</f>
        <v>0.26049944945266224</v>
      </c>
      <c r="O1168" s="81">
        <f>AVERAGE($G$909:G1168)*252</f>
        <v>0.35034531284812298</v>
      </c>
      <c r="P1168" s="81">
        <f>STDEV($G$909:G1168)*252^0.5</f>
        <v>0.50087248564506914</v>
      </c>
      <c r="Q1168" s="80">
        <f t="shared" ref="Q1168" si="637">B1168-C1168-D1137</f>
        <v>-901124.66062599421</v>
      </c>
      <c r="R1168" s="81">
        <f t="shared" ref="R1168:R1170" si="638">Q1168/B1137</f>
        <v>-1.249722900288113E-2</v>
      </c>
      <c r="S1168" s="80">
        <f t="shared" ref="S1168" si="639">B1168-C1168-D1077</f>
        <v>8821999.1092319041</v>
      </c>
      <c r="T1168" s="81">
        <f t="shared" ref="T1168:T1169" si="640">S1168/B1077</f>
        <v>0.14141709525754212</v>
      </c>
      <c r="U1168" s="80">
        <f t="shared" ref="U1168" si="641">B1168-C1168-D802</f>
        <v>33452277.181444108</v>
      </c>
      <c r="V1168" s="81">
        <f t="shared" ref="V1168:V1169" si="642">U1168/B802</f>
        <v>0.8860930549353061</v>
      </c>
      <c r="W1168" s="136">
        <f t="shared" ref="W1168:W1169" si="643">O1168/P1168</f>
        <v>0.69947007050490395</v>
      </c>
      <c r="X1168" s="143">
        <f t="shared" si="254"/>
        <v>1.7857142857142857E-4</v>
      </c>
      <c r="Y1168" s="140">
        <f t="shared" ref="Y1168" si="644">G1168-X1168</f>
        <v>-1.4985518520326967E-2</v>
      </c>
      <c r="Z1168" s="140">
        <f t="shared" ref="Z1168" si="645">IF(Y1168&lt;0,Y1168,0)</f>
        <v>-1.4985518520326967E-2</v>
      </c>
      <c r="AA1168" s="140">
        <f t="shared" ref="AA1168" si="646">Z1168^2</f>
        <v>2.2456576532306252E-4</v>
      </c>
      <c r="AB1168" s="145">
        <f t="shared" ref="AB1168" si="647">AVERAGE(Y915:Y1168)/AVERAGE(AA915:AA1168)</f>
        <v>3.3898611370546217</v>
      </c>
      <c r="AC1168" s="145">
        <f t="shared" ref="AC1168" si="648">AVERAGE(G1137:G1168)-_xlfn.NORM.S.INV(0.95)*_xlfn.STDEV.S(G1137:G1168)</f>
        <v>-3.4621663176414852E-2</v>
      </c>
      <c r="AD1168" s="145">
        <f t="shared" ref="AD1168" si="649">AVERAGE(G1077:G1168)-_xlfn.NORM.S.INV(0.95)*_xlfn.STDEV.S(G1077:G1168)</f>
        <v>-4.3212003535676245E-2</v>
      </c>
      <c r="AE1168" s="145">
        <f t="shared" ref="AE1168" si="650">AVERAGE(G802:G1168)-_xlfn.NORM.S.INV(0.95)*_xlfn.STDEV.S(G802:G1168)</f>
        <v>-4.7889205127882965E-2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28"/>
        <v>63255466.560107999</v>
      </c>
      <c r="E1169" s="67">
        <f t="shared" si="629"/>
        <v>71204832.621444106</v>
      </c>
      <c r="F1169" s="67">
        <f t="shared" si="630"/>
        <v>1050633.9386638999</v>
      </c>
      <c r="G1169" s="70">
        <f t="shared" si="631"/>
        <v>1.4755093158487253E-2</v>
      </c>
      <c r="H1169" s="272">
        <f>J1169</f>
        <v>1050633.9386638999</v>
      </c>
      <c r="I1169" s="271">
        <f>K1169</f>
        <v>1.4755093158487253E-2</v>
      </c>
      <c r="J1169" s="67">
        <f t="shared" si="634"/>
        <v>1050633.9386638999</v>
      </c>
      <c r="K1169" s="70">
        <f>G1169</f>
        <v>1.4755093158487253E-2</v>
      </c>
      <c r="L1169" s="70">
        <f t="shared" si="636"/>
        <v>1.0147550931584872</v>
      </c>
      <c r="M1169" s="70">
        <f>PRODUCT($L$2:L1169)-1</f>
        <v>0.61867356858897238</v>
      </c>
      <c r="N1169" s="85">
        <f>PRODUCT($L$1169:L1169)-1</f>
        <v>1.475509315848722E-2</v>
      </c>
      <c r="O1169" s="85">
        <f>AVERAGE($G$1169:G1169)*252</f>
        <v>3.7182834759387879</v>
      </c>
      <c r="P1169" s="85" t="e">
        <f>STDEV($G$1169:G1169)*252^0.5</f>
        <v>#DIV/0!</v>
      </c>
      <c r="Q1169" s="67">
        <f t="shared" ref="Q1169" si="651">B1169-C1169-D1140</f>
        <v>-3101349.4700603932</v>
      </c>
      <c r="R1169" s="70">
        <f t="shared" si="638"/>
        <v>-4.1906767922036355E-2</v>
      </c>
      <c r="S1169" s="67">
        <f t="shared" ref="S1169" si="652">B1169-C1169-D1080</f>
        <v>11991600.444230303</v>
      </c>
      <c r="T1169" s="70">
        <f t="shared" si="640"/>
        <v>0.18976938144993891</v>
      </c>
      <c r="U1169" s="67">
        <f t="shared" ref="U1169" si="653">B1169-C1169-D805</f>
        <v>34484856.90010801</v>
      </c>
      <c r="V1169" s="70">
        <f t="shared" si="642"/>
        <v>0.91223793030466227</v>
      </c>
      <c r="W1169" s="87" t="e">
        <f t="shared" si="643"/>
        <v>#DIV/0!</v>
      </c>
      <c r="X1169" s="142">
        <f t="shared" ref="X1169:X1175" si="654">4.5%/252</f>
        <v>1.7857142857142857E-4</v>
      </c>
      <c r="Y1169" s="139">
        <f t="shared" ref="Y1169:Y1174" si="655">G1169-X1169</f>
        <v>1.4576521729915824E-2</v>
      </c>
      <c r="Z1169" s="139">
        <f t="shared" ref="Z1169:Z1174" si="656">IF(Y1169&lt;0,Y1169,0)</f>
        <v>0</v>
      </c>
      <c r="AA1169" s="139">
        <f t="shared" ref="AA1169:AA1174" si="657">Z1169^2</f>
        <v>0</v>
      </c>
      <c r="AB1169" s="144">
        <f t="shared" ref="AB1169:AB1174" si="658">AVERAGE(Y918:Y1169)/AVERAGE(AA918:AA1169)</f>
        <v>3.6258925045756674</v>
      </c>
      <c r="AC1169" s="144">
        <f t="shared" ref="AC1169:AC1174" si="659">AVERAGE(G1140:G1169)-_xlfn.NORM.S.INV(0.95)*_xlfn.STDEV.S(G1140:G1169)</f>
        <v>-3.5720995633261907E-2</v>
      </c>
      <c r="AD1169" s="144">
        <f t="shared" ref="AD1169:AD1174" si="660">AVERAGE(G1080:G1169)-_xlfn.NORM.S.INV(0.95)*_xlfn.STDEV.S(G1080:G1169)</f>
        <v>-4.2707219794095565E-2</v>
      </c>
      <c r="AE1169" s="144">
        <f t="shared" ref="AE1169:AE1174" si="661">AVERAGE(G805:G1169)-_xlfn.NORM.S.INV(0.95)*_xlfn.STDEV.S(G805:G1169)</f>
        <v>-4.7941056201913523E-2</v>
      </c>
    </row>
    <row r="1170" spans="1:31">
      <c r="A1170" s="88">
        <v>45660</v>
      </c>
      <c r="B1170" s="78">
        <v>66348162.478378601</v>
      </c>
      <c r="D1170" s="67">
        <f t="shared" si="628"/>
        <v>66348162.478378601</v>
      </c>
      <c r="E1170" s="67">
        <f t="shared" si="629"/>
        <v>71204832.621444106</v>
      </c>
      <c r="F1170" s="67">
        <f t="shared" si="630"/>
        <v>3092695.9182706028</v>
      </c>
      <c r="G1170" s="70">
        <f t="shared" si="631"/>
        <v>4.8892152511938132E-2</v>
      </c>
      <c r="H1170" s="67">
        <f t="shared" ref="H1170" si="662">IF(WEEKNUM(A1170)=WEEKNUM(A1169),H1169+F1170,F1170)</f>
        <v>4143329.8569345027</v>
      </c>
      <c r="I1170" s="70">
        <f t="shared" ref="I1170" si="663">IF(WEEKNUM(A1170)=WEEKNUM(A1169),I1169+G1170,G1170)</f>
        <v>6.3647245670425387E-2</v>
      </c>
      <c r="J1170" s="67">
        <f t="shared" si="634"/>
        <v>4143329.8569345027</v>
      </c>
      <c r="K1170" s="70">
        <f t="shared" ref="K1170" si="664">(1+K1169)*(1+G1170)-1</f>
        <v>6.4368653935457987E-2</v>
      </c>
      <c r="L1170" s="70">
        <f t="shared" si="636"/>
        <v>1.0488921525119381</v>
      </c>
      <c r="M1170" s="70">
        <f>PRODUCT($L$2:L1170)-1</f>
        <v>0.6978140035714675</v>
      </c>
      <c r="N1170" s="305">
        <f>PRODUCT($L$1169:L1170)-1</f>
        <v>6.4368653935457987E-2</v>
      </c>
      <c r="O1170" s="305">
        <f>AVERAGE($G$1169:G1170)*252</f>
        <v>8.0195529544735979</v>
      </c>
      <c r="P1170" s="305">
        <f>STDEV($G$1169:G1170)*252^0.5</f>
        <v>0.38318754087773987</v>
      </c>
      <c r="Q1170" s="67">
        <f t="shared" ref="Q1170" si="665">B1170-C1170-D1139</f>
        <v>-7617739.5788531974</v>
      </c>
      <c r="R1170" s="70">
        <f t="shared" si="638"/>
        <v>-0.1029898827294623</v>
      </c>
      <c r="S1170" s="67">
        <f t="shared" ref="S1170" si="666">B1170-C1170-D1081</f>
        <v>4143154.3156563044</v>
      </c>
      <c r="T1170" s="70">
        <f t="shared" ref="T1170" si="667">S1170/B1079</f>
        <v>6.7490684557604708E-2</v>
      </c>
      <c r="U1170" s="67">
        <f t="shared" ref="U1170" si="668">B1170-C1170-D806</f>
        <v>29208381.7683786</v>
      </c>
      <c r="V1170" s="70">
        <f t="shared" ref="V1170" si="669">U1170/B804</f>
        <v>0.76876882840168581</v>
      </c>
      <c r="W1170" s="87">
        <f t="shared" ref="W1170" si="670">O1170/P1170</f>
        <v>20.928532634708816</v>
      </c>
      <c r="X1170" s="142">
        <f t="shared" si="654"/>
        <v>1.7857142857142857E-4</v>
      </c>
      <c r="Y1170" s="139">
        <f t="shared" si="655"/>
        <v>4.8713581083366701E-2</v>
      </c>
      <c r="Z1170" s="139">
        <f t="shared" si="656"/>
        <v>0</v>
      </c>
      <c r="AA1170" s="139">
        <f t="shared" si="657"/>
        <v>0</v>
      </c>
      <c r="AB1170" s="144">
        <f t="shared" si="658"/>
        <v>4.0645772559263671</v>
      </c>
      <c r="AC1170" s="144">
        <f t="shared" si="659"/>
        <v>-3.7339738841182642E-2</v>
      </c>
      <c r="AD1170" s="144">
        <f t="shared" si="660"/>
        <v>-4.2519725913316257E-2</v>
      </c>
      <c r="AE1170" s="144">
        <f t="shared" si="661"/>
        <v>-4.7949071183407861E-2</v>
      </c>
    </row>
    <row r="1171" spans="1:31">
      <c r="A1171" s="88">
        <v>45663</v>
      </c>
      <c r="B1171" s="78">
        <v>68445979.203684106</v>
      </c>
      <c r="D1171" s="67">
        <f t="shared" ref="D1171" si="671">B1171</f>
        <v>68445979.203684106</v>
      </c>
      <c r="E1171" s="67">
        <f t="shared" ref="E1171" si="672">IF(MONTH(A1171)=MONTH(A1170),E1170,D1170)</f>
        <v>71204832.621444106</v>
      </c>
      <c r="F1171" s="67">
        <f t="shared" ref="F1171" si="673">B1171-C1171-D1170</f>
        <v>2097816.7253055051</v>
      </c>
      <c r="G1171" s="70">
        <f t="shared" ref="G1171" si="674">F1171/B1170</f>
        <v>3.1618309338847739E-2</v>
      </c>
      <c r="H1171" s="67">
        <f t="shared" ref="H1171" si="675">IF(WEEKNUM(A1171)=WEEKNUM(A1170),H1170+F1171,F1171)</f>
        <v>2097816.7253055051</v>
      </c>
      <c r="I1171" s="70">
        <f t="shared" ref="I1171" si="676">IF(WEEKNUM(A1171)=WEEKNUM(A1170),I1170+G1171,G1171)</f>
        <v>3.1618309338847739E-2</v>
      </c>
      <c r="J1171" s="67">
        <f t="shared" ref="J1171" si="677">IF(MONTH(A1171)=MONTH(A1170),J1170+F1171,F1171)</f>
        <v>6241146.5822400078</v>
      </c>
      <c r="K1171" s="70">
        <f t="shared" ref="K1171" si="678">(1+K1170)*(1+G1171)-1</f>
        <v>9.8022191286162297E-2</v>
      </c>
      <c r="L1171" s="70">
        <f t="shared" ref="L1171" si="679">1+G1171</f>
        <v>1.0316183093388478</v>
      </c>
      <c r="M1171" s="70">
        <f>PRODUCT($L$2:L1171)-1</f>
        <v>0.75149601193621773</v>
      </c>
      <c r="N1171" s="70">
        <f>PRODUCT($L$1169:L1171)-1</f>
        <v>9.8022191286162297E-2</v>
      </c>
      <c r="O1171" s="70">
        <f>AVERAGE($G$1169:G1171)*252</f>
        <v>8.0023066207789419</v>
      </c>
      <c r="P1171" s="70">
        <f>STDEV($G$1169:G1171)*252^0.5</f>
        <v>0.27096104267409926</v>
      </c>
      <c r="Q1171" s="67">
        <f t="shared" ref="Q1171" si="680">B1171-C1171-D1140</f>
        <v>-6910836.8264842927</v>
      </c>
      <c r="R1171" s="70">
        <f t="shared" ref="R1171" si="681">Q1171/B1140</f>
        <v>-9.170818501298679E-2</v>
      </c>
      <c r="S1171" s="67">
        <f t="shared" ref="S1171" si="682">B1171-C1171-D1082</f>
        <v>6484589.5090664029</v>
      </c>
      <c r="T1171" s="70">
        <f t="shared" ref="T1171" si="683">S1171/B1080</f>
        <v>0.10760327750293322</v>
      </c>
      <c r="U1171" s="67">
        <f t="shared" ref="U1171" si="684">B1171-C1171-D807</f>
        <v>31386107.883684106</v>
      </c>
      <c r="V1171" s="70">
        <f t="shared" ref="V1171" si="685">U1171/B805</f>
        <v>0.83096640923227583</v>
      </c>
      <c r="W1171" s="87">
        <f t="shared" ref="W1171" si="686">O1171/P1171</f>
        <v>29.53305221224656</v>
      </c>
      <c r="X1171" s="142">
        <f t="shared" si="654"/>
        <v>1.7857142857142857E-4</v>
      </c>
      <c r="Y1171" s="139">
        <f t="shared" si="655"/>
        <v>3.1439737910276308E-2</v>
      </c>
      <c r="Z1171" s="139">
        <f t="shared" si="656"/>
        <v>0</v>
      </c>
      <c r="AA1171" s="139">
        <f t="shared" si="657"/>
        <v>0</v>
      </c>
      <c r="AB1171" s="144">
        <f t="shared" si="658"/>
        <v>4.3254567103167609</v>
      </c>
      <c r="AC1171" s="144">
        <f t="shared" si="659"/>
        <v>-3.7314732757482927E-2</v>
      </c>
      <c r="AD1171" s="144">
        <f t="shared" si="660"/>
        <v>-4.2515005310440189E-2</v>
      </c>
      <c r="AE1171" s="144">
        <f t="shared" si="661"/>
        <v>-4.7854181193497346E-2</v>
      </c>
    </row>
    <row r="1172" spans="1:31">
      <c r="A1172" s="88">
        <v>45664</v>
      </c>
      <c r="B1172" s="78">
        <v>64784770.194913499</v>
      </c>
      <c r="D1172" s="67">
        <f t="shared" ref="D1172" si="687">B1172</f>
        <v>64784770.194913499</v>
      </c>
      <c r="E1172" s="67">
        <f t="shared" ref="E1172" si="688">IF(MONTH(A1172)=MONTH(A1171),E1171,D1171)</f>
        <v>71204832.621444106</v>
      </c>
      <c r="F1172" s="67">
        <f t="shared" ref="F1172" si="689">B1172-C1172-D1171</f>
        <v>-3661209.0087706074</v>
      </c>
      <c r="G1172" s="70">
        <f t="shared" ref="G1172" si="690">F1172/B1171</f>
        <v>-5.3490490622910732E-2</v>
      </c>
      <c r="H1172" s="67">
        <f t="shared" ref="H1172" si="691">IF(WEEKNUM(A1172)=WEEKNUM(A1171),H1171+F1172,F1172)</f>
        <v>-1563392.2834651023</v>
      </c>
      <c r="I1172" s="70">
        <f t="shared" ref="I1172" si="692">IF(WEEKNUM(A1172)=WEEKNUM(A1171),I1171+G1172,G1172)</f>
        <v>-2.1872181284062993E-2</v>
      </c>
      <c r="J1172" s="67">
        <f t="shared" ref="J1172" si="693">IF(MONTH(A1172)=MONTH(A1171),J1171+F1172,F1172)</f>
        <v>2579937.5734694004</v>
      </c>
      <c r="K1172" s="70">
        <f t="shared" ref="K1172" si="694">(1+K1171)*(1+G1172)-1</f>
        <v>3.9288445559421792E-2</v>
      </c>
      <c r="L1172" s="70">
        <f t="shared" ref="L1172" si="695">1+G1172</f>
        <v>0.94650950937708922</v>
      </c>
      <c r="M1172" s="70">
        <f>PRODUCT($L$2:L1172)-1</f>
        <v>0.65780763093367778</v>
      </c>
      <c r="N1172" s="70">
        <f>PRODUCT($L$1169:L1172)-1</f>
        <v>3.9288445559421792E-2</v>
      </c>
      <c r="O1172" s="70">
        <f>AVERAGE($G$1169:G1172)*252</f>
        <v>2.6318290563408309</v>
      </c>
      <c r="P1172" s="70">
        <f>STDEV($G$1169:G1172)*252^0.5</f>
        <v>0.71186837232232392</v>
      </c>
      <c r="Q1172" s="67">
        <f t="shared" ref="Q1172" si="696">B1172-C1172-D1141</f>
        <v>-10346761.451548494</v>
      </c>
      <c r="R1172" s="70">
        <f t="shared" ref="R1172" si="697">Q1172/B1141</f>
        <v>-0.13771530041788696</v>
      </c>
      <c r="S1172" s="67">
        <f t="shared" ref="S1172" si="698">B1172-C1172-D1083</f>
        <v>9086137.0878186002</v>
      </c>
      <c r="T1172" s="70">
        <f t="shared" ref="T1172" si="699">S1172/B1081</f>
        <v>0.1460676134636964</v>
      </c>
      <c r="U1172" s="67">
        <f t="shared" ref="U1172" si="700">B1172-C1172-D808</f>
        <v>28275076.124913499</v>
      </c>
      <c r="V1172" s="70">
        <f t="shared" ref="V1172" si="701">U1172/B806</f>
        <v>0.76131510699255012</v>
      </c>
      <c r="W1172" s="87">
        <f t="shared" ref="W1172" si="702">O1172/P1172</f>
        <v>3.6970726031204766</v>
      </c>
      <c r="X1172" s="142">
        <f t="shared" si="654"/>
        <v>1.7857142857142857E-4</v>
      </c>
      <c r="Y1172" s="139">
        <f t="shared" si="655"/>
        <v>-5.3669062051482162E-2</v>
      </c>
      <c r="Z1172" s="139">
        <f t="shared" si="656"/>
        <v>-5.3669062051482162E-2</v>
      </c>
      <c r="AA1172" s="139">
        <f t="shared" si="657"/>
        <v>2.8803682214858426E-3</v>
      </c>
      <c r="AB1172" s="144">
        <f t="shared" si="658"/>
        <v>3.980021491647856</v>
      </c>
      <c r="AC1172" s="144">
        <f t="shared" si="659"/>
        <v>-4.1509870763346807E-2</v>
      </c>
      <c r="AD1172" s="144">
        <f t="shared" si="660"/>
        <v>-4.4096934747222268E-2</v>
      </c>
      <c r="AE1172" s="144">
        <f t="shared" si="661"/>
        <v>-4.8222928813400054E-2</v>
      </c>
    </row>
    <row r="1173" spans="1:31">
      <c r="A1173" s="88">
        <v>45665</v>
      </c>
      <c r="B1173" s="78">
        <v>64378423.867367402</v>
      </c>
      <c r="D1173" s="67">
        <f t="shared" ref="D1173" si="703">B1173</f>
        <v>64378423.867367402</v>
      </c>
      <c r="E1173" s="67">
        <f t="shared" ref="E1173" si="704">IF(MONTH(A1173)=MONTH(A1172),E1172,D1172)</f>
        <v>71204832.621444106</v>
      </c>
      <c r="F1173" s="67">
        <f t="shared" ref="F1173" si="705">B1173-C1173-D1172</f>
        <v>-406346.32754609734</v>
      </c>
      <c r="G1173" s="70">
        <f t="shared" ref="G1173" si="706">F1173/B1172</f>
        <v>-6.2722508133246594E-3</v>
      </c>
      <c r="H1173" s="67">
        <f t="shared" ref="H1173" si="707">IF(WEEKNUM(A1173)=WEEKNUM(A1172),H1172+F1173,F1173)</f>
        <v>-1969738.6110111997</v>
      </c>
      <c r="I1173" s="70">
        <f t="shared" ref="I1173" si="708">IF(WEEKNUM(A1173)=WEEKNUM(A1172),I1172+G1173,G1173)</f>
        <v>-2.8144432097387651E-2</v>
      </c>
      <c r="J1173" s="67">
        <f t="shared" ref="J1173" si="709">IF(MONTH(A1173)=MONTH(A1172),J1172+F1173,F1173)</f>
        <v>2173591.2459233031</v>
      </c>
      <c r="K1173" s="70">
        <f t="shared" ref="K1173" si="710">(1+K1172)*(1+G1173)-1</f>
        <v>3.2769767761482882E-2</v>
      </c>
      <c r="L1173" s="70">
        <f t="shared" ref="L1173" si="711">1+G1173</f>
        <v>0.99372774918667539</v>
      </c>
      <c r="M1173" s="70">
        <f>PRODUCT($L$2:L1173)-1</f>
        <v>0.64740944567221836</v>
      </c>
      <c r="N1173" s="70">
        <f>PRODUCT($L$1169:L1173)-1</f>
        <v>3.2769767761482882E-2</v>
      </c>
      <c r="O1173" s="70">
        <f>AVERAGE($G$1169:G1173)*252</f>
        <v>1.7893418040811018</v>
      </c>
      <c r="P1173" s="70">
        <f>STDEV($G$1169:G1173)*252^0.5</f>
        <v>0.62781403758580268</v>
      </c>
      <c r="Q1173" s="67">
        <f t="shared" ref="Q1173" si="712">B1173-C1173-D1142</f>
        <v>-9402758.5361699015</v>
      </c>
      <c r="R1173" s="70">
        <f t="shared" ref="R1173" si="713">Q1173/B1142</f>
        <v>-0.1274411473205003</v>
      </c>
      <c r="S1173" s="67">
        <f t="shared" ref="S1173" si="714">B1173-C1173-D1084</f>
        <v>9996913.5013853982</v>
      </c>
      <c r="T1173" s="70">
        <f t="shared" ref="T1173" si="715">S1173/B1082</f>
        <v>0.16134101495554068</v>
      </c>
      <c r="U1173" s="67">
        <f t="shared" ref="U1173" si="716">B1173-C1173-D809</f>
        <v>27303160.557367399</v>
      </c>
      <c r="V1173" s="70">
        <f t="shared" ref="V1173" si="717">U1173/B807</f>
        <v>0.73673112142277664</v>
      </c>
      <c r="W1173" s="87">
        <f t="shared" ref="W1173" si="718">O1173/P1173</f>
        <v>2.8501143602360983</v>
      </c>
      <c r="X1173" s="142">
        <f t="shared" si="654"/>
        <v>1.7857142857142857E-4</v>
      </c>
      <c r="Y1173" s="139">
        <f t="shared" si="655"/>
        <v>-6.4508222418960884E-3</v>
      </c>
      <c r="Z1173" s="139">
        <f t="shared" si="656"/>
        <v>-6.4508222418960884E-3</v>
      </c>
      <c r="AA1173" s="139">
        <f t="shared" si="657"/>
        <v>4.1613107596541278E-5</v>
      </c>
      <c r="AB1173" s="144">
        <f t="shared" si="658"/>
        <v>4.0325194488371947</v>
      </c>
      <c r="AC1173" s="144">
        <f t="shared" si="659"/>
        <v>-4.1851469353405141E-2</v>
      </c>
      <c r="AD1173" s="144">
        <f t="shared" si="660"/>
        <v>-3.9396627891970681E-2</v>
      </c>
      <c r="AE1173" s="144">
        <f t="shared" si="661"/>
        <v>-4.8183344302418128E-2</v>
      </c>
    </row>
    <row r="1174" spans="1:31">
      <c r="A1174" s="88">
        <v>45666</v>
      </c>
      <c r="B1174" s="78">
        <v>64340660.011150397</v>
      </c>
      <c r="D1174" s="67">
        <f t="shared" ref="D1174" si="719">B1174</f>
        <v>64340660.011150397</v>
      </c>
      <c r="E1174" s="67">
        <f t="shared" ref="E1174" si="720">IF(MONTH(A1174)=MONTH(A1173),E1173,D1173)</f>
        <v>71204832.621444106</v>
      </c>
      <c r="F1174" s="67">
        <f t="shared" ref="F1174" si="721">B1174-C1174-D1173</f>
        <v>-37763.856217004359</v>
      </c>
      <c r="G1174" s="70">
        <f t="shared" ref="G1174" si="722">F1174/B1173</f>
        <v>-5.8659181055450429E-4</v>
      </c>
      <c r="H1174" s="67">
        <f t="shared" ref="H1174" si="723">IF(WEEKNUM(A1174)=WEEKNUM(A1173),H1173+F1174,F1174)</f>
        <v>-2007502.467228204</v>
      </c>
      <c r="I1174" s="70">
        <f t="shared" ref="I1174" si="724">IF(WEEKNUM(A1174)=WEEKNUM(A1173),I1173+G1174,G1174)</f>
        <v>-2.8731023907942153E-2</v>
      </c>
      <c r="J1174" s="67">
        <f t="shared" ref="J1174" si="725">IF(MONTH(A1174)=MONTH(A1173),J1173+F1174,F1174)</f>
        <v>2135827.3897062987</v>
      </c>
      <c r="K1174" s="70">
        <f t="shared" ref="K1174" si="726">(1+K1173)*(1+G1174)-1</f>
        <v>3.216395347352563E-2</v>
      </c>
      <c r="L1174" s="70">
        <f t="shared" ref="L1174" si="727">1+G1174</f>
        <v>0.99941340818944546</v>
      </c>
      <c r="M1174" s="70">
        <f>PRODUCT($L$2:L1174)-1</f>
        <v>0.6464430887827568</v>
      </c>
      <c r="N1174" s="70">
        <f>PRODUCT($L$1169:L1174)-1</f>
        <v>3.216395347352563E-2</v>
      </c>
      <c r="O1174" s="70">
        <f>AVERAGE($G$1169:G1174)*252</f>
        <v>1.4664813140242958</v>
      </c>
      <c r="P1174" s="70">
        <f>STDEV($G$1169:G1174)*252^0.5</f>
        <v>0.56373952416782558</v>
      </c>
      <c r="Q1174" s="67">
        <f t="shared" ref="Q1174" si="728">B1174-C1174-D1143</f>
        <v>-9648307.5048066005</v>
      </c>
      <c r="R1174" s="70">
        <f t="shared" ref="R1174" si="729">Q1174/B1143</f>
        <v>-0.13040197516914634</v>
      </c>
      <c r="S1174" s="67">
        <f t="shared" ref="S1174" si="730">B1174-C1174-D1085</f>
        <v>9906053.5334718972</v>
      </c>
      <c r="T1174" s="70">
        <f t="shared" ref="T1174" si="731">S1174/B1083</f>
        <v>0.17785092704923244</v>
      </c>
      <c r="U1174" s="67">
        <f t="shared" ref="U1174" si="732">B1174-C1174-D810</f>
        <v>28045188.851150401</v>
      </c>
      <c r="V1174" s="70">
        <f t="shared" ref="V1174" si="733">U1174/B808</f>
        <v>0.7681573227477444</v>
      </c>
      <c r="W1174" s="87">
        <f t="shared" ref="W1174" si="734">O1174/P1174</f>
        <v>2.6013455703484141</v>
      </c>
      <c r="X1174" s="142">
        <f t="shared" si="654"/>
        <v>1.7857142857142857E-4</v>
      </c>
      <c r="Y1174" s="139">
        <f t="shared" si="655"/>
        <v>-7.6516323912593283E-4</v>
      </c>
      <c r="Z1174" s="139">
        <f t="shared" si="656"/>
        <v>-7.6516323912593283E-4</v>
      </c>
      <c r="AA1174" s="139">
        <f t="shared" si="657"/>
        <v>5.8547478250968942E-7</v>
      </c>
      <c r="AB1174" s="144">
        <f t="shared" si="658"/>
        <v>3.9807376933868746</v>
      </c>
      <c r="AC1174" s="144">
        <f t="shared" si="659"/>
        <v>-4.1630720012298304E-2</v>
      </c>
      <c r="AD1174" s="144">
        <f t="shared" si="660"/>
        <v>-3.8880118810897604E-2</v>
      </c>
      <c r="AE1174" s="144">
        <f t="shared" si="661"/>
        <v>-4.8214814201420403E-2</v>
      </c>
    </row>
    <row r="1175" spans="1:31">
      <c r="A1175" s="88">
        <v>45667</v>
      </c>
      <c r="B1175" s="78">
        <v>61771085.473509103</v>
      </c>
      <c r="D1175" s="67">
        <f t="shared" ref="D1175" si="735">B1175</f>
        <v>61771085.473509103</v>
      </c>
      <c r="E1175" s="67">
        <f t="shared" ref="E1175" si="736">IF(MONTH(A1175)=MONTH(A1174),E1174,D1174)</f>
        <v>71204832.621444106</v>
      </c>
      <c r="F1175" s="67">
        <f t="shared" ref="F1175" si="737">B1175-C1175-D1174</f>
        <v>-2569574.5376412943</v>
      </c>
      <c r="G1175" s="70">
        <f t="shared" ref="G1175" si="738">F1175/B1174</f>
        <v>-3.9937024848610204E-2</v>
      </c>
      <c r="H1175" s="67">
        <f t="shared" ref="H1175" si="739">IF(WEEKNUM(A1175)=WEEKNUM(A1174),H1174+F1175,F1175)</f>
        <v>-4577077.0048694983</v>
      </c>
      <c r="I1175" s="70">
        <f t="shared" ref="I1175" si="740">IF(WEEKNUM(A1175)=WEEKNUM(A1174),I1174+G1175,G1175)</f>
        <v>-6.8668048756552358E-2</v>
      </c>
      <c r="J1175" s="67">
        <f t="shared" ref="J1175" si="741">IF(MONTH(A1175)=MONTH(A1174),J1174+F1175,F1175)</f>
        <v>-433747.14793499559</v>
      </c>
      <c r="K1175" s="70">
        <f t="shared" ref="K1175" si="742">(1+K1174)*(1+G1175)-1</f>
        <v>-9.0576039841863132E-3</v>
      </c>
      <c r="L1175" s="70">
        <f t="shared" ref="L1175" si="743">1+G1175</f>
        <v>0.96006297515138983</v>
      </c>
      <c r="M1175" s="70">
        <f>PRODUCT($L$2:L1175)-1</f>
        <v>0.58068905023421746</v>
      </c>
      <c r="N1175" s="70">
        <f>PRODUCT($L$1169:L1175)-1</f>
        <v>-9.0576039841863132E-3</v>
      </c>
      <c r="O1175" s="70">
        <f>AVERAGE($G$1169:G1175)*252</f>
        <v>-0.18074891110057095</v>
      </c>
      <c r="P1175" s="70">
        <f>STDEV($G$1169:G1175)*252^0.5</f>
        <v>0.58327225746534495</v>
      </c>
      <c r="Q1175" s="67">
        <f t="shared" ref="Q1175" si="744">B1175-C1175-D1144</f>
        <v>-11775306.090390891</v>
      </c>
      <c r="R1175" s="70">
        <f t="shared" ref="R1175" si="745">Q1175/B1144</f>
        <v>-0.16010719003338242</v>
      </c>
      <c r="S1175" s="67">
        <f t="shared" ref="S1175" si="746">B1175-C1175-D1086</f>
        <v>10795531.624386802</v>
      </c>
      <c r="T1175" s="70">
        <f t="shared" ref="T1175" si="747">S1175/B1084</f>
        <v>0.1985147442896304</v>
      </c>
      <c r="U1175" s="67">
        <f t="shared" ref="U1175" si="748">B1175-C1175-D811</f>
        <v>26237720.813509107</v>
      </c>
      <c r="V1175" s="70">
        <f t="shared" ref="V1175" si="749">U1175/B809</f>
        <v>0.70768805049679107</v>
      </c>
      <c r="W1175" s="87">
        <f t="shared" ref="W1175" si="750">O1175/P1175</f>
        <v>-0.30988772187799474</v>
      </c>
      <c r="X1175" s="142">
        <f t="shared" si="654"/>
        <v>1.7857142857142857E-4</v>
      </c>
      <c r="Y1175" s="139">
        <f t="shared" ref="Y1175" si="751">G1175-X1175</f>
        <v>-4.0115596277181635E-2</v>
      </c>
      <c r="Z1175" s="139">
        <f t="shared" ref="Z1175" si="752">IF(Y1175&lt;0,Y1175,0)</f>
        <v>-4.0115596277181635E-2</v>
      </c>
      <c r="AA1175" s="139">
        <f t="shared" ref="AA1175" si="753">Z1175^2</f>
        <v>1.6092610646738291E-3</v>
      </c>
      <c r="AB1175" s="144">
        <f t="shared" ref="AB1175" si="754">AVERAGE(Y924:Y1175)/AVERAGE(AA924:AA1175)</f>
        <v>3.4290903112562003</v>
      </c>
      <c r="AC1175" s="144">
        <f t="shared" ref="AC1175" si="755">AVERAGE(G1146:G1175)-_xlfn.NORM.S.INV(0.95)*_xlfn.STDEV.S(G1146:G1175)</f>
        <v>-4.4602240978631545E-2</v>
      </c>
      <c r="AD1175" s="144">
        <f t="shared" ref="AD1175" si="756">AVERAGE(G1086:G1175)-_xlfn.NORM.S.INV(0.95)*_xlfn.STDEV.S(G1086:G1175)</f>
        <v>-4.0003526003172224E-2</v>
      </c>
      <c r="AE1175" s="144">
        <f t="shared" ref="AE1175" si="757">AVERAGE(G811:G1175)-_xlfn.NORM.S.INV(0.95)*_xlfn.STDEV.S(G811:G1175)</f>
        <v>-4.8357481114059929E-2</v>
      </c>
    </row>
    <row r="1176" spans="1:31">
      <c r="A1176" s="88"/>
      <c r="B1176" s="78"/>
      <c r="D1176" s="67"/>
      <c r="E1176" s="67"/>
      <c r="F1176" s="67"/>
      <c r="G1176" s="70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A1177" s="88"/>
      <c r="B1177" s="78"/>
      <c r="D1177" s="67"/>
      <c r="E1177" s="67"/>
      <c r="F1177" s="67"/>
      <c r="G1177" s="70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A1178" s="88"/>
      <c r="B1178" s="78"/>
      <c r="D1178" s="67"/>
      <c r="E1178" s="67"/>
      <c r="F1178" s="67"/>
      <c r="G1178" s="70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A1193" s="88"/>
      <c r="B1193" s="78"/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A1194" s="88"/>
      <c r="B1194" s="78"/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A1195" s="88"/>
      <c r="B1195" s="78"/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A1196" s="88"/>
      <c r="B1196" s="78"/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A1197" s="88"/>
      <c r="B1197" s="78"/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A1198" s="88"/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4:31"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4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4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4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4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4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4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4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4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4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4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4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4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4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4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4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4:31">
      <c r="D1217" s="67"/>
      <c r="E1217" s="67"/>
      <c r="F1217" s="67"/>
      <c r="G1217" s="70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4:31">
      <c r="D1218" s="67"/>
      <c r="E1218" s="67"/>
      <c r="F1218" s="67"/>
      <c r="G1218" s="70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4:31">
      <c r="D1219" s="67"/>
      <c r="E1219" s="67"/>
      <c r="F1219" s="67"/>
      <c r="G1219" s="70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4:31">
      <c r="D1220" s="67"/>
      <c r="E1220" s="67"/>
      <c r="F1220" s="67"/>
      <c r="G1220" s="70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4:31">
      <c r="D1221" s="67"/>
      <c r="E1221" s="67"/>
      <c r="F1221" s="67"/>
      <c r="G1221" s="70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zoomScaleNormal="100" workbookViewId="0">
      <pane ySplit="2" topLeftCell="A51" activePane="bottomLeft" state="frozen"/>
      <selection activeCell="B1099" sqref="B1099"/>
      <selection pane="bottomLeft" activeCell="A68" sqref="A68:XFD68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309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306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307" t="s">
        <v>276</v>
      </c>
      <c r="I2" s="98" t="s">
        <v>277</v>
      </c>
    </row>
    <row r="3" spans="1:11">
      <c r="A3" s="221">
        <v>1109</v>
      </c>
      <c r="B3" s="153" t="s">
        <v>138</v>
      </c>
      <c r="C3" s="153" t="s">
        <v>33</v>
      </c>
      <c r="D3" s="153">
        <v>190000</v>
      </c>
      <c r="E3" s="153">
        <v>21.55</v>
      </c>
      <c r="F3" s="153">
        <v>4094500</v>
      </c>
      <c r="G3" s="153">
        <v>7.78755548633284</v>
      </c>
      <c r="H3" s="153">
        <v>525774.74</v>
      </c>
      <c r="I3" s="218">
        <v>0.27</v>
      </c>
      <c r="J3"/>
      <c r="K3"/>
    </row>
    <row r="4" spans="1:11">
      <c r="A4" s="221">
        <v>1211</v>
      </c>
      <c r="B4" s="153" t="s">
        <v>138</v>
      </c>
      <c r="C4" s="153" t="s">
        <v>33</v>
      </c>
      <c r="D4" s="153">
        <v>25500</v>
      </c>
      <c r="E4" s="153">
        <v>251.4</v>
      </c>
      <c r="F4" s="153">
        <v>6410700</v>
      </c>
      <c r="G4" s="153">
        <v>7.78755548633284</v>
      </c>
      <c r="H4" s="153">
        <v>823197.99</v>
      </c>
      <c r="I4" s="218">
        <v>0.42</v>
      </c>
      <c r="J4"/>
      <c r="K4"/>
    </row>
    <row r="5" spans="1:11">
      <c r="A5" s="221">
        <v>1288</v>
      </c>
      <c r="B5" s="153" t="s">
        <v>138</v>
      </c>
      <c r="C5" s="153" t="s">
        <v>33</v>
      </c>
      <c r="D5" s="153">
        <v>2625000</v>
      </c>
      <c r="E5" s="153">
        <v>4.21</v>
      </c>
      <c r="F5" s="153">
        <v>11051250</v>
      </c>
      <c r="G5" s="153">
        <v>7.78755548633284</v>
      </c>
      <c r="H5" s="153">
        <v>1419091.01</v>
      </c>
      <c r="I5" s="218">
        <v>0.73</v>
      </c>
      <c r="J5"/>
      <c r="K5"/>
    </row>
    <row r="6" spans="1:11">
      <c r="A6" s="221">
        <v>1810</v>
      </c>
      <c r="B6" s="153" t="s">
        <v>138</v>
      </c>
      <c r="C6" s="153" t="s">
        <v>33</v>
      </c>
      <c r="D6" s="153">
        <v>150000</v>
      </c>
      <c r="E6" s="153">
        <v>33.549999999999997</v>
      </c>
      <c r="F6" s="153">
        <v>5032500</v>
      </c>
      <c r="G6" s="153">
        <v>7.78755548633284</v>
      </c>
      <c r="H6" s="153">
        <v>646223.31999999995</v>
      </c>
      <c r="I6" s="218">
        <v>0.33</v>
      </c>
      <c r="J6"/>
      <c r="K6"/>
    </row>
    <row r="7" spans="1:11">
      <c r="A7" s="221">
        <v>2020</v>
      </c>
      <c r="B7" s="153" t="s">
        <v>138</v>
      </c>
      <c r="C7" s="153" t="s">
        <v>33</v>
      </c>
      <c r="D7" s="153">
        <v>5000</v>
      </c>
      <c r="E7" s="153">
        <v>78.099999999999994</v>
      </c>
      <c r="F7" s="153">
        <v>390500</v>
      </c>
      <c r="G7" s="153">
        <v>7.78755548633284</v>
      </c>
      <c r="H7" s="153">
        <v>50144.1</v>
      </c>
      <c r="I7" s="218">
        <v>0.03</v>
      </c>
      <c r="J7"/>
      <c r="K7"/>
    </row>
    <row r="8" spans="1:11">
      <c r="A8" s="221">
        <v>2318</v>
      </c>
      <c r="B8" s="153" t="s">
        <v>138</v>
      </c>
      <c r="C8" s="153" t="s">
        <v>33</v>
      </c>
      <c r="D8" s="153">
        <v>125000</v>
      </c>
      <c r="E8" s="153">
        <v>41</v>
      </c>
      <c r="F8" s="153">
        <v>5125000</v>
      </c>
      <c r="G8" s="153">
        <v>7.78755548633284</v>
      </c>
      <c r="H8" s="153">
        <v>658101.25</v>
      </c>
      <c r="I8" s="218">
        <v>0.34</v>
      </c>
      <c r="J8"/>
      <c r="K8"/>
    </row>
    <row r="9" spans="1:11">
      <c r="A9" s="221">
        <v>2359</v>
      </c>
      <c r="B9" s="153" t="s">
        <v>138</v>
      </c>
      <c r="C9" s="153" t="s">
        <v>33</v>
      </c>
      <c r="D9" s="153">
        <v>20000</v>
      </c>
      <c r="E9" s="153">
        <v>53.45</v>
      </c>
      <c r="F9" s="153">
        <v>1069000</v>
      </c>
      <c r="G9" s="153">
        <v>7.78755548633284</v>
      </c>
      <c r="H9" s="153">
        <v>137270.29</v>
      </c>
      <c r="I9" s="218">
        <v>6.9999999999999993E-2</v>
      </c>
      <c r="J9"/>
      <c r="K9"/>
    </row>
    <row r="10" spans="1:11">
      <c r="A10" s="221">
        <v>2828</v>
      </c>
      <c r="B10" s="153" t="s">
        <v>138</v>
      </c>
      <c r="C10" s="153" t="s">
        <v>33</v>
      </c>
      <c r="D10" s="153">
        <v>435000</v>
      </c>
      <c r="E10" s="153">
        <v>70.540000000000006</v>
      </c>
      <c r="F10" s="153">
        <v>30684900</v>
      </c>
      <c r="G10" s="153">
        <v>7.78755548633284</v>
      </c>
      <c r="H10" s="153">
        <v>3940248.01</v>
      </c>
      <c r="I10" s="218">
        <v>2.02</v>
      </c>
      <c r="J10"/>
      <c r="K10"/>
    </row>
    <row r="11" spans="1:11">
      <c r="A11" s="221">
        <v>3067</v>
      </c>
      <c r="B11" s="153" t="s">
        <v>138</v>
      </c>
      <c r="C11" s="153" t="s">
        <v>33</v>
      </c>
      <c r="D11" s="153">
        <v>600000</v>
      </c>
      <c r="E11" s="153">
        <v>8.94</v>
      </c>
      <c r="F11" s="153">
        <v>5364000</v>
      </c>
      <c r="G11" s="153">
        <v>7.78755548633284</v>
      </c>
      <c r="H11" s="153">
        <v>688791.24</v>
      </c>
      <c r="I11" s="218">
        <v>0.35</v>
      </c>
      <c r="J11"/>
      <c r="K11"/>
    </row>
    <row r="12" spans="1:11">
      <c r="A12" s="221">
        <v>3690</v>
      </c>
      <c r="B12" s="153" t="s">
        <v>138</v>
      </c>
      <c r="C12" s="153" t="s">
        <v>33</v>
      </c>
      <c r="D12" s="153">
        <v>12500</v>
      </c>
      <c r="E12" s="153">
        <v>140.1</v>
      </c>
      <c r="F12" s="153">
        <v>1751250</v>
      </c>
      <c r="G12" s="153">
        <v>7.78755548633284</v>
      </c>
      <c r="H12" s="153">
        <v>224878.01</v>
      </c>
      <c r="I12" s="218">
        <v>0.12</v>
      </c>
      <c r="J12"/>
      <c r="K12"/>
    </row>
    <row r="13" spans="1:11">
      <c r="A13" s="221" t="s">
        <v>291</v>
      </c>
      <c r="B13" s="153" t="s">
        <v>138</v>
      </c>
      <c r="C13" s="153" t="s">
        <v>34</v>
      </c>
      <c r="D13" s="153">
        <v>10000</v>
      </c>
      <c r="E13" s="153">
        <v>1514.5</v>
      </c>
      <c r="F13" s="153">
        <v>15145000</v>
      </c>
      <c r="G13" s="153">
        <v>157.70383220312249</v>
      </c>
      <c r="H13" s="153">
        <v>96034.44</v>
      </c>
      <c r="I13" s="218">
        <v>0.05</v>
      </c>
      <c r="J13"/>
      <c r="K13"/>
    </row>
    <row r="14" spans="1:11">
      <c r="A14" s="221">
        <v>6181</v>
      </c>
      <c r="B14" s="153" t="s">
        <v>138</v>
      </c>
      <c r="C14" s="153" t="s">
        <v>33</v>
      </c>
      <c r="D14" s="153">
        <v>1000</v>
      </c>
      <c r="E14" s="153">
        <v>288.39999999999998</v>
      </c>
      <c r="F14" s="153">
        <v>288400</v>
      </c>
      <c r="G14" s="153">
        <v>7.78755548633284</v>
      </c>
      <c r="H14" s="153">
        <v>37033.440000000002</v>
      </c>
      <c r="I14" s="218">
        <v>0.02</v>
      </c>
      <c r="J14"/>
      <c r="K14"/>
    </row>
    <row r="15" spans="1:11">
      <c r="A15" s="221" t="s">
        <v>288</v>
      </c>
      <c r="B15" s="153" t="s">
        <v>138</v>
      </c>
      <c r="C15" s="153" t="s">
        <v>34</v>
      </c>
      <c r="D15" s="153">
        <v>15000</v>
      </c>
      <c r="E15" s="153">
        <v>3810</v>
      </c>
      <c r="F15" s="153">
        <v>57150000</v>
      </c>
      <c r="G15" s="153">
        <v>157.70383220312249</v>
      </c>
      <c r="H15" s="153">
        <v>362388.15</v>
      </c>
      <c r="I15" s="218">
        <v>0.19</v>
      </c>
      <c r="J15"/>
      <c r="K15"/>
    </row>
    <row r="16" spans="1:11">
      <c r="A16" s="221">
        <v>688</v>
      </c>
      <c r="B16" s="153" t="s">
        <v>138</v>
      </c>
      <c r="C16" s="153" t="s">
        <v>33</v>
      </c>
      <c r="D16" s="153">
        <v>240000</v>
      </c>
      <c r="E16" s="153">
        <v>11.94</v>
      </c>
      <c r="F16" s="153">
        <v>2865600</v>
      </c>
      <c r="G16" s="153">
        <v>7.78755548633284</v>
      </c>
      <c r="H16" s="153">
        <v>367971.7</v>
      </c>
      <c r="I16" s="218">
        <v>0.19</v>
      </c>
      <c r="J16"/>
      <c r="K16"/>
    </row>
    <row r="17" spans="1:11">
      <c r="A17" s="221">
        <v>700</v>
      </c>
      <c r="B17" s="153" t="s">
        <v>138</v>
      </c>
      <c r="C17" s="153" t="s">
        <v>33</v>
      </c>
      <c r="D17" s="153">
        <v>41500</v>
      </c>
      <c r="E17" s="153">
        <v>369.6</v>
      </c>
      <c r="F17" s="153">
        <v>15338400</v>
      </c>
      <c r="G17" s="153">
        <v>7.78755548633284</v>
      </c>
      <c r="H17" s="153">
        <v>1969603.94</v>
      </c>
      <c r="I17" s="218">
        <v>1.01</v>
      </c>
      <c r="J17"/>
      <c r="K17"/>
    </row>
    <row r="18" spans="1:11">
      <c r="A18" s="221" t="s">
        <v>423</v>
      </c>
      <c r="B18" s="153" t="s">
        <v>140</v>
      </c>
      <c r="C18" s="153" t="s">
        <v>33</v>
      </c>
      <c r="D18" s="153">
        <v>-15</v>
      </c>
      <c r="E18" s="153">
        <v>8.58</v>
      </c>
      <c r="F18" s="153">
        <v>-128.69999999999999</v>
      </c>
      <c r="G18" s="153">
        <v>7.78755548633284</v>
      </c>
      <c r="H18" s="153">
        <v>-16.53</v>
      </c>
      <c r="I18" s="218">
        <v>0</v>
      </c>
      <c r="J18"/>
      <c r="K18"/>
    </row>
    <row r="19" spans="1:11">
      <c r="A19" s="221" t="s">
        <v>424</v>
      </c>
      <c r="B19" s="153" t="s">
        <v>140</v>
      </c>
      <c r="C19" s="153" t="s">
        <v>38</v>
      </c>
      <c r="D19" s="153">
        <v>-15</v>
      </c>
      <c r="E19" s="153">
        <v>14.07</v>
      </c>
      <c r="F19" s="153">
        <v>-211.05</v>
      </c>
      <c r="G19" s="153">
        <v>1</v>
      </c>
      <c r="H19" s="153">
        <v>-211.05</v>
      </c>
      <c r="I19" s="218">
        <v>0</v>
      </c>
      <c r="J19"/>
      <c r="K19"/>
    </row>
    <row r="20" spans="1:11">
      <c r="A20" s="221">
        <v>883</v>
      </c>
      <c r="B20" s="153" t="s">
        <v>138</v>
      </c>
      <c r="C20" s="153" t="s">
        <v>33</v>
      </c>
      <c r="D20" s="153">
        <v>500000</v>
      </c>
      <c r="E20" s="153">
        <v>18.82</v>
      </c>
      <c r="F20" s="153">
        <v>9410000</v>
      </c>
      <c r="G20" s="153">
        <v>7.78755548633284</v>
      </c>
      <c r="H20" s="153">
        <v>1208338.1000000001</v>
      </c>
      <c r="I20" s="218">
        <v>0.62</v>
      </c>
      <c r="J20"/>
      <c r="K20"/>
    </row>
    <row r="21" spans="1:11">
      <c r="A21" s="221">
        <v>941</v>
      </c>
      <c r="B21" s="153" t="s">
        <v>138</v>
      </c>
      <c r="C21" s="153" t="s">
        <v>33</v>
      </c>
      <c r="D21" s="153">
        <v>125000</v>
      </c>
      <c r="E21" s="153">
        <v>74.8</v>
      </c>
      <c r="F21" s="153">
        <v>9350000</v>
      </c>
      <c r="G21" s="153">
        <v>7.78755548633284</v>
      </c>
      <c r="H21" s="153">
        <v>1200633.5</v>
      </c>
      <c r="I21" s="218">
        <v>0.62</v>
      </c>
      <c r="J21"/>
      <c r="K21"/>
    </row>
    <row r="22" spans="1:11">
      <c r="A22" s="221">
        <v>9618</v>
      </c>
      <c r="B22" s="153" t="s">
        <v>138</v>
      </c>
      <c r="C22" s="153" t="s">
        <v>33</v>
      </c>
      <c r="D22" s="153">
        <v>12500</v>
      </c>
      <c r="E22" s="153">
        <v>130.9</v>
      </c>
      <c r="F22" s="153">
        <v>1636250</v>
      </c>
      <c r="G22" s="153">
        <v>7.78755548633284</v>
      </c>
      <c r="H22" s="153">
        <v>210110.86</v>
      </c>
      <c r="I22" s="218">
        <v>0.11</v>
      </c>
      <c r="J22"/>
      <c r="K22"/>
    </row>
    <row r="23" spans="1:11">
      <c r="A23" s="221">
        <v>992</v>
      </c>
      <c r="B23" s="153" t="s">
        <v>138</v>
      </c>
      <c r="C23" s="153" t="s">
        <v>33</v>
      </c>
      <c r="D23" s="153">
        <v>50000</v>
      </c>
      <c r="E23" s="153">
        <v>9.34</v>
      </c>
      <c r="F23" s="153">
        <v>467000</v>
      </c>
      <c r="G23" s="153">
        <v>7.78755548633284</v>
      </c>
      <c r="H23" s="153">
        <v>59967.47</v>
      </c>
      <c r="I23" s="218">
        <v>0.03</v>
      </c>
      <c r="J23"/>
      <c r="K23"/>
    </row>
    <row r="24" spans="1:11">
      <c r="A24" s="221">
        <v>9961</v>
      </c>
      <c r="B24" s="153" t="s">
        <v>138</v>
      </c>
      <c r="C24" s="153" t="s">
        <v>33</v>
      </c>
      <c r="D24" s="153">
        <v>9500</v>
      </c>
      <c r="E24" s="153">
        <v>498</v>
      </c>
      <c r="F24" s="153">
        <v>4731000</v>
      </c>
      <c r="G24" s="153">
        <v>7.78755548633284</v>
      </c>
      <c r="H24" s="153">
        <v>607507.71</v>
      </c>
      <c r="I24" s="218">
        <v>0.31</v>
      </c>
      <c r="J24"/>
      <c r="K24"/>
    </row>
    <row r="25" spans="1:11">
      <c r="A25" s="221">
        <v>9988</v>
      </c>
      <c r="B25" s="153" t="s">
        <v>138</v>
      </c>
      <c r="C25" s="153" t="s">
        <v>33</v>
      </c>
      <c r="D25" s="153">
        <v>30000</v>
      </c>
      <c r="E25" s="153">
        <v>79.599999999999994</v>
      </c>
      <c r="F25" s="153">
        <v>2388000</v>
      </c>
      <c r="G25" s="153">
        <v>7.78755548633284</v>
      </c>
      <c r="H25" s="153">
        <v>306643.08</v>
      </c>
      <c r="I25" s="218">
        <v>0.16</v>
      </c>
      <c r="J25"/>
      <c r="K25"/>
    </row>
    <row r="26" spans="1:11">
      <c r="A26" s="221" t="s">
        <v>293</v>
      </c>
      <c r="B26" s="153" t="s">
        <v>138</v>
      </c>
      <c r="C26" s="153" t="s">
        <v>37</v>
      </c>
      <c r="D26" s="153">
        <v>500000</v>
      </c>
      <c r="E26" s="153">
        <v>2.4700000000000002</v>
      </c>
      <c r="F26" s="153">
        <v>1235000</v>
      </c>
      <c r="G26" s="153">
        <v>1.3715727825097039</v>
      </c>
      <c r="H26" s="153">
        <v>900426.15</v>
      </c>
      <c r="I26" s="218">
        <v>0.46</v>
      </c>
      <c r="J26"/>
      <c r="K26" s="153"/>
    </row>
    <row r="27" spans="1:11">
      <c r="A27" s="221" t="s">
        <v>82</v>
      </c>
      <c r="B27" s="153" t="s">
        <v>23</v>
      </c>
      <c r="C27" s="153" t="s">
        <v>38</v>
      </c>
      <c r="D27" s="153">
        <v>2000</v>
      </c>
      <c r="E27" s="153">
        <v>236.85</v>
      </c>
      <c r="F27" s="153">
        <v>473700</v>
      </c>
      <c r="G27" s="153">
        <v>1</v>
      </c>
      <c r="H27" s="153">
        <v>473700</v>
      </c>
      <c r="I27" s="218">
        <v>0.24</v>
      </c>
      <c r="J27"/>
      <c r="K27"/>
    </row>
    <row r="28" spans="1:11">
      <c r="A28" s="221" t="s">
        <v>367</v>
      </c>
      <c r="B28" s="153" t="s">
        <v>23</v>
      </c>
      <c r="C28" s="153" t="s">
        <v>38</v>
      </c>
      <c r="D28" s="153">
        <v>2000</v>
      </c>
      <c r="E28" s="153">
        <v>218.94</v>
      </c>
      <c r="F28" s="153">
        <v>437880</v>
      </c>
      <c r="G28" s="153">
        <v>1</v>
      </c>
      <c r="H28" s="153">
        <v>437880</v>
      </c>
      <c r="I28" s="218">
        <v>0.22</v>
      </c>
      <c r="J28"/>
      <c r="K28"/>
    </row>
    <row r="29" spans="1:11">
      <c r="A29" s="221" t="s">
        <v>302</v>
      </c>
      <c r="B29" s="153" t="s">
        <v>23</v>
      </c>
      <c r="C29" s="153" t="s">
        <v>38</v>
      </c>
      <c r="D29" s="153">
        <v>1000</v>
      </c>
      <c r="E29" s="153">
        <v>160.91999999999999</v>
      </c>
      <c r="F29" s="153">
        <v>160920</v>
      </c>
      <c r="G29" s="153">
        <v>1</v>
      </c>
      <c r="H29" s="153">
        <v>160920</v>
      </c>
      <c r="I29" s="218">
        <v>0.08</v>
      </c>
      <c r="J29"/>
      <c r="K29"/>
    </row>
    <row r="30" spans="1:11">
      <c r="A30" s="221" t="s">
        <v>398</v>
      </c>
      <c r="B30" s="153" t="s">
        <v>140</v>
      </c>
      <c r="C30" s="153" t="s">
        <v>38</v>
      </c>
      <c r="D30" s="153">
        <v>-5</v>
      </c>
      <c r="E30" s="153">
        <v>0</v>
      </c>
      <c r="F30" s="153">
        <v>0</v>
      </c>
      <c r="G30" s="153">
        <v>1</v>
      </c>
      <c r="H30" s="153">
        <v>0</v>
      </c>
      <c r="I30" s="218">
        <v>0</v>
      </c>
      <c r="J30"/>
      <c r="K30"/>
    </row>
    <row r="31" spans="1:11">
      <c r="A31" s="221" t="s">
        <v>399</v>
      </c>
      <c r="B31" s="153" t="s">
        <v>140</v>
      </c>
      <c r="C31" s="153" t="s">
        <v>38</v>
      </c>
      <c r="D31" s="153">
        <v>-5</v>
      </c>
      <c r="E31" s="153">
        <v>3.42</v>
      </c>
      <c r="F31" s="153">
        <v>-17.100000000000001</v>
      </c>
      <c r="G31" s="153">
        <v>1</v>
      </c>
      <c r="H31" s="153">
        <v>-17.100000000000001</v>
      </c>
      <c r="I31" s="218">
        <v>0</v>
      </c>
      <c r="J31"/>
      <c r="K31"/>
    </row>
    <row r="32" spans="1:11">
      <c r="A32" s="221" t="s">
        <v>384</v>
      </c>
      <c r="B32" s="153" t="s">
        <v>23</v>
      </c>
      <c r="C32" s="153" t="s">
        <v>38</v>
      </c>
      <c r="D32" s="153">
        <v>500</v>
      </c>
      <c r="E32" s="153">
        <v>739.01</v>
      </c>
      <c r="F32" s="153">
        <v>369505</v>
      </c>
      <c r="G32" s="153">
        <v>1</v>
      </c>
      <c r="H32" s="153">
        <v>369505</v>
      </c>
      <c r="I32" s="218">
        <v>0.19</v>
      </c>
      <c r="J32"/>
      <c r="K32"/>
    </row>
    <row r="33" spans="1:11">
      <c r="A33" s="221" t="s">
        <v>308</v>
      </c>
      <c r="B33" s="153" t="s">
        <v>138</v>
      </c>
      <c r="C33" s="153" t="s">
        <v>38</v>
      </c>
      <c r="D33" s="153">
        <v>2500</v>
      </c>
      <c r="E33" s="153">
        <v>15.97</v>
      </c>
      <c r="F33" s="153">
        <v>39925</v>
      </c>
      <c r="G33" s="153">
        <v>1</v>
      </c>
      <c r="H33" s="153">
        <v>39925</v>
      </c>
      <c r="I33" s="218">
        <v>0.02</v>
      </c>
      <c r="J33"/>
      <c r="K33"/>
    </row>
    <row r="34" spans="1:11">
      <c r="A34" s="221" t="s">
        <v>296</v>
      </c>
      <c r="B34" s="153" t="s">
        <v>23</v>
      </c>
      <c r="C34" s="153" t="s">
        <v>38</v>
      </c>
      <c r="D34" s="153">
        <v>2000</v>
      </c>
      <c r="E34" s="153">
        <v>442.66</v>
      </c>
      <c r="F34" s="153">
        <v>885320</v>
      </c>
      <c r="G34" s="153">
        <v>1</v>
      </c>
      <c r="H34" s="153">
        <v>885320</v>
      </c>
      <c r="I34" s="218">
        <v>0.45</v>
      </c>
      <c r="J34"/>
      <c r="K34"/>
    </row>
    <row r="35" spans="1:11">
      <c r="A35" s="221" t="s">
        <v>300</v>
      </c>
      <c r="B35" s="153" t="s">
        <v>23</v>
      </c>
      <c r="C35" s="153" t="s">
        <v>38</v>
      </c>
      <c r="D35" s="153">
        <v>1500</v>
      </c>
      <c r="E35" s="153">
        <v>164.85</v>
      </c>
      <c r="F35" s="153">
        <v>247275</v>
      </c>
      <c r="G35" s="153">
        <v>1</v>
      </c>
      <c r="H35" s="153">
        <v>247275</v>
      </c>
      <c r="I35" s="218">
        <v>0.13</v>
      </c>
      <c r="J35"/>
      <c r="K35"/>
    </row>
    <row r="36" spans="1:11">
      <c r="A36" s="221" t="s">
        <v>413</v>
      </c>
      <c r="B36" s="153" t="s">
        <v>140</v>
      </c>
      <c r="C36" s="153" t="s">
        <v>38</v>
      </c>
      <c r="D36" s="153">
        <v>-5</v>
      </c>
      <c r="E36" s="153">
        <v>10.15</v>
      </c>
      <c r="F36" s="153">
        <v>-50.75</v>
      </c>
      <c r="G36" s="153">
        <v>1</v>
      </c>
      <c r="H36" s="153">
        <v>-50.75</v>
      </c>
      <c r="I36" s="218">
        <v>0</v>
      </c>
      <c r="J36"/>
      <c r="K36"/>
    </row>
    <row r="37" spans="1:11">
      <c r="A37" s="221" t="s">
        <v>400</v>
      </c>
      <c r="B37" s="153" t="s">
        <v>23</v>
      </c>
      <c r="C37" s="153" t="s">
        <v>38</v>
      </c>
      <c r="D37" s="153">
        <v>800</v>
      </c>
      <c r="E37" s="153">
        <v>351</v>
      </c>
      <c r="F37" s="153">
        <v>280800</v>
      </c>
      <c r="G37" s="153">
        <v>1</v>
      </c>
      <c r="H37" s="153">
        <v>280800</v>
      </c>
      <c r="I37" s="218">
        <v>0.14000000000000001</v>
      </c>
      <c r="J37"/>
      <c r="K37"/>
    </row>
    <row r="38" spans="1:11">
      <c r="A38" s="221" t="s">
        <v>401</v>
      </c>
      <c r="B38" s="153" t="s">
        <v>140</v>
      </c>
      <c r="C38" s="153" t="s">
        <v>38</v>
      </c>
      <c r="D38" s="153">
        <v>-10</v>
      </c>
      <c r="E38" s="153">
        <v>0</v>
      </c>
      <c r="F38" s="153">
        <v>0</v>
      </c>
      <c r="G38" s="153">
        <v>1</v>
      </c>
      <c r="H38" s="153">
        <v>0</v>
      </c>
      <c r="I38" s="218">
        <v>0</v>
      </c>
      <c r="J38"/>
      <c r="K38"/>
    </row>
    <row r="39" spans="1:11">
      <c r="A39" s="221" t="s">
        <v>402</v>
      </c>
      <c r="B39" s="153" t="s">
        <v>140</v>
      </c>
      <c r="C39" s="153" t="s">
        <v>38</v>
      </c>
      <c r="D39" s="153">
        <v>-4</v>
      </c>
      <c r="E39" s="153">
        <v>0</v>
      </c>
      <c r="F39" s="153">
        <v>0</v>
      </c>
      <c r="G39" s="153">
        <v>1</v>
      </c>
      <c r="H39" s="308">
        <v>0</v>
      </c>
      <c r="I39" s="218">
        <v>0</v>
      </c>
      <c r="J39"/>
      <c r="K39"/>
    </row>
    <row r="40" spans="1:11">
      <c r="A40" s="221" t="s">
        <v>307</v>
      </c>
      <c r="B40" s="153" t="s">
        <v>44</v>
      </c>
      <c r="C40" s="153" t="s">
        <v>38</v>
      </c>
      <c r="D40" s="153">
        <v>2000</v>
      </c>
      <c r="E40" s="153">
        <v>49.24</v>
      </c>
      <c r="F40" s="153">
        <v>98480</v>
      </c>
      <c r="G40" s="153">
        <v>1</v>
      </c>
      <c r="H40" s="153">
        <v>98480</v>
      </c>
      <c r="I40" s="218">
        <v>0.05</v>
      </c>
      <c r="J40"/>
      <c r="K40"/>
    </row>
    <row r="41" spans="1:11">
      <c r="A41" s="221" t="s">
        <v>373</v>
      </c>
      <c r="B41" s="153" t="s">
        <v>23</v>
      </c>
      <c r="C41" s="153" t="s">
        <v>38</v>
      </c>
      <c r="D41" s="153">
        <v>1000</v>
      </c>
      <c r="E41" s="153">
        <v>317.85000000000002</v>
      </c>
      <c r="F41" s="153">
        <v>317850</v>
      </c>
      <c r="G41" s="153">
        <v>1</v>
      </c>
      <c r="H41" s="153">
        <v>317850</v>
      </c>
      <c r="I41" s="218">
        <v>0.16</v>
      </c>
      <c r="J41"/>
      <c r="K41"/>
    </row>
    <row r="42" spans="1:11">
      <c r="A42" s="221" t="s">
        <v>285</v>
      </c>
      <c r="B42" s="153" t="s">
        <v>23</v>
      </c>
      <c r="C42" s="153" t="s">
        <v>38</v>
      </c>
      <c r="D42" s="153">
        <v>10000</v>
      </c>
      <c r="E42" s="153">
        <v>189.3</v>
      </c>
      <c r="F42" s="153">
        <v>1893000</v>
      </c>
      <c r="G42" s="153">
        <v>1</v>
      </c>
      <c r="H42" s="308">
        <v>1893000</v>
      </c>
      <c r="I42" s="218">
        <v>0.97</v>
      </c>
      <c r="J42"/>
      <c r="K42"/>
    </row>
    <row r="43" spans="1:11">
      <c r="A43" s="221" t="s">
        <v>103</v>
      </c>
      <c r="B43" s="153" t="s">
        <v>42</v>
      </c>
      <c r="C43" s="153" t="s">
        <v>38</v>
      </c>
      <c r="D43" s="153">
        <v>38350</v>
      </c>
      <c r="E43" s="153">
        <v>77.849999999999994</v>
      </c>
      <c r="F43" s="153">
        <v>2985547.5</v>
      </c>
      <c r="G43" s="153">
        <v>1</v>
      </c>
      <c r="H43" s="153">
        <v>2985547.5</v>
      </c>
      <c r="I43" s="218">
        <v>1.53</v>
      </c>
      <c r="J43" s="153"/>
      <c r="K43"/>
    </row>
    <row r="44" spans="1:11">
      <c r="A44" s="221" t="s">
        <v>294</v>
      </c>
      <c r="B44" s="153" t="s">
        <v>138</v>
      </c>
      <c r="C44" s="153" t="s">
        <v>37</v>
      </c>
      <c r="D44" s="153">
        <v>50000</v>
      </c>
      <c r="E44" s="153">
        <v>44.13</v>
      </c>
      <c r="F44" s="153">
        <v>2206500</v>
      </c>
      <c r="G44" s="153">
        <v>1.3715727825097039</v>
      </c>
      <c r="H44" s="308">
        <v>1608737.08</v>
      </c>
      <c r="I44" s="218">
        <v>0.82000000000000006</v>
      </c>
      <c r="J44"/>
      <c r="K44"/>
    </row>
    <row r="45" spans="1:11">
      <c r="A45" s="221" t="s">
        <v>110</v>
      </c>
      <c r="B45" s="153" t="s">
        <v>44</v>
      </c>
      <c r="C45" s="153" t="s">
        <v>38</v>
      </c>
      <c r="D45" s="153">
        <v>55000</v>
      </c>
      <c r="E45" s="153">
        <v>26.45</v>
      </c>
      <c r="F45" s="153">
        <v>1454750</v>
      </c>
      <c r="G45" s="153">
        <v>1</v>
      </c>
      <c r="H45" s="153">
        <v>1454750</v>
      </c>
      <c r="I45" s="218">
        <v>0.75</v>
      </c>
      <c r="J45"/>
      <c r="K45"/>
    </row>
    <row r="46" spans="1:11">
      <c r="A46" s="221" t="s">
        <v>374</v>
      </c>
      <c r="B46" s="153" t="s">
        <v>139</v>
      </c>
      <c r="C46" s="153" t="s">
        <v>38</v>
      </c>
      <c r="D46" s="153">
        <v>2000</v>
      </c>
      <c r="E46" s="153">
        <v>419.33</v>
      </c>
      <c r="F46" s="153">
        <v>838660</v>
      </c>
      <c r="G46" s="153">
        <v>1</v>
      </c>
      <c r="H46" s="153">
        <v>838660</v>
      </c>
      <c r="I46" s="218">
        <v>0.43</v>
      </c>
      <c r="J46"/>
      <c r="K46"/>
    </row>
    <row r="47" spans="1:11">
      <c r="A47" s="221" t="s">
        <v>114</v>
      </c>
      <c r="B47" s="153" t="s">
        <v>139</v>
      </c>
      <c r="C47" s="153" t="s">
        <v>38</v>
      </c>
      <c r="D47" s="153">
        <v>50000</v>
      </c>
      <c r="E47" s="153">
        <v>43.89</v>
      </c>
      <c r="F47" s="153">
        <v>2194500</v>
      </c>
      <c r="G47" s="153">
        <v>1</v>
      </c>
      <c r="H47" s="153">
        <v>2194500</v>
      </c>
      <c r="I47" s="218">
        <v>1.1200000000000001</v>
      </c>
      <c r="J47"/>
      <c r="K47"/>
    </row>
    <row r="48" spans="1:11">
      <c r="A48" s="221" t="s">
        <v>377</v>
      </c>
      <c r="B48" s="153" t="s">
        <v>140</v>
      </c>
      <c r="C48" s="153" t="s">
        <v>38</v>
      </c>
      <c r="D48" s="153">
        <v>25</v>
      </c>
      <c r="E48" s="153">
        <v>12.25</v>
      </c>
      <c r="F48" s="153">
        <v>306.25</v>
      </c>
      <c r="G48" s="153">
        <v>1</v>
      </c>
      <c r="H48" s="153">
        <v>306.25</v>
      </c>
      <c r="I48" s="218">
        <v>0</v>
      </c>
      <c r="J48"/>
      <c r="K48"/>
    </row>
    <row r="49" spans="1:11">
      <c r="A49" s="221" t="s">
        <v>378</v>
      </c>
      <c r="B49" s="153" t="s">
        <v>155</v>
      </c>
      <c r="C49" s="153" t="s">
        <v>38</v>
      </c>
      <c r="D49" s="153">
        <v>15</v>
      </c>
      <c r="E49" s="153">
        <v>5866.25</v>
      </c>
      <c r="F49" s="153">
        <v>87993.75</v>
      </c>
      <c r="G49" s="153">
        <v>1</v>
      </c>
      <c r="H49" s="308">
        <v>87993.75</v>
      </c>
      <c r="I49" s="218">
        <v>0.05</v>
      </c>
      <c r="J49"/>
      <c r="K49"/>
    </row>
    <row r="50" spans="1:11">
      <c r="A50" s="221" t="s">
        <v>76</v>
      </c>
      <c r="B50" s="153" t="s">
        <v>42</v>
      </c>
      <c r="C50" s="153" t="s">
        <v>38</v>
      </c>
      <c r="D50" s="153">
        <v>200000</v>
      </c>
      <c r="E50" s="153">
        <v>17.59</v>
      </c>
      <c r="F50" s="153">
        <v>3518000</v>
      </c>
      <c r="G50" s="153">
        <v>1</v>
      </c>
      <c r="H50" s="308">
        <v>3518000</v>
      </c>
      <c r="I50" s="218">
        <v>1.8</v>
      </c>
      <c r="J50"/>
      <c r="K50"/>
    </row>
    <row r="51" spans="1:11">
      <c r="A51" s="221" t="s">
        <v>108</v>
      </c>
      <c r="B51" s="153" t="s">
        <v>44</v>
      </c>
      <c r="C51" s="153" t="s">
        <v>38</v>
      </c>
      <c r="D51" s="153">
        <v>69481</v>
      </c>
      <c r="E51" s="153">
        <v>248.21</v>
      </c>
      <c r="F51" s="153">
        <v>17245879.010000002</v>
      </c>
      <c r="G51" s="153">
        <v>1</v>
      </c>
      <c r="H51" s="153">
        <v>17245879.010000002</v>
      </c>
      <c r="I51" s="218">
        <v>8.84</v>
      </c>
      <c r="J51"/>
      <c r="K51"/>
    </row>
    <row r="52" spans="1:11">
      <c r="A52" s="221" t="s">
        <v>309</v>
      </c>
      <c r="B52" s="153" t="s">
        <v>23</v>
      </c>
      <c r="C52" s="153" t="s">
        <v>38</v>
      </c>
      <c r="D52" s="153">
        <v>3000</v>
      </c>
      <c r="E52" s="153">
        <v>193.17</v>
      </c>
      <c r="F52" s="153">
        <v>579510</v>
      </c>
      <c r="G52" s="153">
        <v>1</v>
      </c>
      <c r="H52" s="153">
        <v>579510</v>
      </c>
      <c r="I52" s="218">
        <v>0.3</v>
      </c>
      <c r="J52"/>
      <c r="K52"/>
    </row>
    <row r="53" spans="1:11">
      <c r="A53" s="221" t="s">
        <v>403</v>
      </c>
      <c r="B53" s="153" t="s">
        <v>140</v>
      </c>
      <c r="C53" s="153" t="s">
        <v>38</v>
      </c>
      <c r="D53" s="153">
        <v>-10</v>
      </c>
      <c r="E53" s="153">
        <v>0</v>
      </c>
      <c r="F53" s="153">
        <v>0</v>
      </c>
      <c r="G53" s="153">
        <v>1</v>
      </c>
      <c r="H53" s="153">
        <v>0</v>
      </c>
      <c r="I53" s="218">
        <v>0</v>
      </c>
      <c r="J53"/>
      <c r="K53"/>
    </row>
    <row r="54" spans="1:11">
      <c r="A54" s="221" t="s">
        <v>305</v>
      </c>
      <c r="B54" s="153" t="s">
        <v>23</v>
      </c>
      <c r="C54" s="153" t="s">
        <v>38</v>
      </c>
      <c r="D54" s="153">
        <v>2000</v>
      </c>
      <c r="E54" s="153">
        <v>560</v>
      </c>
      <c r="F54" s="153">
        <v>1120000</v>
      </c>
      <c r="G54" s="153">
        <v>1</v>
      </c>
      <c r="H54" s="308">
        <v>1120000</v>
      </c>
      <c r="I54" s="218">
        <v>0.57000000000000006</v>
      </c>
      <c r="J54"/>
      <c r="K54"/>
    </row>
    <row r="55" spans="1:11">
      <c r="A55" s="221" t="s">
        <v>199</v>
      </c>
      <c r="B55" s="153" t="s">
        <v>44</v>
      </c>
      <c r="C55" s="153" t="s">
        <v>38</v>
      </c>
      <c r="D55" s="153">
        <v>11100</v>
      </c>
      <c r="E55" s="153">
        <v>142.41</v>
      </c>
      <c r="F55" s="153">
        <v>1580751</v>
      </c>
      <c r="G55" s="153">
        <v>1</v>
      </c>
      <c r="H55" s="308">
        <v>1580751</v>
      </c>
      <c r="I55" s="218">
        <v>0.80999999999999994</v>
      </c>
      <c r="J55"/>
      <c r="K55"/>
    </row>
    <row r="56" spans="1:11">
      <c r="A56" s="221" t="s">
        <v>120</v>
      </c>
      <c r="B56" s="153" t="s">
        <v>44</v>
      </c>
      <c r="C56" s="153" t="s">
        <v>38</v>
      </c>
      <c r="D56" s="153">
        <v>55000</v>
      </c>
      <c r="E56" s="153">
        <v>26.83</v>
      </c>
      <c r="F56" s="153">
        <v>1475650</v>
      </c>
      <c r="G56" s="153">
        <v>1</v>
      </c>
      <c r="H56" s="308">
        <v>1475650</v>
      </c>
      <c r="I56" s="218">
        <v>0.76</v>
      </c>
      <c r="J56"/>
      <c r="K56"/>
    </row>
    <row r="57" spans="1:11">
      <c r="A57" s="221" t="s">
        <v>282</v>
      </c>
      <c r="B57" s="153" t="s">
        <v>44</v>
      </c>
      <c r="C57" s="153" t="s">
        <v>38</v>
      </c>
      <c r="D57" s="153">
        <v>55000</v>
      </c>
      <c r="E57" s="153">
        <v>53.84</v>
      </c>
      <c r="F57" s="153">
        <v>2961200</v>
      </c>
      <c r="G57" s="153">
        <v>1</v>
      </c>
      <c r="H57" s="153">
        <v>2961200</v>
      </c>
      <c r="I57" s="218">
        <v>1.52</v>
      </c>
      <c r="J57"/>
      <c r="K57"/>
    </row>
    <row r="58" spans="1:11">
      <c r="A58" s="221" t="s">
        <v>312</v>
      </c>
      <c r="B58" s="153" t="s">
        <v>23</v>
      </c>
      <c r="C58" s="153" t="s">
        <v>38</v>
      </c>
      <c r="D58" s="153">
        <v>1000</v>
      </c>
      <c r="E58" s="153">
        <v>142.80000000000001</v>
      </c>
      <c r="F58" s="153">
        <v>142800</v>
      </c>
      <c r="G58" s="153">
        <v>1</v>
      </c>
      <c r="H58" s="153">
        <v>142800</v>
      </c>
      <c r="I58" s="218">
        <v>6.9999999999999993E-2</v>
      </c>
      <c r="J58"/>
      <c r="K58"/>
    </row>
    <row r="59" spans="1:11">
      <c r="A59" s="221" t="s">
        <v>310</v>
      </c>
      <c r="B59" s="153" t="s">
        <v>139</v>
      </c>
      <c r="C59" s="153" t="s">
        <v>38</v>
      </c>
      <c r="D59" s="153">
        <v>11000</v>
      </c>
      <c r="E59" s="153">
        <v>97.21</v>
      </c>
      <c r="F59" s="153">
        <v>1069310</v>
      </c>
      <c r="G59" s="153">
        <v>1</v>
      </c>
      <c r="H59" s="153">
        <v>1069310</v>
      </c>
      <c r="I59" s="218">
        <v>0.54999999999999993</v>
      </c>
      <c r="J59"/>
      <c r="K59"/>
    </row>
    <row r="60" spans="1:11">
      <c r="A60" s="221" t="s">
        <v>298</v>
      </c>
      <c r="B60" s="153" t="s">
        <v>139</v>
      </c>
      <c r="C60" s="153" t="s">
        <v>38</v>
      </c>
      <c r="D60" s="153">
        <v>63000</v>
      </c>
      <c r="E60" s="153">
        <v>61.89</v>
      </c>
      <c r="F60" s="153">
        <v>3899070</v>
      </c>
      <c r="G60" s="153">
        <v>1</v>
      </c>
      <c r="H60" s="153">
        <v>3899070</v>
      </c>
      <c r="I60" s="218">
        <v>2</v>
      </c>
      <c r="J60"/>
      <c r="K60"/>
    </row>
    <row r="61" spans="1:11">
      <c r="A61" s="221" t="s">
        <v>380</v>
      </c>
      <c r="B61" s="153" t="s">
        <v>140</v>
      </c>
      <c r="C61" s="153" t="s">
        <v>38</v>
      </c>
      <c r="D61" s="153">
        <v>-15</v>
      </c>
      <c r="E61" s="153">
        <v>0.28000000000000003</v>
      </c>
      <c r="F61" s="153">
        <v>-4.2</v>
      </c>
      <c r="G61" s="153">
        <v>1</v>
      </c>
      <c r="H61" s="308">
        <v>-4.2</v>
      </c>
      <c r="I61" s="218">
        <v>0</v>
      </c>
      <c r="J61"/>
      <c r="K61"/>
    </row>
    <row r="62" spans="1:11">
      <c r="A62" s="221" t="s">
        <v>113</v>
      </c>
      <c r="B62" s="153" t="s">
        <v>42</v>
      </c>
      <c r="C62" s="153" t="s">
        <v>38</v>
      </c>
      <c r="D62" s="153">
        <v>21013</v>
      </c>
      <c r="E62" s="153">
        <v>47.61</v>
      </c>
      <c r="F62" s="153">
        <v>1000428.93</v>
      </c>
      <c r="G62" s="153">
        <v>1</v>
      </c>
      <c r="H62" s="153">
        <v>1000428.93</v>
      </c>
      <c r="I62" s="218">
        <v>0.51</v>
      </c>
      <c r="J62"/>
      <c r="K62"/>
    </row>
    <row r="63" spans="1:11">
      <c r="A63" s="221" t="s">
        <v>106</v>
      </c>
      <c r="B63" s="153" t="s">
        <v>139</v>
      </c>
      <c r="C63" s="153" t="s">
        <v>38</v>
      </c>
      <c r="D63" s="153">
        <v>36000</v>
      </c>
      <c r="E63" s="153">
        <v>216.83</v>
      </c>
      <c r="F63" s="153">
        <v>7805880</v>
      </c>
      <c r="G63" s="153">
        <v>1</v>
      </c>
      <c r="H63" s="153">
        <v>7805880</v>
      </c>
      <c r="I63" s="218">
        <v>4</v>
      </c>
      <c r="J63"/>
      <c r="K63"/>
    </row>
    <row r="64" spans="1:11">
      <c r="A64" s="221" t="s">
        <v>304</v>
      </c>
      <c r="B64" s="153" t="s">
        <v>23</v>
      </c>
      <c r="C64" s="153" t="s">
        <v>38</v>
      </c>
      <c r="D64" s="153">
        <v>3000</v>
      </c>
      <c r="E64" s="153">
        <v>239.87</v>
      </c>
      <c r="F64" s="153">
        <v>719610</v>
      </c>
      <c r="G64" s="153">
        <v>1</v>
      </c>
      <c r="H64" s="153">
        <v>719610</v>
      </c>
      <c r="I64" s="218">
        <v>0.37</v>
      </c>
      <c r="J64"/>
      <c r="K64"/>
    </row>
    <row r="65" spans="1:11">
      <c r="A65" s="221" t="s">
        <v>404</v>
      </c>
      <c r="B65" s="153" t="s">
        <v>140</v>
      </c>
      <c r="C65" s="153" t="s">
        <v>38</v>
      </c>
      <c r="D65" s="153">
        <v>-10</v>
      </c>
      <c r="E65" s="153">
        <v>2.63</v>
      </c>
      <c r="F65" s="153">
        <v>-26.3</v>
      </c>
      <c r="G65" s="153">
        <v>1</v>
      </c>
      <c r="H65" s="153">
        <v>-26.3</v>
      </c>
      <c r="I65" s="218">
        <v>0</v>
      </c>
      <c r="J65"/>
      <c r="K65"/>
    </row>
    <row r="66" spans="1:11">
      <c r="A66" s="221" t="s">
        <v>388</v>
      </c>
      <c r="B66" s="153" t="s">
        <v>140</v>
      </c>
      <c r="C66" s="153" t="s">
        <v>38</v>
      </c>
      <c r="D66" s="153">
        <v>-10</v>
      </c>
      <c r="E66" s="153">
        <v>0</v>
      </c>
      <c r="F66" s="153">
        <v>0</v>
      </c>
      <c r="G66" s="153">
        <v>1</v>
      </c>
      <c r="H66" s="153">
        <v>0</v>
      </c>
      <c r="I66" s="218">
        <v>0</v>
      </c>
      <c r="J66"/>
      <c r="K66"/>
    </row>
    <row r="67" spans="1:11">
      <c r="A67" s="221" t="s">
        <v>375</v>
      </c>
      <c r="B67" s="153" t="s">
        <v>23</v>
      </c>
      <c r="C67" s="153" t="s">
        <v>38</v>
      </c>
      <c r="D67" s="153">
        <v>5000</v>
      </c>
      <c r="E67" s="153">
        <v>61.07</v>
      </c>
      <c r="F67" s="153">
        <v>305350</v>
      </c>
      <c r="G67" s="153">
        <v>1</v>
      </c>
      <c r="H67" s="153">
        <v>305350</v>
      </c>
      <c r="I67" s="218">
        <v>0.16</v>
      </c>
      <c r="J67"/>
      <c r="K67"/>
    </row>
    <row r="68" spans="1:11">
      <c r="A68" s="221" t="s">
        <v>289</v>
      </c>
      <c r="B68" s="153" t="s">
        <v>23</v>
      </c>
      <c r="C68" s="153" t="s">
        <v>38</v>
      </c>
      <c r="D68" s="153">
        <v>400</v>
      </c>
      <c r="E68" s="153">
        <v>799.9</v>
      </c>
      <c r="F68" s="153">
        <v>319960</v>
      </c>
      <c r="G68" s="153">
        <v>1</v>
      </c>
      <c r="H68" s="308">
        <v>319960</v>
      </c>
      <c r="I68" s="218">
        <v>0.16</v>
      </c>
      <c r="J68"/>
      <c r="K68"/>
    </row>
    <row r="69" spans="1:11">
      <c r="A69" s="221" t="s">
        <v>107</v>
      </c>
      <c r="B69" s="153" t="s">
        <v>42</v>
      </c>
      <c r="C69" s="153" t="s">
        <v>38</v>
      </c>
      <c r="D69" s="153">
        <v>20000</v>
      </c>
      <c r="E69" s="153">
        <v>105.4</v>
      </c>
      <c r="F69" s="153">
        <v>2108000</v>
      </c>
      <c r="G69" s="153">
        <v>1</v>
      </c>
      <c r="H69" s="308">
        <v>2108000</v>
      </c>
      <c r="I69" s="218">
        <v>1.08</v>
      </c>
      <c r="J69"/>
      <c r="K69"/>
    </row>
    <row r="70" spans="1:11">
      <c r="A70" s="221" t="s">
        <v>428</v>
      </c>
      <c r="B70" s="153" t="s">
        <v>42</v>
      </c>
      <c r="C70" s="153" t="s">
        <v>38</v>
      </c>
      <c r="D70" s="153">
        <v>4000</v>
      </c>
      <c r="E70" s="153">
        <v>90.52</v>
      </c>
      <c r="F70" s="153">
        <v>362080</v>
      </c>
      <c r="G70" s="153">
        <v>1</v>
      </c>
      <c r="H70" s="153">
        <v>362080</v>
      </c>
      <c r="I70" s="218">
        <v>0.19</v>
      </c>
      <c r="J70"/>
      <c r="K70"/>
    </row>
    <row r="71" spans="1:11">
      <c r="A71" s="221" t="s">
        <v>96</v>
      </c>
      <c r="B71" s="153" t="s">
        <v>23</v>
      </c>
      <c r="C71" s="153" t="s">
        <v>38</v>
      </c>
      <c r="D71" s="153">
        <v>10500</v>
      </c>
      <c r="E71" s="153">
        <v>282.31</v>
      </c>
      <c r="F71" s="153">
        <v>2964255</v>
      </c>
      <c r="G71" s="153">
        <v>1</v>
      </c>
      <c r="H71" s="153">
        <v>2964255</v>
      </c>
      <c r="I71" s="218">
        <v>1.52</v>
      </c>
      <c r="J71"/>
      <c r="K71"/>
    </row>
    <row r="72" spans="1:11">
      <c r="A72" s="221" t="s">
        <v>301</v>
      </c>
      <c r="B72" s="153" t="s">
        <v>140</v>
      </c>
      <c r="C72" s="153" t="s">
        <v>38</v>
      </c>
      <c r="D72" s="153">
        <v>10</v>
      </c>
      <c r="E72" s="153">
        <v>0.02</v>
      </c>
      <c r="F72" s="153">
        <v>0.2</v>
      </c>
      <c r="G72" s="153">
        <v>1</v>
      </c>
      <c r="H72" s="153">
        <v>0.2</v>
      </c>
      <c r="I72" s="218">
        <v>0</v>
      </c>
      <c r="J72"/>
      <c r="K72"/>
    </row>
    <row r="73" spans="1:11">
      <c r="A73" s="221" t="s">
        <v>290</v>
      </c>
      <c r="B73" s="153" t="s">
        <v>23</v>
      </c>
      <c r="C73" s="153" t="s">
        <v>38</v>
      </c>
      <c r="D73" s="153">
        <v>1400</v>
      </c>
      <c r="E73" s="153">
        <v>418.95</v>
      </c>
      <c r="F73" s="153">
        <v>586530</v>
      </c>
      <c r="G73" s="153">
        <v>1</v>
      </c>
      <c r="H73" s="153">
        <v>586530</v>
      </c>
      <c r="I73" s="218">
        <v>0.3</v>
      </c>
      <c r="J73"/>
      <c r="K73"/>
    </row>
    <row r="74" spans="1:11">
      <c r="A74" s="221" t="s">
        <v>405</v>
      </c>
      <c r="B74" s="153" t="s">
        <v>140</v>
      </c>
      <c r="C74" s="153" t="s">
        <v>38</v>
      </c>
      <c r="D74" s="153">
        <v>-3</v>
      </c>
      <c r="E74" s="153">
        <v>1.05</v>
      </c>
      <c r="F74" s="153">
        <v>-3.15</v>
      </c>
      <c r="G74" s="153">
        <v>1</v>
      </c>
      <c r="H74" s="153">
        <v>-3.15</v>
      </c>
      <c r="I74" s="218">
        <v>0</v>
      </c>
      <c r="J74"/>
      <c r="K74"/>
    </row>
    <row r="75" spans="1:11">
      <c r="A75" s="221" t="s">
        <v>385</v>
      </c>
      <c r="B75" s="153" t="s">
        <v>140</v>
      </c>
      <c r="C75" s="153" t="s">
        <v>38</v>
      </c>
      <c r="D75" s="153">
        <v>0</v>
      </c>
      <c r="E75" s="153">
        <v>484.1</v>
      </c>
      <c r="F75" s="153">
        <v>0</v>
      </c>
      <c r="G75" s="153">
        <v>1</v>
      </c>
      <c r="H75" s="153">
        <v>0</v>
      </c>
      <c r="I75" s="218">
        <v>0</v>
      </c>
      <c r="J75"/>
      <c r="K75"/>
    </row>
    <row r="76" spans="1:11">
      <c r="A76" s="221" t="s">
        <v>381</v>
      </c>
      <c r="B76" s="153" t="s">
        <v>140</v>
      </c>
      <c r="C76" s="153" t="s">
        <v>38</v>
      </c>
      <c r="D76" s="153">
        <v>30</v>
      </c>
      <c r="E76" s="153">
        <v>40.25</v>
      </c>
      <c r="F76" s="153">
        <v>1207.5</v>
      </c>
      <c r="G76" s="153">
        <v>1</v>
      </c>
      <c r="H76" s="153">
        <v>1207.5</v>
      </c>
      <c r="I76" s="218">
        <v>0</v>
      </c>
      <c r="J76"/>
      <c r="K76"/>
    </row>
    <row r="77" spans="1:11">
      <c r="A77" s="221" t="s">
        <v>379</v>
      </c>
      <c r="B77" s="153" t="s">
        <v>155</v>
      </c>
      <c r="C77" s="153" t="s">
        <v>38</v>
      </c>
      <c r="D77" s="153">
        <v>30</v>
      </c>
      <c r="E77" s="153">
        <v>21016</v>
      </c>
      <c r="F77" s="153">
        <v>630480</v>
      </c>
      <c r="G77" s="153">
        <v>1</v>
      </c>
      <c r="H77" s="153">
        <v>630480</v>
      </c>
      <c r="I77" s="218">
        <v>0.32</v>
      </c>
      <c r="J77"/>
      <c r="K77"/>
    </row>
    <row r="78" spans="1:11">
      <c r="A78" s="221" t="s">
        <v>88</v>
      </c>
      <c r="B78" s="153" t="s">
        <v>23</v>
      </c>
      <c r="C78" s="153" t="s">
        <v>38</v>
      </c>
      <c r="D78" s="153">
        <v>162800</v>
      </c>
      <c r="E78" s="153">
        <v>135.91</v>
      </c>
      <c r="F78" s="153">
        <v>22126148</v>
      </c>
      <c r="G78" s="153">
        <v>1</v>
      </c>
      <c r="H78" s="153">
        <v>22126148</v>
      </c>
      <c r="I78" s="218">
        <v>11.34</v>
      </c>
      <c r="J78"/>
      <c r="K78"/>
    </row>
    <row r="79" spans="1:11">
      <c r="A79" s="221" t="s">
        <v>392</v>
      </c>
      <c r="B79" s="153" t="s">
        <v>140</v>
      </c>
      <c r="C79" s="153" t="s">
        <v>38</v>
      </c>
      <c r="D79" s="153">
        <v>-100</v>
      </c>
      <c r="E79" s="153">
        <v>0</v>
      </c>
      <c r="F79" s="153">
        <v>0</v>
      </c>
      <c r="G79" s="153">
        <v>1</v>
      </c>
      <c r="H79" s="153">
        <v>0</v>
      </c>
      <c r="I79" s="218">
        <v>0</v>
      </c>
      <c r="J79"/>
      <c r="K79"/>
    </row>
    <row r="80" spans="1:11">
      <c r="A80" s="221" t="s">
        <v>414</v>
      </c>
      <c r="B80" s="153" t="s">
        <v>140</v>
      </c>
      <c r="C80" s="153" t="s">
        <v>38</v>
      </c>
      <c r="D80" s="153">
        <v>-100</v>
      </c>
      <c r="E80" s="153">
        <v>9.09</v>
      </c>
      <c r="F80" s="153">
        <v>-909</v>
      </c>
      <c r="G80" s="153">
        <v>1</v>
      </c>
      <c r="H80" s="153">
        <v>-909</v>
      </c>
      <c r="I80" s="218">
        <v>0</v>
      </c>
      <c r="J80"/>
      <c r="K80"/>
    </row>
    <row r="81" spans="1:11">
      <c r="A81" s="221" t="s">
        <v>406</v>
      </c>
      <c r="B81" s="153" t="s">
        <v>140</v>
      </c>
      <c r="C81" s="153" t="s">
        <v>38</v>
      </c>
      <c r="D81" s="153">
        <v>-200</v>
      </c>
      <c r="E81" s="153">
        <v>0</v>
      </c>
      <c r="F81" s="153">
        <v>0</v>
      </c>
      <c r="G81" s="153">
        <v>1</v>
      </c>
      <c r="H81" s="153">
        <v>0</v>
      </c>
      <c r="I81" s="218">
        <v>0</v>
      </c>
      <c r="J81"/>
      <c r="K81"/>
    </row>
    <row r="82" spans="1:11">
      <c r="A82" s="221" t="s">
        <v>407</v>
      </c>
      <c r="B82" s="153" t="s">
        <v>140</v>
      </c>
      <c r="C82" s="153" t="s">
        <v>38</v>
      </c>
      <c r="D82" s="153">
        <v>-100</v>
      </c>
      <c r="E82" s="153">
        <v>0</v>
      </c>
      <c r="F82" s="153">
        <v>0</v>
      </c>
      <c r="G82" s="153">
        <v>1</v>
      </c>
      <c r="H82" s="153">
        <v>0</v>
      </c>
      <c r="I82" s="218">
        <v>0</v>
      </c>
      <c r="J82"/>
      <c r="K82"/>
    </row>
    <row r="83" spans="1:11">
      <c r="A83" s="221" t="s">
        <v>415</v>
      </c>
      <c r="B83" s="153" t="s">
        <v>140</v>
      </c>
      <c r="C83" s="153" t="s">
        <v>38</v>
      </c>
      <c r="D83" s="153">
        <v>-100</v>
      </c>
      <c r="E83" s="153">
        <v>0</v>
      </c>
      <c r="F83" s="153">
        <v>0</v>
      </c>
      <c r="G83" s="153">
        <v>1</v>
      </c>
      <c r="H83" s="153">
        <v>0</v>
      </c>
      <c r="I83" s="218">
        <v>0</v>
      </c>
      <c r="J83"/>
      <c r="K83"/>
    </row>
    <row r="84" spans="1:11">
      <c r="A84" s="221" t="s">
        <v>386</v>
      </c>
      <c r="B84" s="153" t="s">
        <v>140</v>
      </c>
      <c r="C84" s="153" t="s">
        <v>38</v>
      </c>
      <c r="D84" s="153">
        <v>-100</v>
      </c>
      <c r="E84" s="153">
        <v>1.18</v>
      </c>
      <c r="F84" s="153">
        <v>-118</v>
      </c>
      <c r="G84" s="153">
        <v>1</v>
      </c>
      <c r="H84" s="153">
        <v>-118</v>
      </c>
      <c r="I84" s="218">
        <v>0</v>
      </c>
      <c r="J84"/>
      <c r="K84"/>
    </row>
    <row r="85" spans="1:11">
      <c r="A85" s="221" t="s">
        <v>376</v>
      </c>
      <c r="B85" s="153" t="s">
        <v>23</v>
      </c>
      <c r="C85" s="153" t="s">
        <v>38</v>
      </c>
      <c r="D85" s="153">
        <v>1500</v>
      </c>
      <c r="E85" s="153">
        <v>154.5</v>
      </c>
      <c r="F85" s="153">
        <v>231750</v>
      </c>
      <c r="G85" s="153">
        <v>1</v>
      </c>
      <c r="H85" s="153">
        <v>231750</v>
      </c>
      <c r="I85" s="218">
        <v>0.12</v>
      </c>
      <c r="J85"/>
      <c r="K85"/>
    </row>
    <row r="86" spans="1:11">
      <c r="A86" s="221" t="s">
        <v>408</v>
      </c>
      <c r="B86" s="153" t="s">
        <v>140</v>
      </c>
      <c r="C86" s="153" t="s">
        <v>38</v>
      </c>
      <c r="D86" s="153">
        <v>-5</v>
      </c>
      <c r="E86" s="153">
        <v>8</v>
      </c>
      <c r="F86" s="153">
        <v>-40</v>
      </c>
      <c r="G86" s="153">
        <v>1</v>
      </c>
      <c r="H86" s="153">
        <v>-40</v>
      </c>
      <c r="I86" s="218">
        <v>0</v>
      </c>
      <c r="J86"/>
      <c r="K86"/>
    </row>
    <row r="87" spans="1:11">
      <c r="A87" s="221" t="s">
        <v>311</v>
      </c>
      <c r="B87" s="153" t="s">
        <v>23</v>
      </c>
      <c r="C87" s="153" t="s">
        <v>38</v>
      </c>
      <c r="D87" s="153">
        <v>2500</v>
      </c>
      <c r="E87" s="153">
        <v>173.42</v>
      </c>
      <c r="F87" s="153">
        <v>433549.99999999988</v>
      </c>
      <c r="G87" s="153">
        <v>1</v>
      </c>
      <c r="H87" s="153">
        <v>433550</v>
      </c>
      <c r="I87" s="218">
        <v>0.22</v>
      </c>
      <c r="J87"/>
      <c r="K87"/>
    </row>
    <row r="88" spans="1:11">
      <c r="A88" s="221" t="s">
        <v>292</v>
      </c>
      <c r="B88" s="153" t="s">
        <v>138</v>
      </c>
      <c r="C88" s="153" t="s">
        <v>38</v>
      </c>
      <c r="D88" s="153">
        <v>11400</v>
      </c>
      <c r="E88" s="153">
        <v>94.68</v>
      </c>
      <c r="F88" s="153">
        <v>1079352</v>
      </c>
      <c r="G88" s="153">
        <v>1</v>
      </c>
      <c r="H88" s="153">
        <v>1079352</v>
      </c>
      <c r="I88" s="218">
        <v>0.54999999999999993</v>
      </c>
      <c r="J88"/>
      <c r="K88"/>
    </row>
    <row r="89" spans="1:11">
      <c r="A89" s="221" t="s">
        <v>416</v>
      </c>
      <c r="B89" s="153" t="s">
        <v>140</v>
      </c>
      <c r="C89" s="153" t="s">
        <v>38</v>
      </c>
      <c r="D89" s="153">
        <v>-10</v>
      </c>
      <c r="E89" s="153">
        <v>0</v>
      </c>
      <c r="F89" s="153">
        <v>0</v>
      </c>
      <c r="G89" s="153">
        <v>1</v>
      </c>
      <c r="H89" s="153">
        <v>0</v>
      </c>
      <c r="I89" s="218">
        <v>0</v>
      </c>
      <c r="J89"/>
      <c r="K89"/>
    </row>
    <row r="90" spans="1:11">
      <c r="A90" s="221" t="s">
        <v>389</v>
      </c>
      <c r="B90" s="153" t="s">
        <v>23</v>
      </c>
      <c r="C90" s="153" t="s">
        <v>38</v>
      </c>
      <c r="D90" s="153">
        <v>2500</v>
      </c>
      <c r="E90" s="153">
        <v>67.260000000000005</v>
      </c>
      <c r="F90" s="153">
        <v>168150</v>
      </c>
      <c r="G90" s="153">
        <v>1</v>
      </c>
      <c r="H90" s="153">
        <v>168150</v>
      </c>
      <c r="I90" s="218">
        <v>0.09</v>
      </c>
      <c r="J90"/>
      <c r="K90"/>
    </row>
    <row r="91" spans="1:11">
      <c r="A91" s="221" t="s">
        <v>390</v>
      </c>
      <c r="B91" s="153" t="s">
        <v>140</v>
      </c>
      <c r="C91" s="153" t="s">
        <v>38</v>
      </c>
      <c r="D91" s="153">
        <v>0</v>
      </c>
      <c r="E91" s="153">
        <v>7.74</v>
      </c>
      <c r="F91" s="153">
        <v>0</v>
      </c>
      <c r="G91" s="153">
        <v>1</v>
      </c>
      <c r="H91" s="153">
        <v>0</v>
      </c>
      <c r="I91" s="218">
        <v>0</v>
      </c>
      <c r="J91"/>
      <c r="K91"/>
    </row>
    <row r="92" spans="1:11">
      <c r="A92" s="221" t="s">
        <v>391</v>
      </c>
      <c r="B92" s="153" t="s">
        <v>140</v>
      </c>
      <c r="C92" s="153" t="s">
        <v>38</v>
      </c>
      <c r="D92" s="153">
        <v>-5</v>
      </c>
      <c r="E92" s="153">
        <v>0</v>
      </c>
      <c r="F92" s="153">
        <v>0</v>
      </c>
      <c r="G92" s="153">
        <v>1</v>
      </c>
      <c r="H92" s="153">
        <v>0</v>
      </c>
      <c r="I92" s="218">
        <v>0</v>
      </c>
      <c r="J92"/>
      <c r="K92"/>
    </row>
    <row r="93" spans="1:11">
      <c r="A93" s="221" t="s">
        <v>25</v>
      </c>
      <c r="B93" s="153" t="s">
        <v>139</v>
      </c>
      <c r="C93" s="153" t="s">
        <v>38</v>
      </c>
      <c r="D93" s="153">
        <v>62000</v>
      </c>
      <c r="E93" s="153">
        <v>507.19</v>
      </c>
      <c r="F93" s="153">
        <v>31445780</v>
      </c>
      <c r="G93" s="153">
        <v>1</v>
      </c>
      <c r="H93" s="153">
        <v>31445780</v>
      </c>
      <c r="I93" s="218">
        <v>16.12</v>
      </c>
      <c r="J93"/>
      <c r="K93"/>
    </row>
    <row r="94" spans="1:11">
      <c r="A94" s="221" t="s">
        <v>417</v>
      </c>
      <c r="B94" s="153" t="s">
        <v>140</v>
      </c>
      <c r="C94" s="153" t="s">
        <v>38</v>
      </c>
      <c r="D94" s="153">
        <v>-50</v>
      </c>
      <c r="E94" s="153">
        <v>0</v>
      </c>
      <c r="F94" s="153">
        <v>0</v>
      </c>
      <c r="G94" s="153">
        <v>1</v>
      </c>
      <c r="H94" s="153">
        <v>0</v>
      </c>
      <c r="I94" s="218">
        <v>0</v>
      </c>
      <c r="J94"/>
      <c r="K94"/>
    </row>
    <row r="95" spans="1:11">
      <c r="A95" s="221" t="s">
        <v>286</v>
      </c>
      <c r="B95" s="153" t="s">
        <v>139</v>
      </c>
      <c r="C95" s="153" t="s">
        <v>38</v>
      </c>
      <c r="D95" s="153">
        <v>10000</v>
      </c>
      <c r="E95" s="153">
        <v>173.25</v>
      </c>
      <c r="F95" s="153">
        <v>1732500</v>
      </c>
      <c r="G95" s="153">
        <v>1</v>
      </c>
      <c r="H95" s="153">
        <v>1732500</v>
      </c>
      <c r="I95" s="218">
        <v>0.89</v>
      </c>
      <c r="J95"/>
      <c r="K95"/>
    </row>
    <row r="96" spans="1:11">
      <c r="A96" s="221" t="s">
        <v>306</v>
      </c>
      <c r="B96" s="153" t="s">
        <v>23</v>
      </c>
      <c r="C96" s="153" t="s">
        <v>38</v>
      </c>
      <c r="D96" s="153">
        <v>5000</v>
      </c>
      <c r="E96" s="153">
        <v>115.11</v>
      </c>
      <c r="F96" s="153">
        <v>575550</v>
      </c>
      <c r="G96" s="153">
        <v>1</v>
      </c>
      <c r="H96" s="153">
        <v>575550</v>
      </c>
      <c r="I96" s="218">
        <v>0.28999999999999998</v>
      </c>
      <c r="J96"/>
      <c r="K96"/>
    </row>
    <row r="97" spans="1:11">
      <c r="A97" s="221" t="s">
        <v>295</v>
      </c>
      <c r="B97" s="153" t="s">
        <v>138</v>
      </c>
      <c r="C97" s="153" t="s">
        <v>38</v>
      </c>
      <c r="D97" s="153">
        <v>5500</v>
      </c>
      <c r="E97" s="153">
        <v>108.29</v>
      </c>
      <c r="F97" s="153">
        <v>595595</v>
      </c>
      <c r="G97" s="153">
        <v>1</v>
      </c>
      <c r="H97" s="153">
        <v>595595</v>
      </c>
      <c r="I97" s="218">
        <v>0.31</v>
      </c>
      <c r="J97"/>
      <c r="K97"/>
    </row>
    <row r="98" spans="1:11">
      <c r="A98" s="221" t="s">
        <v>429</v>
      </c>
      <c r="B98" s="153" t="s">
        <v>42</v>
      </c>
      <c r="C98" s="153" t="s">
        <v>38</v>
      </c>
      <c r="D98" s="153">
        <v>12000</v>
      </c>
      <c r="E98" s="153">
        <v>22.52</v>
      </c>
      <c r="F98" s="153">
        <v>270240</v>
      </c>
      <c r="G98" s="153">
        <v>1</v>
      </c>
      <c r="H98" s="308">
        <v>270240</v>
      </c>
      <c r="I98" s="218">
        <v>0.14000000000000001</v>
      </c>
      <c r="J98"/>
      <c r="K98"/>
    </row>
    <row r="99" spans="1:11">
      <c r="A99" s="221" t="s">
        <v>409</v>
      </c>
      <c r="B99" s="153" t="s">
        <v>140</v>
      </c>
      <c r="C99" s="153" t="s">
        <v>38</v>
      </c>
      <c r="D99" s="153">
        <v>-5</v>
      </c>
      <c r="E99" s="153">
        <v>0</v>
      </c>
      <c r="F99" s="153">
        <v>0</v>
      </c>
      <c r="G99" s="153">
        <v>1</v>
      </c>
      <c r="H99" s="153">
        <v>0</v>
      </c>
      <c r="I99" s="218">
        <v>0</v>
      </c>
      <c r="J99"/>
      <c r="K99"/>
    </row>
    <row r="100" spans="1:11">
      <c r="A100" s="221" t="s">
        <v>425</v>
      </c>
      <c r="B100" s="153" t="s">
        <v>140</v>
      </c>
      <c r="C100" s="153" t="s">
        <v>38</v>
      </c>
      <c r="D100" s="153">
        <v>-5</v>
      </c>
      <c r="E100" s="153">
        <v>2.54</v>
      </c>
      <c r="F100" s="153">
        <v>-12.7</v>
      </c>
      <c r="G100" s="153">
        <v>1</v>
      </c>
      <c r="H100" s="153">
        <v>-12.7</v>
      </c>
      <c r="I100" s="218">
        <v>0</v>
      </c>
      <c r="J100"/>
      <c r="K100"/>
    </row>
    <row r="101" spans="1:11">
      <c r="A101" s="221" t="s">
        <v>430</v>
      </c>
      <c r="B101" s="153" t="s">
        <v>42</v>
      </c>
      <c r="C101" s="153" t="s">
        <v>38</v>
      </c>
      <c r="D101" s="153">
        <v>15000</v>
      </c>
      <c r="E101" s="153">
        <v>100.63</v>
      </c>
      <c r="F101" s="153">
        <v>1509450</v>
      </c>
      <c r="G101" s="153">
        <v>1</v>
      </c>
      <c r="H101" s="308">
        <v>1509450</v>
      </c>
      <c r="I101" s="218">
        <v>0.77</v>
      </c>
      <c r="J101"/>
      <c r="K101"/>
    </row>
    <row r="102" spans="1:11">
      <c r="A102" s="221" t="s">
        <v>105</v>
      </c>
      <c r="B102" s="153" t="s">
        <v>42</v>
      </c>
      <c r="C102" s="153" t="s">
        <v>38</v>
      </c>
      <c r="D102" s="153">
        <v>52500</v>
      </c>
      <c r="E102" s="153">
        <v>85.46</v>
      </c>
      <c r="F102" s="153">
        <v>4486650</v>
      </c>
      <c r="G102" s="153">
        <v>1</v>
      </c>
      <c r="H102" s="308">
        <v>4486650</v>
      </c>
      <c r="I102" s="218">
        <v>2.2999999999999998</v>
      </c>
      <c r="J102"/>
      <c r="K102"/>
    </row>
    <row r="103" spans="1:11">
      <c r="A103" s="221" t="s">
        <v>200</v>
      </c>
      <c r="B103" s="153" t="s">
        <v>23</v>
      </c>
      <c r="C103" s="153" t="s">
        <v>38</v>
      </c>
      <c r="D103" s="153">
        <v>81500</v>
      </c>
      <c r="E103" s="153">
        <v>208.37</v>
      </c>
      <c r="F103" s="153">
        <v>16982155</v>
      </c>
      <c r="G103" s="153">
        <v>1</v>
      </c>
      <c r="H103" s="153">
        <v>16982155</v>
      </c>
      <c r="I103" s="218">
        <v>8.6999999999999993</v>
      </c>
      <c r="J103"/>
      <c r="K103"/>
    </row>
    <row r="104" spans="1:11">
      <c r="A104" s="221" t="s">
        <v>393</v>
      </c>
      <c r="B104" s="153" t="s">
        <v>140</v>
      </c>
      <c r="C104" s="153" t="s">
        <v>38</v>
      </c>
      <c r="D104" s="153">
        <v>-100</v>
      </c>
      <c r="E104" s="153">
        <v>0</v>
      </c>
      <c r="F104" s="153">
        <v>0</v>
      </c>
      <c r="G104" s="153">
        <v>1</v>
      </c>
      <c r="H104" s="153">
        <v>0</v>
      </c>
      <c r="I104" s="218">
        <v>0</v>
      </c>
      <c r="J104"/>
      <c r="K104"/>
    </row>
    <row r="105" spans="1:11">
      <c r="A105" s="221" t="s">
        <v>418</v>
      </c>
      <c r="B105" s="153" t="s">
        <v>140</v>
      </c>
      <c r="C105" s="153" t="s">
        <v>38</v>
      </c>
      <c r="D105" s="153">
        <v>-100</v>
      </c>
      <c r="E105" s="153">
        <v>4.13</v>
      </c>
      <c r="F105" s="153">
        <v>-413</v>
      </c>
      <c r="G105" s="153">
        <v>1</v>
      </c>
      <c r="H105" s="153">
        <v>-413</v>
      </c>
      <c r="I105" s="218">
        <v>0</v>
      </c>
      <c r="J105"/>
      <c r="K105"/>
    </row>
    <row r="106" spans="1:11">
      <c r="A106" s="221" t="s">
        <v>410</v>
      </c>
      <c r="B106" s="153" t="s">
        <v>140</v>
      </c>
      <c r="C106" s="153" t="s">
        <v>38</v>
      </c>
      <c r="D106" s="153">
        <v>-100</v>
      </c>
      <c r="E106" s="153">
        <v>0</v>
      </c>
      <c r="F106" s="153">
        <v>0</v>
      </c>
      <c r="G106" s="153">
        <v>1</v>
      </c>
      <c r="H106" s="153">
        <v>0</v>
      </c>
      <c r="I106" s="218">
        <v>0</v>
      </c>
      <c r="J106"/>
      <c r="K106"/>
    </row>
    <row r="107" spans="1:11">
      <c r="A107" s="221" t="s">
        <v>419</v>
      </c>
      <c r="B107" s="153" t="s">
        <v>140</v>
      </c>
      <c r="C107" s="153" t="s">
        <v>38</v>
      </c>
      <c r="D107" s="153">
        <v>-50</v>
      </c>
      <c r="E107" s="153">
        <v>6.63</v>
      </c>
      <c r="F107" s="153">
        <v>-331.5</v>
      </c>
      <c r="G107" s="153">
        <v>1</v>
      </c>
      <c r="H107" s="153">
        <v>-331.5</v>
      </c>
      <c r="I107" s="218">
        <v>0</v>
      </c>
      <c r="J107"/>
      <c r="K107"/>
    </row>
    <row r="108" spans="1:11">
      <c r="A108" s="221" t="s">
        <v>387</v>
      </c>
      <c r="B108" s="153" t="s">
        <v>140</v>
      </c>
      <c r="C108" s="153" t="s">
        <v>38</v>
      </c>
      <c r="D108" s="153">
        <v>-100</v>
      </c>
      <c r="E108" s="153">
        <v>1.01</v>
      </c>
      <c r="F108" s="153">
        <v>-101</v>
      </c>
      <c r="G108" s="153">
        <v>1</v>
      </c>
      <c r="H108" s="153">
        <v>-101</v>
      </c>
      <c r="I108" s="218">
        <v>0</v>
      </c>
      <c r="J108"/>
      <c r="K108"/>
    </row>
    <row r="109" spans="1:11">
      <c r="A109" s="221" t="s">
        <v>109</v>
      </c>
      <c r="B109" s="153" t="s">
        <v>42</v>
      </c>
      <c r="C109" s="153" t="s">
        <v>38</v>
      </c>
      <c r="D109" s="153">
        <v>40000</v>
      </c>
      <c r="E109" s="153">
        <v>36.71</v>
      </c>
      <c r="F109" s="153">
        <v>1468400</v>
      </c>
      <c r="G109" s="153">
        <v>1</v>
      </c>
      <c r="H109" s="308">
        <v>1468400</v>
      </c>
      <c r="I109" s="218">
        <v>0.75</v>
      </c>
      <c r="J109"/>
      <c r="K109"/>
    </row>
    <row r="110" spans="1:11">
      <c r="A110" s="221" t="s">
        <v>104</v>
      </c>
      <c r="B110" s="153" t="s">
        <v>42</v>
      </c>
      <c r="C110" s="153" t="s">
        <v>38</v>
      </c>
      <c r="D110" s="153">
        <v>30000</v>
      </c>
      <c r="E110" s="153">
        <v>79.39</v>
      </c>
      <c r="F110" s="153">
        <v>2381700</v>
      </c>
      <c r="G110" s="153">
        <v>1</v>
      </c>
      <c r="H110" s="308">
        <v>2381700</v>
      </c>
      <c r="I110" s="218">
        <v>1.22</v>
      </c>
      <c r="J110"/>
      <c r="K110"/>
    </row>
    <row r="111" spans="1:11">
      <c r="A111" s="221" t="s">
        <v>303</v>
      </c>
      <c r="B111" s="153" t="s">
        <v>23</v>
      </c>
      <c r="C111" s="153" t="s">
        <v>38</v>
      </c>
      <c r="D111" s="153">
        <v>2000</v>
      </c>
      <c r="E111" s="153">
        <v>39.31</v>
      </c>
      <c r="F111" s="153">
        <v>78620</v>
      </c>
      <c r="G111" s="153">
        <v>1</v>
      </c>
      <c r="H111" s="153">
        <v>78620</v>
      </c>
      <c r="I111" s="218">
        <v>0.04</v>
      </c>
      <c r="J111"/>
      <c r="K111"/>
    </row>
    <row r="112" spans="1:11">
      <c r="A112" s="221" t="s">
        <v>287</v>
      </c>
      <c r="B112" s="153" t="s">
        <v>139</v>
      </c>
      <c r="C112" s="153" t="s">
        <v>38</v>
      </c>
      <c r="D112" s="153">
        <v>5500</v>
      </c>
      <c r="E112" s="153">
        <v>102.38</v>
      </c>
      <c r="F112" s="153">
        <v>563090</v>
      </c>
      <c r="G112" s="153">
        <v>1</v>
      </c>
      <c r="H112" s="153">
        <v>563090</v>
      </c>
      <c r="I112" s="218">
        <v>0.28999999999999998</v>
      </c>
      <c r="J112"/>
      <c r="K112"/>
    </row>
    <row r="113" spans="1:11">
      <c r="A113" s="221" t="s">
        <v>26</v>
      </c>
      <c r="B113" s="153" t="s">
        <v>139</v>
      </c>
      <c r="C113" s="153" t="s">
        <v>38</v>
      </c>
      <c r="D113" s="153">
        <v>67500</v>
      </c>
      <c r="E113" s="153">
        <v>88.39</v>
      </c>
      <c r="F113" s="153">
        <v>5966325</v>
      </c>
      <c r="G113" s="153">
        <v>1</v>
      </c>
      <c r="H113" s="153">
        <v>5966325</v>
      </c>
      <c r="I113" s="218">
        <v>3.06</v>
      </c>
      <c r="J113"/>
      <c r="K113"/>
    </row>
    <row r="114" spans="1:11">
      <c r="A114" s="221" t="s">
        <v>117</v>
      </c>
      <c r="B114" s="153" t="s">
        <v>139</v>
      </c>
      <c r="C114" s="153" t="s">
        <v>38</v>
      </c>
      <c r="D114" s="153">
        <v>199563</v>
      </c>
      <c r="E114" s="153">
        <v>47.32</v>
      </c>
      <c r="F114" s="153">
        <v>9443321.1600000001</v>
      </c>
      <c r="G114" s="153">
        <v>1</v>
      </c>
      <c r="H114" s="153">
        <v>9443321.1600000001</v>
      </c>
      <c r="I114" s="218">
        <v>4.84</v>
      </c>
      <c r="J114"/>
      <c r="K114"/>
    </row>
    <row r="115" spans="1:11">
      <c r="A115" s="221" t="s">
        <v>411</v>
      </c>
      <c r="B115" s="153" t="s">
        <v>140</v>
      </c>
      <c r="C115" s="153" t="s">
        <v>38</v>
      </c>
      <c r="D115" s="153">
        <v>-200</v>
      </c>
      <c r="E115" s="153">
        <v>0</v>
      </c>
      <c r="F115" s="153">
        <v>0</v>
      </c>
      <c r="G115" s="153">
        <v>1</v>
      </c>
      <c r="H115" s="153">
        <v>0</v>
      </c>
      <c r="I115" s="218">
        <v>0</v>
      </c>
      <c r="J115"/>
      <c r="K115"/>
    </row>
    <row r="116" spans="1:11">
      <c r="A116" s="221" t="s">
        <v>420</v>
      </c>
      <c r="B116" s="153" t="s">
        <v>140</v>
      </c>
      <c r="C116" s="153" t="s">
        <v>38</v>
      </c>
      <c r="D116" s="153">
        <v>-100</v>
      </c>
      <c r="E116" s="153">
        <v>0</v>
      </c>
      <c r="F116" s="153">
        <v>0</v>
      </c>
      <c r="G116" s="153">
        <v>1</v>
      </c>
      <c r="H116" s="153">
        <v>0</v>
      </c>
      <c r="I116" s="218">
        <v>0</v>
      </c>
      <c r="J116"/>
      <c r="K116"/>
    </row>
    <row r="117" spans="1:11">
      <c r="A117" s="221" t="s">
        <v>118</v>
      </c>
      <c r="B117" s="153" t="s">
        <v>139</v>
      </c>
      <c r="C117" s="153" t="s">
        <v>38</v>
      </c>
      <c r="D117" s="153">
        <v>24100</v>
      </c>
      <c r="E117" s="153">
        <v>228.78</v>
      </c>
      <c r="F117" s="153">
        <v>5513598</v>
      </c>
      <c r="G117" s="153">
        <v>1</v>
      </c>
      <c r="H117" s="153">
        <v>5513598</v>
      </c>
      <c r="I117" s="218">
        <v>2.83</v>
      </c>
      <c r="J117"/>
      <c r="K117"/>
    </row>
    <row r="118" spans="1:11">
      <c r="A118" s="221" t="s">
        <v>394</v>
      </c>
      <c r="B118" s="153" t="s">
        <v>140</v>
      </c>
      <c r="C118" s="153" t="s">
        <v>38</v>
      </c>
      <c r="D118" s="153">
        <v>-100</v>
      </c>
      <c r="E118" s="153">
        <v>0</v>
      </c>
      <c r="F118" s="153">
        <v>0</v>
      </c>
      <c r="G118" s="153">
        <v>1</v>
      </c>
      <c r="H118" s="153">
        <v>0</v>
      </c>
      <c r="I118" s="218">
        <v>0</v>
      </c>
      <c r="J118"/>
      <c r="K118"/>
    </row>
    <row r="119" spans="1:11">
      <c r="A119" s="221" t="s">
        <v>421</v>
      </c>
      <c r="B119" s="153" t="s">
        <v>140</v>
      </c>
      <c r="C119" s="153" t="s">
        <v>38</v>
      </c>
      <c r="D119" s="153">
        <v>-100</v>
      </c>
      <c r="E119" s="153">
        <v>0</v>
      </c>
      <c r="F119" s="153">
        <v>0</v>
      </c>
      <c r="G119" s="153">
        <v>1</v>
      </c>
      <c r="H119" s="153">
        <v>0</v>
      </c>
      <c r="I119" s="218">
        <v>0</v>
      </c>
      <c r="J119"/>
      <c r="K119"/>
    </row>
    <row r="120" spans="1:11">
      <c r="A120" s="221" t="s">
        <v>49</v>
      </c>
      <c r="B120" s="153" t="s">
        <v>44</v>
      </c>
      <c r="C120" s="153" t="s">
        <v>38</v>
      </c>
      <c r="D120" s="153">
        <v>6000</v>
      </c>
      <c r="E120" s="153">
        <v>75.58</v>
      </c>
      <c r="F120" s="153">
        <v>453480</v>
      </c>
      <c r="G120" s="153">
        <v>1</v>
      </c>
      <c r="H120" s="308">
        <v>453480</v>
      </c>
      <c r="I120" s="218">
        <v>0.23</v>
      </c>
      <c r="J120"/>
      <c r="K120"/>
    </row>
    <row r="121" spans="1:11">
      <c r="A121" s="221" t="s">
        <v>115</v>
      </c>
      <c r="B121" s="153" t="s">
        <v>139</v>
      </c>
      <c r="C121" s="153" t="s">
        <v>38</v>
      </c>
      <c r="D121" s="153">
        <v>31500</v>
      </c>
      <c r="E121" s="153">
        <v>139.63999999999999</v>
      </c>
      <c r="F121" s="153">
        <v>4398660</v>
      </c>
      <c r="G121" s="153">
        <v>1</v>
      </c>
      <c r="H121" s="153">
        <v>4398660</v>
      </c>
      <c r="I121" s="218">
        <v>2.25</v>
      </c>
      <c r="J121"/>
      <c r="K121"/>
    </row>
    <row r="122" spans="1:11">
      <c r="A122" s="221" t="s">
        <v>131</v>
      </c>
      <c r="B122" s="153" t="s">
        <v>44</v>
      </c>
      <c r="C122" s="153" t="s">
        <v>38</v>
      </c>
      <c r="D122" s="153">
        <v>13500</v>
      </c>
      <c r="E122" s="153">
        <v>57.13</v>
      </c>
      <c r="F122" s="153">
        <v>771255</v>
      </c>
      <c r="G122" s="153">
        <v>1</v>
      </c>
      <c r="H122" s="308">
        <v>771255</v>
      </c>
      <c r="I122" s="218">
        <v>0.4</v>
      </c>
      <c r="J122"/>
      <c r="K122"/>
    </row>
    <row r="123" spans="1:11">
      <c r="A123" s="221" t="s">
        <v>368</v>
      </c>
      <c r="B123" s="153" t="s">
        <v>139</v>
      </c>
      <c r="C123" s="153" t="s">
        <v>38</v>
      </c>
      <c r="D123" s="153">
        <v>4300</v>
      </c>
      <c r="E123" s="153">
        <v>183.75</v>
      </c>
      <c r="F123" s="153">
        <v>790125</v>
      </c>
      <c r="G123" s="153">
        <v>1</v>
      </c>
      <c r="H123" s="153">
        <v>790125</v>
      </c>
      <c r="I123" s="218">
        <v>0.4</v>
      </c>
      <c r="J123"/>
      <c r="K123"/>
    </row>
    <row r="124" spans="1:11">
      <c r="A124" s="221" t="s">
        <v>369</v>
      </c>
      <c r="B124" s="153" t="s">
        <v>140</v>
      </c>
      <c r="C124" s="153" t="s">
        <v>38</v>
      </c>
      <c r="D124" s="153">
        <v>-5</v>
      </c>
      <c r="E124" s="153">
        <v>0.47</v>
      </c>
      <c r="F124" s="153">
        <v>-2.35</v>
      </c>
      <c r="G124" s="153">
        <v>1</v>
      </c>
      <c r="H124" s="153">
        <v>-2.35</v>
      </c>
      <c r="I124" s="218">
        <v>0</v>
      </c>
      <c r="J124"/>
      <c r="K124"/>
    </row>
    <row r="125" spans="1:11">
      <c r="A125" s="221" t="s">
        <v>284</v>
      </c>
      <c r="B125" s="153" t="s">
        <v>138</v>
      </c>
      <c r="C125" s="153" t="s">
        <v>37</v>
      </c>
      <c r="D125" s="153">
        <v>200000</v>
      </c>
      <c r="E125" s="153">
        <v>3.07</v>
      </c>
      <c r="F125" s="153">
        <v>614000</v>
      </c>
      <c r="G125" s="153">
        <v>1.3715727825097039</v>
      </c>
      <c r="H125" s="153">
        <v>447661.26</v>
      </c>
      <c r="I125" s="218">
        <v>0.23</v>
      </c>
      <c r="J125"/>
      <c r="K125"/>
    </row>
    <row r="126" spans="1:11">
      <c r="A126" s="221"/>
      <c r="B126" s="153"/>
      <c r="C126" s="153"/>
      <c r="D126" s="153"/>
      <c r="E126" s="153"/>
      <c r="F126" s="153"/>
      <c r="G126" s="153"/>
      <c r="H126" s="308"/>
      <c r="I126" s="218"/>
      <c r="J126"/>
      <c r="K126"/>
    </row>
    <row r="127" spans="1:11">
      <c r="A127" s="221"/>
      <c r="B127" s="153"/>
      <c r="C127" s="153"/>
      <c r="D127" s="153"/>
      <c r="E127" s="153"/>
      <c r="F127" s="153"/>
      <c r="G127" s="153"/>
      <c r="H127" s="308"/>
      <c r="I127" s="218"/>
      <c r="J127"/>
      <c r="K127"/>
    </row>
    <row r="128" spans="1:11">
      <c r="A128" s="221"/>
      <c r="B128" s="153"/>
      <c r="C128" s="153"/>
      <c r="D128" s="153"/>
      <c r="E128" s="153"/>
      <c r="F128" s="153"/>
      <c r="G128" s="153"/>
      <c r="H128" s="308"/>
      <c r="I128" s="218"/>
      <c r="J128"/>
      <c r="K128"/>
    </row>
    <row r="129" spans="1:11">
      <c r="A129" s="221"/>
      <c r="B129" s="153"/>
      <c r="C129" s="153"/>
      <c r="D129" s="153"/>
      <c r="E129" s="153"/>
      <c r="F129" s="153"/>
      <c r="G129" s="153"/>
      <c r="H129" s="308"/>
      <c r="I129" s="218"/>
      <c r="J129"/>
      <c r="K129"/>
    </row>
    <row r="130" spans="1:11">
      <c r="A130" s="221"/>
      <c r="B130" s="153"/>
      <c r="C130" s="153"/>
      <c r="D130" s="153"/>
      <c r="E130" s="153"/>
      <c r="F130" s="153"/>
      <c r="G130" s="153"/>
      <c r="H130" s="308"/>
      <c r="I130" s="218"/>
      <c r="J130"/>
      <c r="K130"/>
    </row>
    <row r="131" spans="1:11">
      <c r="A131" s="221"/>
      <c r="B131" s="153"/>
      <c r="C131" s="153"/>
      <c r="D131" s="153"/>
      <c r="E131" s="153"/>
      <c r="F131" s="153"/>
      <c r="G131" s="153"/>
      <c r="H131" s="308"/>
      <c r="I131" s="218"/>
      <c r="J131"/>
      <c r="K131"/>
    </row>
    <row r="132" spans="1:11">
      <c r="A132" s="221"/>
      <c r="B132" s="153"/>
      <c r="C132" s="153"/>
      <c r="D132" s="153"/>
      <c r="E132" s="153"/>
      <c r="F132" s="153"/>
      <c r="G132" s="153"/>
      <c r="H132" s="308"/>
      <c r="I132" s="218"/>
      <c r="J132"/>
      <c r="K132"/>
    </row>
    <row r="133" spans="1:11">
      <c r="A133" s="221"/>
      <c r="B133" s="153"/>
      <c r="C133" s="153"/>
      <c r="D133" s="153"/>
      <c r="E133" s="153"/>
      <c r="F133" s="153"/>
      <c r="G133" s="153"/>
      <c r="H133" s="308"/>
      <c r="I133" s="218"/>
      <c r="J133"/>
      <c r="K133"/>
    </row>
    <row r="134" spans="1:11">
      <c r="A134" s="221"/>
      <c r="B134" s="153"/>
      <c r="C134" s="153"/>
      <c r="D134" s="153"/>
      <c r="E134" s="153"/>
      <c r="F134" s="153"/>
      <c r="G134" s="153"/>
      <c r="H134" s="308"/>
      <c r="I134" s="218"/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308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308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308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308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308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308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308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308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308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308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308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308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308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308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308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308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308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308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308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308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308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308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308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308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308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308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308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308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308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308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308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308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308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308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308"/>
      <c r="I169" s="218"/>
    </row>
  </sheetData>
  <autoFilter ref="A2:I125" xr:uid="{F6DF4B25-B6CC-4ACC-B571-02DA8228728D}">
    <sortState xmlns:xlrd2="http://schemas.microsoft.com/office/spreadsheetml/2017/richdata2" ref="A39:I122">
      <sortCondition ref="H2:H125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8" sqref="G198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04">
        <v>1263133.29274105</v>
      </c>
      <c r="H176" s="304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  <row r="178" spans="1:12">
      <c r="A178" s="170">
        <f>'Historical NAV'!A1170</f>
        <v>45660</v>
      </c>
      <c r="B178" s="159">
        <v>1011890.72</v>
      </c>
      <c r="C178" s="159">
        <v>125627.6</v>
      </c>
      <c r="D178" s="159">
        <v>1749391.57</v>
      </c>
      <c r="E178" s="159">
        <v>27326.74</v>
      </c>
      <c r="F178" s="159">
        <v>-106806.33</v>
      </c>
      <c r="G178" s="159">
        <v>194350</v>
      </c>
      <c r="H178" s="159">
        <v>108562.39</v>
      </c>
      <c r="I178" s="159"/>
      <c r="J178" s="159"/>
      <c r="K178" s="159"/>
      <c r="L178" s="159">
        <f t="shared" ref="L178" si="23">SUM(B178:K178)</f>
        <v>3110342.6900000004</v>
      </c>
    </row>
    <row r="179" spans="1:12">
      <c r="A179" s="170">
        <f>'Historical NAV'!A1171</f>
        <v>45663</v>
      </c>
      <c r="B179" s="159">
        <v>361381.55</v>
      </c>
      <c r="C179" s="159">
        <v>-9348.8399999999983</v>
      </c>
      <c r="D179" s="159">
        <v>1690488.71</v>
      </c>
      <c r="E179" s="159">
        <v>-6656.630000000001</v>
      </c>
      <c r="F179" s="159">
        <v>95813.7</v>
      </c>
      <c r="G179" s="159">
        <v>114450</v>
      </c>
      <c r="H179" s="159">
        <v>-96725.440000000002</v>
      </c>
      <c r="I179" s="159"/>
      <c r="J179" s="159"/>
      <c r="K179" s="159"/>
      <c r="L179" s="159">
        <f t="shared" ref="L179" si="24">SUM(B179:K179)</f>
        <v>2149403.0500000003</v>
      </c>
    </row>
    <row r="180" spans="1:12">
      <c r="A180" s="170">
        <f>'Historical NAV'!A1172</f>
        <v>45664</v>
      </c>
      <c r="B180" s="159">
        <v>-789425.92999999993</v>
      </c>
      <c r="C180" s="159">
        <v>-272194.38</v>
      </c>
      <c r="D180" s="159">
        <v>-2269288</v>
      </c>
      <c r="E180" s="159">
        <v>-128776.13</v>
      </c>
      <c r="F180" s="159">
        <v>-54108.450000000012</v>
      </c>
      <c r="G180" s="159">
        <v>-203587.5</v>
      </c>
      <c r="H180" s="159">
        <v>75191.570000000007</v>
      </c>
      <c r="I180" s="159"/>
      <c r="J180" s="159"/>
      <c r="K180" s="159"/>
      <c r="L180" s="159">
        <f t="shared" ref="L180" si="25">SUM(B180:K180)</f>
        <v>-3642188.8200000003</v>
      </c>
    </row>
    <row r="181" spans="1:12">
      <c r="A181" s="170">
        <f>'Historical NAV'!A1173</f>
        <v>45665</v>
      </c>
      <c r="B181" s="159">
        <v>34995.08</v>
      </c>
      <c r="C181" s="159">
        <v>-141260.85</v>
      </c>
      <c r="D181" s="159">
        <v>-339750</v>
      </c>
      <c r="E181" s="159">
        <v>3413.76</v>
      </c>
      <c r="F181" s="159">
        <v>19055.3</v>
      </c>
      <c r="G181" s="159">
        <v>4150</v>
      </c>
      <c r="H181" s="159">
        <v>32633.85</v>
      </c>
      <c r="I181" s="159"/>
      <c r="J181" s="159"/>
      <c r="K181" s="159"/>
      <c r="L181" s="159">
        <f t="shared" ref="L181" si="26">SUM(B181:K181)</f>
        <v>-386762.86000000004</v>
      </c>
    </row>
    <row r="182" spans="1:12">
      <c r="A182" s="170">
        <f>'Historical NAV'!A1174</f>
        <v>45666</v>
      </c>
      <c r="B182" s="159">
        <v>0</v>
      </c>
      <c r="C182" s="159">
        <v>-19800.86</v>
      </c>
      <c r="D182" s="159">
        <v>-3207.77</v>
      </c>
      <c r="E182" s="159">
        <v>0</v>
      </c>
      <c r="F182" s="159">
        <v>0</v>
      </c>
      <c r="G182" s="159">
        <v>0</v>
      </c>
      <c r="H182" s="159">
        <v>5024.53</v>
      </c>
      <c r="I182" s="159"/>
      <c r="J182" s="159"/>
      <c r="K182" s="159"/>
      <c r="L182" s="159">
        <f t="shared" ref="L182" si="27">SUM(B182:K182)</f>
        <v>-17984.100000000002</v>
      </c>
    </row>
    <row r="183" spans="1:12">
      <c r="A183" s="170">
        <f>'Historical NAV'!A1175</f>
        <v>45667</v>
      </c>
      <c r="B183" s="159">
        <v>-1236187.71</v>
      </c>
      <c r="C183" s="159">
        <v>-306776.56</v>
      </c>
      <c r="D183" s="159">
        <v>-779219.46</v>
      </c>
      <c r="E183" s="159">
        <v>-113847.32</v>
      </c>
      <c r="F183" s="159">
        <v>223660.35</v>
      </c>
      <c r="G183" s="159">
        <v>-304450</v>
      </c>
      <c r="H183" s="159">
        <v>5086.0900000000047</v>
      </c>
      <c r="I183" s="159"/>
      <c r="J183" s="159"/>
      <c r="K183" s="159"/>
      <c r="L183" s="159">
        <f t="shared" ref="L183" si="28">SUM(B183:K183)</f>
        <v>-2511734.61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U25"/>
  <sheetViews>
    <sheetView showGridLines="0" tabSelected="1" zoomScale="85" zoomScaleNormal="85" workbookViewId="0">
      <selection activeCell="S2" sqref="S2:U13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8.4257812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1">
      <c r="B2" s="273" t="s">
        <v>365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326</v>
      </c>
      <c r="O2" s="273"/>
      <c r="P2" s="273"/>
      <c r="Q2" s="273"/>
      <c r="S2" s="273" t="s">
        <v>317</v>
      </c>
      <c r="T2" s="279"/>
      <c r="U2" s="273"/>
    </row>
    <row r="3" spans="2:21">
      <c r="B3" s="109" t="s">
        <v>363</v>
      </c>
      <c r="C3" s="109" t="s">
        <v>364</v>
      </c>
      <c r="D3" s="109" t="s">
        <v>331</v>
      </c>
      <c r="E3" s="109" t="s">
        <v>332</v>
      </c>
      <c r="F3" s="109" t="s">
        <v>333</v>
      </c>
      <c r="G3" s="109" t="s">
        <v>334</v>
      </c>
      <c r="H3" s="109" t="s">
        <v>335</v>
      </c>
      <c r="I3" s="109" t="s">
        <v>336</v>
      </c>
      <c r="J3" s="109" t="s">
        <v>66</v>
      </c>
      <c r="K3" s="109" t="s">
        <v>66</v>
      </c>
      <c r="L3" s="109" t="s">
        <v>297</v>
      </c>
      <c r="M3" s="292"/>
      <c r="N3" s="109"/>
      <c r="O3" s="109" t="s">
        <v>383</v>
      </c>
      <c r="P3" s="109" t="s">
        <v>327</v>
      </c>
      <c r="Q3" s="109" t="s">
        <v>20</v>
      </c>
      <c r="S3" t="s">
        <v>318</v>
      </c>
      <c r="T3" s="280">
        <f>ROUND(VLOOKUP("Starting Value", 'Email input'!C:D, 2, FALSE),2)</f>
        <v>71204832.620000005</v>
      </c>
    </row>
    <row r="4" spans="2:21">
      <c r="B4" t="s">
        <v>383</v>
      </c>
      <c r="C4" t="s">
        <v>382</v>
      </c>
      <c r="D4" s="8">
        <f>IF(D18=0, "", D18)</f>
        <v>6.3647245670425387E-2</v>
      </c>
      <c r="E4" s="8">
        <f t="shared" ref="E4:L5" ca="1" si="0">IF(E18=0, "", E18)</f>
        <v>-6.8668048756552358E-2</v>
      </c>
      <c r="F4" s="8" t="str">
        <f t="shared" si="0"/>
        <v/>
      </c>
      <c r="G4" s="8" t="str">
        <f t="shared" si="0"/>
        <v/>
      </c>
      <c r="H4" s="8" t="str">
        <f t="shared" si="0"/>
        <v/>
      </c>
      <c r="I4" s="8">
        <f t="shared" ca="1" si="0"/>
        <v>-3.9937024848610204E-2</v>
      </c>
      <c r="J4" s="8">
        <f t="shared" ca="1" si="0"/>
        <v>-9.0576039841863132E-3</v>
      </c>
      <c r="K4" s="8">
        <f ca="1">J4</f>
        <v>-9.0576039841863132E-3</v>
      </c>
      <c r="L4" s="8">
        <f t="shared" ca="1" si="0"/>
        <v>-9.0576039841863132E-3</v>
      </c>
      <c r="N4" t="s">
        <v>318</v>
      </c>
      <c r="O4" s="280">
        <f>T3</f>
        <v>71204832.620000005</v>
      </c>
      <c r="P4" s="293">
        <f>P16</f>
        <v>1932595.1</v>
      </c>
      <c r="Q4" s="280">
        <f>SUM(O4:P4)</f>
        <v>73137427.719999999</v>
      </c>
      <c r="S4" t="s">
        <v>316</v>
      </c>
      <c r="T4" s="286">
        <f>ROUND(VLOOKUP("Deposits &amp; Withdrawals", 'Email input'!C:D, 2, FALSE),2)</f>
        <v>-9000000</v>
      </c>
    </row>
    <row r="5" spans="2:21">
      <c r="B5" t="s">
        <v>327</v>
      </c>
      <c r="C5" t="s">
        <v>362</v>
      </c>
      <c r="D5" s="8">
        <f>D19</f>
        <v>0</v>
      </c>
      <c r="E5" s="8" t="str">
        <f t="shared" si="0"/>
        <v/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>
        <f>SUM(D5:H5)</f>
        <v>0</v>
      </c>
      <c r="K5" s="8">
        <f>J5</f>
        <v>0</v>
      </c>
      <c r="L5" s="8">
        <f>L19+J5</f>
        <v>0</v>
      </c>
      <c r="N5" t="s">
        <v>316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499364.09170829563</v>
      </c>
      <c r="U5" s="8">
        <f>VLOOKUP("Commodities", 'Email input'!F:G, 2, FALSE)/100</f>
        <v>7.0130646100000004E-3</v>
      </c>
    </row>
    <row r="6" spans="2:21">
      <c r="B6" t="s">
        <v>337</v>
      </c>
      <c r="C6" t="s">
        <v>361</v>
      </c>
      <c r="D6" s="8">
        <f t="array" ref="D6">IFERROR(_xll.BDP($B6,"INTERVAL_PERCENT_CHANGE", "END_DATE_OVERRIDE="&amp;TEXT(D$17,"yyyymmdd"), "START_DATE_OVERRIDE="&amp;TEXT(D$16,"yyyymmdd"))/100, "")</f>
        <v>1.0344071286361119E-2</v>
      </c>
      <c r="E6" s="8">
        <f t="array" ref="E6">IFERROR(_xll.BDP($B6,"INTERVAL_PERCENT_CHANGE", "END_DATE_OVERRIDE="&amp;TEXT(E$17,"yyyymmdd"), "START_DATE_OVERRIDE="&amp;TEXT(E$16,"yyyymmdd"))/100, "")</f>
        <v>-1.9424582707190829E-2</v>
      </c>
      <c r="F6" s="8" t="str">
        <f t="array" ref="F6">IFERROR(_xll.BDP($B6,"INTERVAL_PERCENT_CHANGE", "END_DATE_OVERRIDE="&amp;TEXT(F$17,"yyyymmdd"), "START_DATE_OVERRIDE="&amp;TEXT(F$16,"yyyymmdd"))/100, "")</f>
        <v/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>
        <f>_xll.BDP(B6,"CHG_PCT_1D")/100</f>
        <v>-1.5411649999999999E-2</v>
      </c>
      <c r="J6" s="8">
        <f>_xll.BDP($B6,"CURRENT_TRR_MTD")/100</f>
        <v>-8.9148070000000003E-3</v>
      </c>
      <c r="K6" s="8">
        <f>_xll.BDP(B6,"CHG_PCT_1M")/100</f>
        <v>-3.7026360000000001E-2</v>
      </c>
      <c r="L6" s="8">
        <f t="array" ref="L6">_xll.BDP($B6,"CHG_PCT_YTD")/100</f>
        <v>-9.2814149999999995E-3</v>
      </c>
      <c r="N6" t="s">
        <v>328</v>
      </c>
      <c r="O6" s="278">
        <f>SUM(O4:O5)/SUM(O4:P5)</f>
        <v>0.96986790445608484</v>
      </c>
      <c r="P6" s="278">
        <f>SUM(P4:P5)/SUM(O4:P5)</f>
        <v>3.0132095543915275E-2</v>
      </c>
      <c r="Q6" s="278">
        <f>SUM(O6:P6)</f>
        <v>1.0000000000000002</v>
      </c>
      <c r="S6" t="s">
        <v>319</v>
      </c>
      <c r="T6" s="286">
        <f>($T$3-T$4)*U6</f>
        <v>-749538.52545795345</v>
      </c>
      <c r="U6" s="8">
        <f>VLOOKUP("new_equity", 'Email input'!F:G, 2, FALSE)/100</f>
        <v>-9.3453037800000013E-3</v>
      </c>
    </row>
    <row r="7" spans="2:21">
      <c r="B7" t="s">
        <v>338</v>
      </c>
      <c r="C7" t="s">
        <v>360</v>
      </c>
      <c r="D7" s="8">
        <f t="array" ref="D7">IFERROR(_xll.BDP($B7,"INTERVAL_PERCENT_CHANGE", "END_DATE_OVERRIDE="&amp;TEXT(D$17,"yyyymmdd"), "START_DATE_OVERRIDE="&amp;TEXT(D$16,"yyyymmdd"))/100, "")</f>
        <v>1.4943244795754157E-2</v>
      </c>
      <c r="E7" s="8">
        <f t="array" ref="E7">IFERROR(_xll.BDP($B7,"INTERVAL_PERCENT_CHANGE", "END_DATE_OVERRIDE="&amp;TEXT(E$17,"yyyymmdd"), "START_DATE_OVERRIDE="&amp;TEXT(E$16,"yyyymmdd"))/100, "")</f>
        <v>-2.2440983280628025E-2</v>
      </c>
      <c r="F7" s="8" t="str">
        <f t="array" ref="F7">IFERROR(_xll.BDP($B7,"INTERVAL_PERCENT_CHANGE", "END_DATE_OVERRIDE="&amp;TEXT(F$17,"yyyymmdd"), "START_DATE_OVERRIDE="&amp;TEXT(F$16,"yyyymmdd"))/100, "")</f>
        <v/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>
        <f t="array" ref="I7">_xll.BDP(B7,"CHG_PCT_1D")/100</f>
        <v>-1.5739610000000001E-2</v>
      </c>
      <c r="J7" s="8">
        <f t="array" ref="J7">_xll.BDP($B7,"CURRENT_TRR_MTD")/100</f>
        <v>-7.5939069999999996E-3</v>
      </c>
      <c r="K7" s="8">
        <f>_xll.BDP(B7,"CHG_PCT_1M")/100</f>
        <v>-4.2821819999999997E-2</v>
      </c>
      <c r="L7" s="8">
        <f t="array" ref="L7">_xll.BDP($B7,"CHG_PCT_YTD")/100</f>
        <v>-7.833072E-3</v>
      </c>
      <c r="N7" s="47" t="s">
        <v>95</v>
      </c>
      <c r="O7" s="295">
        <f ca="1">OFFSET('Historical NAV'!F1,COUNT('Historical NAV'!A:A),,,)</f>
        <v>-2569574.5376412943</v>
      </c>
      <c r="P7" s="296" t="s">
        <v>58</v>
      </c>
      <c r="Q7" s="297">
        <f ca="1">SUM(O7:P7)</f>
        <v>-2569574.5376412943</v>
      </c>
      <c r="S7" t="s">
        <v>320</v>
      </c>
      <c r="T7" s="286">
        <f>($T$3-T$4)*U7</f>
        <v>-221535.94894910094</v>
      </c>
      <c r="U7" s="8">
        <f>VLOOKUP("Fixed Income", 'Email input'!F:G, 2, FALSE)/100</f>
        <v>-2.7621271899999997E-3</v>
      </c>
    </row>
    <row r="8" spans="2:21">
      <c r="B8" t="s">
        <v>339</v>
      </c>
      <c r="C8" s="8" t="s">
        <v>340</v>
      </c>
      <c r="D8" s="8">
        <f t="array" ref="D8">IFERROR(_xll.BDP($B8,"INTERVAL_PERCENT_CHANGE", "END_DATE_OVERRIDE="&amp;TEXT(D$17,"yyyymmdd"), "START_DATE_OVERRIDE="&amp;TEXT(D$16,"yyyymmdd"))/100, "")</f>
        <v>7.9883922888550566E-3</v>
      </c>
      <c r="E8" s="8">
        <f t="array" ref="E8">IFERROR(_xll.BDP($B8,"INTERVAL_PERCENT_CHANGE", "END_DATE_OVERRIDE="&amp;TEXT(E$17,"yyyymmdd"), "START_DATE_OVERRIDE="&amp;TEXT(E$16,"yyyymmdd"))/100, "")</f>
        <v>-1.5860869565217445E-2</v>
      </c>
      <c r="F8" s="8" t="str">
        <f t="array" ref="F8">IFERROR(_xll.BDP($B8,"INTERVAL_PERCENT_CHANGE", "END_DATE_OVERRIDE="&amp;TEXT(F$17,"yyyymmdd"), "START_DATE_OVERRIDE="&amp;TEXT(F$16,"yyyymmdd"))/100, "")</f>
        <v/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>
        <f t="array" ref="I8">_xll.BDP(B8,"CHG_PCT_1D")/100</f>
        <v>-1.44464E-2</v>
      </c>
      <c r="J8" s="8">
        <f t="array" ref="J8">_xll.BDP($B8,"CURRENT_TRR_MTD")/100</f>
        <v>-7.5745459999999997E-3</v>
      </c>
      <c r="K8" s="8">
        <f>_xll.BDP(B8,"CHG_PCT_1M")/100</f>
        <v>-3.6417899999999996E-2</v>
      </c>
      <c r="L8" s="8">
        <f t="array" ref="L8">_xll.BDP($B8,"CHG_PCT_YTD")/100</f>
        <v>-7.9873900000000005E-3</v>
      </c>
      <c r="N8" t="s">
        <v>329</v>
      </c>
      <c r="O8" s="69">
        <f ca="1">OFFSET('Historical NAV'!J1,COUNT('Historical NAV'!A:A),,,)</f>
        <v>-433747.14793499559</v>
      </c>
      <c r="P8" s="280">
        <f>SUM(P4:P5)*P9</f>
        <v>0</v>
      </c>
      <c r="Q8" s="280">
        <f ca="1">SUM(O8:P8)</f>
        <v>-433747.14793499559</v>
      </c>
      <c r="S8" s="47" t="s">
        <v>321</v>
      </c>
      <c r="T8" s="287">
        <f>($T$3-T$4)*U8</f>
        <v>-155873.74910528364</v>
      </c>
      <c r="U8" s="207">
        <f>VLOOKUP("Cash", 'Email input'!F:G, 2, FALSE)/100</f>
        <v>-1.9434458499999999E-3</v>
      </c>
    </row>
    <row r="9" spans="2:21">
      <c r="B9" t="s">
        <v>341</v>
      </c>
      <c r="C9" s="8" t="s">
        <v>342</v>
      </c>
      <c r="D9" s="8">
        <f t="array" ref="D9">IFERROR(_xll.BDP($B9,"INTERVAL_PERCENT_CHANGE", "END_DATE_OVERRIDE="&amp;TEXT(D$17,"yyyymmdd"), "START_DATE_OVERRIDE="&amp;TEXT(D$16,"yyyymmdd"))/100, "")</f>
        <v>-4.3127155859802721E-3</v>
      </c>
      <c r="E9" s="8">
        <f t="array" ref="E9">IFERROR(_xll.BDP($B9,"INTERVAL_PERCENT_CHANGE", "END_DATE_OVERRIDE="&amp;TEXT(E$17,"yyyymmdd"), "START_DATE_OVERRIDE="&amp;TEXT(E$16,"yyyymmdd"))/100, "")</f>
        <v>-1.0249612473892325E-2</v>
      </c>
      <c r="F9" s="8" t="str">
        <f t="array" ref="F9">IFERROR(_xll.BDP($B9,"INTERVAL_PERCENT_CHANGE", "END_DATE_OVERRIDE="&amp;TEXT(F$17,"yyyymmdd"), "START_DATE_OVERRIDE="&amp;TEXT(F$16,"yyyymmdd"))/100, "")</f>
        <v/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>
        <f t="array" ref="I9">_xll.BDP(B9,"CHG_PCT_1D")/100</f>
        <v>-4.6389220000000002E-3</v>
      </c>
      <c r="J9" s="8">
        <f t="array" ref="J9">_xll.BDP($B9,"CURRENT_TRR_MTD")/100</f>
        <v>-1.4518120000000001E-2</v>
      </c>
      <c r="K9" s="8">
        <f>_xll.BDP(B9,"CHG_PCT_1M")/100</f>
        <v>-2.6405609999999999E-2</v>
      </c>
      <c r="L9" s="8">
        <f t="array" ref="L9">_xll.BDP($B9,"CHG_PCT_YTD")/100</f>
        <v>-1.4518120000000001E-2</v>
      </c>
      <c r="N9" t="s">
        <v>330</v>
      </c>
      <c r="O9" s="8">
        <f ca="1">OFFSET('Historical NAV'!K1,COUNT('Historical NAV'!A:A),,,)</f>
        <v>-9.0576039841863132E-3</v>
      </c>
      <c r="P9" s="285">
        <f>J5</f>
        <v>0</v>
      </c>
      <c r="S9" t="s">
        <v>322</v>
      </c>
      <c r="T9" s="288">
        <f>SUM(T5:T8)</f>
        <v>-627584.13180404238</v>
      </c>
      <c r="U9" s="8">
        <f>T9/(T3+T4)</f>
        <v>-1.0088993175785228E-2</v>
      </c>
    </row>
    <row r="10" spans="2:21" ht="15.75" thickBot="1">
      <c r="B10" t="s">
        <v>358</v>
      </c>
      <c r="C10" s="8" t="s">
        <v>359</v>
      </c>
      <c r="D10" s="8">
        <f t="array" ref="D10">IFERROR(_xll.BDP($B10,"INTERVAL_PERCENT_CHANGE", "END_DATE_OVERRIDE="&amp;TEXT(D$17,"yyyymmdd"), "START_DATE_OVERRIDE="&amp;TEXT(D$16,"yyyymmdd"))/100, "")</f>
        <v>-2.7298197367181709E-3</v>
      </c>
      <c r="E10" s="8">
        <f t="array" ref="E10">IFERROR(_xll.BDP($B10,"INTERVAL_PERCENT_CHANGE", "END_DATE_OVERRIDE="&amp;TEXT(E$17,"yyyymmdd"), "START_DATE_OVERRIDE="&amp;TEXT(E$16,"yyyymmdd"))/100, "")</f>
        <v>4.060654980379011E-2</v>
      </c>
      <c r="F10" s="8" t="str">
        <f t="array" ref="F10">IFERROR(_xll.BDP($B10,"INTERVAL_PERCENT_CHANGE", "END_DATE_OVERRIDE="&amp;TEXT(F$17,"yyyymmdd"), "START_DATE_OVERRIDE="&amp;TEXT(F$16,"yyyymmdd"))/100, "")</f>
        <v/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>
        <f>_xll.BDP(B10,"CHG_PCT_1D")/100</f>
        <v>2.0305379999999998E-2</v>
      </c>
      <c r="J10" s="8">
        <f t="array" ref="J10">_xll.BDP($B10,"CURRENT_TRR_MTD")/100</f>
        <v>3.7765849999999997E-2</v>
      </c>
      <c r="K10" s="8">
        <f>_xll.BDP(B10,"CHG_PCT_1M")/100</f>
        <v>3.868299E-2</v>
      </c>
      <c r="L10" s="8">
        <f t="array" ref="L10">_xll.BDP($B10,"CHG_PCT_YTD")/100</f>
        <v>3.7765849999999997E-2</v>
      </c>
      <c r="N10" s="275" t="s">
        <v>325</v>
      </c>
      <c r="O10" s="281">
        <f ca="1">O4+O5+O8</f>
        <v>61771085.472065009</v>
      </c>
      <c r="P10" s="276">
        <f>P4+P5+P8</f>
        <v>1932595.1</v>
      </c>
      <c r="Q10" s="281">
        <f ca="1">SUM(O10:P10)</f>
        <v>63703680.572065011</v>
      </c>
      <c r="S10" t="s">
        <v>323</v>
      </c>
      <c r="T10" s="286">
        <f>SUM('Email input'!D5:D8)</f>
        <v>-498093.4153772</v>
      </c>
      <c r="U10" s="8"/>
    </row>
    <row r="11" spans="2:21" ht="15.75" hidden="1" outlineLevel="1" thickTop="1">
      <c r="O11" s="283"/>
      <c r="P11" s="283"/>
      <c r="Q11" s="283"/>
      <c r="S11" t="s">
        <v>366</v>
      </c>
      <c r="T11" s="294">
        <v>871150.92579753697</v>
      </c>
      <c r="U11" s="8"/>
    </row>
    <row r="12" spans="2:21" ht="15.75" collapsed="1" thickTop="1">
      <c r="S12" t="s">
        <v>324</v>
      </c>
      <c r="T12" s="280">
        <f>SUM('Email input'!D7:D9)</f>
        <v>-179220.52510720002</v>
      </c>
      <c r="U12" s="8"/>
    </row>
    <row r="13" spans="2:21" ht="15.75" thickBot="1">
      <c r="S13" s="275" t="s">
        <v>325</v>
      </c>
      <c r="T13" s="281">
        <f>T3+T4+T9+T10+T12+T11</f>
        <v>61771085.473509103</v>
      </c>
      <c r="U13" s="277"/>
    </row>
    <row r="14" spans="2:21" ht="15.75" thickTop="1"/>
    <row r="15" spans="2:21" s="289" customFormat="1">
      <c r="T15" s="290"/>
    </row>
    <row r="16" spans="2:21">
      <c r="B16" t="s">
        <v>354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353</v>
      </c>
      <c r="P16" s="41">
        <v>1932595.1</v>
      </c>
      <c r="S16" t="s">
        <v>352</v>
      </c>
      <c r="T16" s="282">
        <f ca="1">OFFSET('Historical NAV'!B1,COUNT('Historical NAV'!A:A),,,)</f>
        <v>61771085.473509103</v>
      </c>
    </row>
    <row r="17" spans="2:21">
      <c r="B17" t="s">
        <v>355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t="s">
        <v>396</v>
      </c>
      <c r="T17" s="69">
        <f>T13</f>
        <v>61771085.473509103</v>
      </c>
    </row>
    <row r="18" spans="2:21">
      <c r="B18" t="s">
        <v>356</v>
      </c>
      <c r="D18" s="298">
        <v>6.3647245670425387E-2</v>
      </c>
      <c r="E18" s="298">
        <f ca="1">Dashboard!$B$4</f>
        <v>-6.8668048756552358E-2</v>
      </c>
      <c r="F18" s="298"/>
      <c r="G18" s="298"/>
      <c r="H18" s="298"/>
      <c r="I18" s="8">
        <f ca="1">Dashboard!B9</f>
        <v>-3.9937024848610204E-2</v>
      </c>
      <c r="J18" s="8">
        <f ca="1">Dashboard!B5</f>
        <v>-9.0576039841863132E-3</v>
      </c>
      <c r="K18" s="8"/>
      <c r="L18" s="69">
        <f ca="1">Dashboard!B6</f>
        <v>-9.0576039841863132E-3</v>
      </c>
      <c r="O18" s="69"/>
      <c r="T18" s="284">
        <f ca="1">T16-T17</f>
        <v>0</v>
      </c>
    </row>
    <row r="19" spans="2:21">
      <c r="B19" t="s">
        <v>357</v>
      </c>
      <c r="D19" s="298">
        <v>0</v>
      </c>
      <c r="E19" s="298"/>
      <c r="F19" s="298"/>
      <c r="G19" s="298"/>
      <c r="H19" s="298"/>
      <c r="J19">
        <f>SUM(D19:H19)</f>
        <v>0</v>
      </c>
      <c r="L19" s="41">
        <v>0</v>
      </c>
      <c r="M19" s="41"/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4"/>
  <sheetViews>
    <sheetView workbookViewId="0">
      <selection activeCell="D5" sqref="D5:D7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370</v>
      </c>
      <c r="B1" s="282" t="s">
        <v>349</v>
      </c>
      <c r="C1" t="s">
        <v>371</v>
      </c>
      <c r="D1" s="282" t="s">
        <v>372</v>
      </c>
      <c r="F1" t="s">
        <v>150</v>
      </c>
      <c r="G1" t="s">
        <v>150</v>
      </c>
    </row>
    <row r="2" spans="1:7">
      <c r="A2" t="s">
        <v>370</v>
      </c>
      <c r="B2" s="282" t="s">
        <v>350</v>
      </c>
      <c r="C2" t="s">
        <v>343</v>
      </c>
      <c r="D2" s="282">
        <v>71204832.621444106</v>
      </c>
      <c r="F2" t="s">
        <v>349</v>
      </c>
      <c r="G2" t="s">
        <v>350</v>
      </c>
    </row>
    <row r="3" spans="1:7">
      <c r="A3" t="s">
        <v>370</v>
      </c>
      <c r="B3" s="282" t="s">
        <v>350</v>
      </c>
      <c r="C3" t="s">
        <v>344</v>
      </c>
      <c r="D3" s="282">
        <v>-291355.92759834998</v>
      </c>
      <c r="F3" t="s">
        <v>165</v>
      </c>
      <c r="G3" t="s">
        <v>20</v>
      </c>
    </row>
    <row r="4" spans="1:7">
      <c r="A4" t="s">
        <v>370</v>
      </c>
      <c r="B4" s="282" t="s">
        <v>350</v>
      </c>
      <c r="C4" t="s">
        <v>345</v>
      </c>
      <c r="D4" s="282">
        <v>-9000000</v>
      </c>
      <c r="F4" t="s">
        <v>44</v>
      </c>
      <c r="G4">
        <v>0.70130646100000005</v>
      </c>
    </row>
    <row r="5" spans="1:7">
      <c r="A5" t="s">
        <v>370</v>
      </c>
      <c r="B5" s="282" t="s">
        <v>350</v>
      </c>
      <c r="C5" t="s">
        <v>426</v>
      </c>
      <c r="D5" s="282">
        <v>48744.42</v>
      </c>
      <c r="F5" t="s">
        <v>320</v>
      </c>
      <c r="G5">
        <v>-0.276212719</v>
      </c>
    </row>
    <row r="6" spans="1:7">
      <c r="A6" t="s">
        <v>370</v>
      </c>
      <c r="B6" s="282" t="s">
        <v>350</v>
      </c>
      <c r="C6" t="s">
        <v>427</v>
      </c>
      <c r="D6" s="282">
        <v>-10053.65</v>
      </c>
      <c r="F6" t="s">
        <v>321</v>
      </c>
      <c r="G6">
        <v>-0.19434458499999999</v>
      </c>
    </row>
    <row r="7" spans="1:7">
      <c r="A7" t="s">
        <v>370</v>
      </c>
      <c r="B7" s="282" t="s">
        <v>350</v>
      </c>
      <c r="C7" t="s">
        <v>346</v>
      </c>
      <c r="D7" s="282">
        <v>4206.3073135000004</v>
      </c>
    </row>
    <row r="8" spans="1:7">
      <c r="A8" t="s">
        <v>370</v>
      </c>
      <c r="B8" s="282" t="s">
        <v>350</v>
      </c>
      <c r="C8" t="s">
        <v>422</v>
      </c>
      <c r="D8" s="282">
        <v>-540990.49269069999</v>
      </c>
      <c r="F8" t="s">
        <v>351</v>
      </c>
      <c r="G8">
        <v>-0.93453037800000005</v>
      </c>
    </row>
    <row r="9" spans="1:7">
      <c r="A9" t="s">
        <v>370</v>
      </c>
      <c r="B9" s="282" t="s">
        <v>350</v>
      </c>
      <c r="C9" t="s">
        <v>347</v>
      </c>
      <c r="D9" s="282">
        <v>357563.66026999999</v>
      </c>
    </row>
    <row r="10" spans="1:7">
      <c r="A10" t="s">
        <v>370</v>
      </c>
      <c r="B10" s="282" t="s">
        <v>350</v>
      </c>
      <c r="C10" t="s">
        <v>43</v>
      </c>
      <c r="D10" s="282">
        <v>-188.39</v>
      </c>
    </row>
    <row r="11" spans="1:7">
      <c r="A11" t="s">
        <v>370</v>
      </c>
      <c r="B11" s="282" t="s">
        <v>350</v>
      </c>
      <c r="C11" t="s">
        <v>18</v>
      </c>
      <c r="D11" s="282">
        <v>-1328.6300035300001</v>
      </c>
    </row>
    <row r="12" spans="1:7">
      <c r="A12" t="s">
        <v>370</v>
      </c>
      <c r="B12" s="282" t="s">
        <v>350</v>
      </c>
      <c r="C12" t="s">
        <v>412</v>
      </c>
      <c r="D12" s="282">
        <v>-362.39819088000002</v>
      </c>
    </row>
    <row r="13" spans="1:7">
      <c r="A13" t="s">
        <v>370</v>
      </c>
      <c r="B13" s="282" t="s">
        <v>350</v>
      </c>
      <c r="C13" t="s">
        <v>348</v>
      </c>
      <c r="D13" s="282">
        <v>17.952964900000001</v>
      </c>
    </row>
    <row r="14" spans="1:7">
      <c r="A14" t="s">
        <v>370</v>
      </c>
      <c r="B14" s="282" t="s">
        <v>350</v>
      </c>
      <c r="C14" t="s">
        <v>325</v>
      </c>
      <c r="D14" s="282">
        <v>61771085.473509103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D655" sqref="D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61771085.473509103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-433747.14793499559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-9.0576039841863132E-3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3.6801263254805594E-2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-3.9937024848610204E-2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19" t="s">
        <v>10</v>
      </c>
      <c r="D2" s="320"/>
      <c r="E2" s="319" t="s">
        <v>11</v>
      </c>
      <c r="F2" s="320"/>
      <c r="G2" s="319" t="s">
        <v>12</v>
      </c>
      <c r="H2" s="321"/>
      <c r="I2" s="321"/>
      <c r="J2" s="321"/>
      <c r="K2" s="320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15" t="s">
        <v>129</v>
      </c>
      <c r="O3" s="315"/>
      <c r="P3" s="315"/>
      <c r="Q3" s="315"/>
      <c r="R3" s="315"/>
      <c r="S3" s="315"/>
      <c r="T3" s="315"/>
      <c r="U3" s="315"/>
      <c r="V3" s="315"/>
      <c r="W3" s="315"/>
      <c r="X3" s="315"/>
      <c r="Z3" s="2"/>
      <c r="AA3" s="2"/>
    </row>
    <row r="4" spans="1:27" ht="16.5" customHeight="1">
      <c r="B4" s="318" t="s">
        <v>23</v>
      </c>
      <c r="C4" s="318"/>
      <c r="D4" s="318"/>
      <c r="E4" s="318"/>
      <c r="F4" s="318"/>
      <c r="G4" s="318"/>
      <c r="H4" s="318"/>
      <c r="I4" s="318"/>
      <c r="J4" s="318"/>
      <c r="K4" s="318"/>
      <c r="L4" s="318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16" t="s">
        <v>130</v>
      </c>
      <c r="O52" s="316"/>
      <c r="P52" s="316"/>
      <c r="Q52" s="316"/>
      <c r="R52" s="317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15" t="s">
        <v>244</v>
      </c>
      <c r="O53" s="315"/>
      <c r="P53" s="315"/>
      <c r="Q53" s="315"/>
      <c r="R53" s="315"/>
      <c r="S53" s="315"/>
      <c r="T53" s="315"/>
      <c r="U53" s="315"/>
      <c r="V53" s="315"/>
      <c r="W53" s="315"/>
      <c r="X53" s="315"/>
    </row>
    <row r="54" spans="2:24" ht="15" customHeight="1">
      <c r="B54" s="311" t="s">
        <v>27</v>
      </c>
      <c r="C54" s="311"/>
      <c r="D54" s="311"/>
      <c r="E54" s="311"/>
      <c r="F54" s="312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18" t="s">
        <v>129</v>
      </c>
      <c r="C55" s="318"/>
      <c r="D55" s="318"/>
      <c r="E55" s="318"/>
      <c r="F55" s="318"/>
      <c r="G55" s="318"/>
      <c r="H55" s="318"/>
      <c r="I55" s="318"/>
      <c r="J55" s="318"/>
      <c r="K55" s="318"/>
      <c r="L55" s="318"/>
      <c r="N55" s="316" t="s">
        <v>246</v>
      </c>
      <c r="O55" s="316"/>
      <c r="P55" s="316"/>
      <c r="Q55" s="316"/>
      <c r="R55" s="317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15" t="s">
        <v>247</v>
      </c>
      <c r="O56" s="315"/>
      <c r="P56" s="315"/>
      <c r="Q56" s="315"/>
      <c r="R56" s="315"/>
      <c r="S56" s="315"/>
      <c r="T56" s="315"/>
      <c r="U56" s="315"/>
      <c r="V56" s="315"/>
      <c r="W56" s="315"/>
      <c r="X56" s="315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16" t="s">
        <v>266</v>
      </c>
      <c r="O75" s="316"/>
      <c r="P75" s="316"/>
      <c r="Q75" s="316"/>
      <c r="R75" s="317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11" t="s">
        <v>130</v>
      </c>
      <c r="C104" s="311"/>
      <c r="D104" s="311"/>
      <c r="E104" s="311"/>
      <c r="F104" s="312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18" t="s">
        <v>244</v>
      </c>
      <c r="C105" s="318"/>
      <c r="D105" s="318"/>
      <c r="E105" s="318"/>
      <c r="F105" s="318"/>
      <c r="G105" s="318"/>
      <c r="H105" s="318"/>
      <c r="I105" s="318"/>
      <c r="J105" s="318"/>
      <c r="K105" s="318"/>
      <c r="L105" s="318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11" t="s">
        <v>246</v>
      </c>
      <c r="C107" s="311"/>
      <c r="D107" s="311"/>
      <c r="E107" s="311"/>
      <c r="F107" s="312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18" t="s">
        <v>247</v>
      </c>
      <c r="C108" s="318"/>
      <c r="D108" s="318"/>
      <c r="E108" s="318"/>
      <c r="F108" s="318"/>
      <c r="G108" s="318"/>
      <c r="H108" s="318"/>
      <c r="I108" s="318"/>
      <c r="J108" s="318"/>
      <c r="K108" s="318"/>
      <c r="L108" s="318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11" t="s">
        <v>266</v>
      </c>
      <c r="C127" s="311"/>
      <c r="D127" s="311"/>
      <c r="E127" s="311"/>
      <c r="F127" s="312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18" t="s">
        <v>28</v>
      </c>
      <c r="C128" s="318"/>
      <c r="D128" s="318"/>
      <c r="E128" s="318"/>
      <c r="F128" s="318"/>
      <c r="G128" s="318"/>
      <c r="H128" s="318"/>
      <c r="I128" s="318"/>
      <c r="J128" s="318"/>
      <c r="K128" s="318"/>
      <c r="L128" s="318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11" t="s">
        <v>39</v>
      </c>
      <c r="C139" s="311"/>
      <c r="D139" s="311"/>
      <c r="E139" s="311"/>
      <c r="F139" s="312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11" t="s">
        <v>40</v>
      </c>
      <c r="C140" s="311"/>
      <c r="D140" s="311"/>
      <c r="E140" s="311"/>
      <c r="F140" s="312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13" t="s">
        <v>41</v>
      </c>
      <c r="C141" s="313"/>
      <c r="D141" s="313"/>
      <c r="E141" s="313"/>
      <c r="F141" s="313"/>
      <c r="G141" s="313"/>
      <c r="H141" s="313"/>
      <c r="I141" s="313"/>
      <c r="J141" s="314"/>
      <c r="K141" s="191">
        <v>-854078.19</v>
      </c>
      <c r="L141" s="192"/>
      <c r="T141" s="3"/>
    </row>
    <row r="142" spans="2:20">
      <c r="B142" s="313" t="s">
        <v>43</v>
      </c>
      <c r="C142" s="313"/>
      <c r="D142" s="313"/>
      <c r="E142" s="313"/>
      <c r="F142" s="313"/>
      <c r="G142" s="313"/>
      <c r="H142" s="313"/>
      <c r="I142" s="313"/>
      <c r="J142" s="314"/>
      <c r="K142" s="189">
        <v>-167.75</v>
      </c>
      <c r="L142" s="192"/>
    </row>
    <row r="143" spans="2:20">
      <c r="B143" s="311" t="s">
        <v>133</v>
      </c>
      <c r="C143" s="311"/>
      <c r="D143" s="311"/>
      <c r="E143" s="311"/>
      <c r="F143" s="311"/>
      <c r="G143" s="311"/>
      <c r="H143" s="311"/>
      <c r="I143" s="311"/>
      <c r="J143" s="312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04:F104"/>
    <mergeCell ref="B105:L105"/>
    <mergeCell ref="C2:D2"/>
    <mergeCell ref="E2:F2"/>
    <mergeCell ref="G2:K2"/>
    <mergeCell ref="B4:L4"/>
    <mergeCell ref="B54:F54"/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23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73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>
        <f>'Historical NAV'!A1168</f>
        <v>45657</v>
      </c>
      <c r="B1168" s="173">
        <f>'Historical NAV'!B1168</f>
        <v>71204832.621444106</v>
      </c>
      <c r="C1168" s="173">
        <f>'Historical NAV'!C1168</f>
        <v>0</v>
      </c>
      <c r="D1168" s="173" t="e">
        <f>'Historical NAV'!#REF!</f>
        <v>#REF!</v>
      </c>
      <c r="E1168" s="173" t="e">
        <f>'Historical NAV'!#REF!</f>
        <v>#REF!</v>
      </c>
      <c r="F1168" s="67">
        <f t="shared" ref="F1168" si="616">B1168</f>
        <v>71204832.621444106</v>
      </c>
      <c r="G1168" s="67">
        <f t="shared" ref="G1168" si="617">IF(MONTH(A1168)=MONTH(A1167),G1167,F1167)</f>
        <v>75288855.555961996</v>
      </c>
      <c r="H1168" s="176">
        <f>B1168-C1168-F1167-'Daily P&amp;L breakdown'!H176</f>
        <v>-2374756.2047744496</v>
      </c>
      <c r="I1168" s="70">
        <f t="shared" ref="I1168" si="618">H1168/B1167</f>
        <v>-3.2857226527486315E-2</v>
      </c>
      <c r="J1168" s="67">
        <f t="shared" ref="J1168" si="619">IF(MONTH(A1168)=MONTH(A1167),J1167+H1168,H1168)</f>
        <v>-5846302.8472589403</v>
      </c>
      <c r="K1168" s="70">
        <f t="shared" ref="K1168" si="620">(1+K1167)*(1+I1168)-1</f>
        <v>7.8370812338743434E-2</v>
      </c>
      <c r="L1168" s="70">
        <f t="shared" ref="L1168" si="621">1+I1168</f>
        <v>0.96714277347251365</v>
      </c>
      <c r="M1168" s="70">
        <f>PRODUCT($L$2:L1168)-1</f>
        <v>0.39242645649455032</v>
      </c>
      <c r="N1168" s="70">
        <f>PRODUCT($L$909:L1168)-1</f>
        <v>0.10031463982594691</v>
      </c>
      <c r="O1168" s="70">
        <f>AVERAGE($I$909:I1168)*252</f>
        <v>0.21655527302070707</v>
      </c>
      <c r="P1168" s="70">
        <f>STDEV($I$909:I1168)*252^0.5</f>
        <v>0.49691530684829849</v>
      </c>
      <c r="Q1168" s="67">
        <f t="shared" ref="Q1168" si="622">B1168-C1168-F1137</f>
        <v>-901124.66062599421</v>
      </c>
      <c r="R1168" s="70">
        <f t="shared" ref="R1168" si="623">Q1168/B1137</f>
        <v>-1.249722900288113E-2</v>
      </c>
      <c r="S1168" s="67">
        <f t="shared" ref="S1168" si="624">B1168-C1168-F1077</f>
        <v>8821999.1092319041</v>
      </c>
      <c r="T1168" s="70">
        <f t="shared" ref="T1168" si="625">S1168/B1077</f>
        <v>0.14141709525754212</v>
      </c>
      <c r="U1168" s="67">
        <f t="shared" ref="U1168" si="626">B1168-C1168-F802</f>
        <v>33452277.181444108</v>
      </c>
      <c r="V1168" s="70">
        <f t="shared" ref="V1168" si="627">U1168/B802</f>
        <v>0.8860930549353061</v>
      </c>
      <c r="W1168" s="87">
        <f t="shared" ref="W1168" si="628">O1168/P1168</f>
        <v>0.43579915940649111</v>
      </c>
      <c r="X1168" s="142">
        <f t="shared" si="192"/>
        <v>1.7857142857142857E-4</v>
      </c>
      <c r="Y1168" s="139">
        <f t="shared" ref="Y1168" si="629">I1168-X1168</f>
        <v>-3.3035797956057746E-2</v>
      </c>
      <c r="Z1168" s="139">
        <f t="shared" ref="Z1168" si="630">IF(Y1168&lt;0,Y1168,0)</f>
        <v>-3.3035797956057746E-2</v>
      </c>
      <c r="AA1168" s="139">
        <f t="shared" ref="AA1168" si="631">Z1168^2</f>
        <v>1.0913639465934691E-3</v>
      </c>
      <c r="AB1168" s="144">
        <f t="shared" ref="AB1168" si="632">AVERAGE(Y915:Y1168)/AVERAGE(AA915:AA1168)</f>
        <v>2.2647682355058909</v>
      </c>
      <c r="AC1168" s="144">
        <f t="shared" ref="AC1168" si="633">AVERAGE(I1137:I1168)-_xlfn.NORM.S.INV(0.95)*_xlfn.STDEV.S(I1137:I1168)</f>
        <v>-3.5274392243932022E-2</v>
      </c>
      <c r="AD1168" s="144">
        <f t="shared" ref="AD1168" si="634">AVERAGE(I1077:I1168)-_xlfn.NORM.S.INV(0.95)*_xlfn.STDEV.S(I1077:I1168)</f>
        <v>-4.3251501410551819E-2</v>
      </c>
      <c r="AE1168" s="144">
        <f t="shared" ref="AE1168" si="635">AVERAGE(I802:I1168)-_xlfn.NORM.S.INV(0.95)*_xlfn.STDEV.S(I802:I1168)</f>
        <v>-4.7976175125806507E-2</v>
      </c>
    </row>
    <row r="1169" spans="1:31">
      <c r="A1169" s="172">
        <f>'Historical NAV'!A1169</f>
        <v>45659</v>
      </c>
      <c r="B1169" s="173">
        <f>'Historical NAV'!B1169</f>
        <v>63255466.560107999</v>
      </c>
      <c r="C1169" s="173">
        <f>'Historical NAV'!C1169</f>
        <v>-9000000</v>
      </c>
      <c r="D1169" s="173" t="e">
        <f>'Historical NAV'!#REF!</f>
        <v>#REF!</v>
      </c>
      <c r="E1169" s="173" t="e">
        <f>'Historical NAV'!#REF!</f>
        <v>#REF!</v>
      </c>
      <c r="F1169" s="67">
        <f t="shared" ref="F1169" si="636">B1169</f>
        <v>63255466.560107999</v>
      </c>
      <c r="G1169" s="67">
        <f t="shared" ref="G1169" si="637">IF(MONTH(A1169)=MONTH(A1168),G1168,F1168)</f>
        <v>71204832.621444106</v>
      </c>
      <c r="H1169" s="176">
        <f>B1169-C1169-F1168-'Daily P&amp;L breakdown'!H177</f>
        <v>1047220.6986638999</v>
      </c>
      <c r="I1169" s="70">
        <f t="shared" ref="I1169" si="638">H1169/B1168</f>
        <v>1.4707157648012194E-2</v>
      </c>
      <c r="J1169" s="67">
        <f t="shared" ref="J1169" si="639">IF(MONTH(A1169)=MONTH(A1168),J1168+H1169,H1169)</f>
        <v>1047220.6986638999</v>
      </c>
      <c r="K1169" s="70">
        <f t="shared" ref="K1169" si="640">(1+K1168)*(1+I1169)-1</f>
        <v>9.4230581878824271E-2</v>
      </c>
      <c r="L1169" s="70">
        <f t="shared" ref="L1169" si="641">1+I1169</f>
        <v>1.0147071576480122</v>
      </c>
      <c r="M1169" s="70">
        <f>PRODUCT($L$2:L1169)-1</f>
        <v>0.41290509190347868</v>
      </c>
      <c r="N1169" s="70">
        <f>PRODUCT($L$909:L1169)-1</f>
        <v>0.11649714069628292</v>
      </c>
      <c r="O1169" s="70">
        <f>AVERAGE($I$909:I1169)*252</f>
        <v>0.22992557361181196</v>
      </c>
      <c r="P1169" s="70">
        <f>STDEV($I$909:I1169)*252^0.5</f>
        <v>0.4961454028060362</v>
      </c>
      <c r="Q1169" s="67">
        <f t="shared" ref="Q1169" si="642">B1169-C1169-F1138</f>
        <v>-1750466.701797694</v>
      </c>
      <c r="R1169" s="70">
        <f t="shared" ref="R1169" si="643">Q1169/B1138</f>
        <v>-2.3653058946001303E-2</v>
      </c>
      <c r="S1169" s="67">
        <f t="shared" ref="S1169" si="644">B1169-C1169-F1078</f>
        <v>9065080.6685163081</v>
      </c>
      <c r="T1169" s="70">
        <f t="shared" ref="T1169" si="645">S1169/B1078</f>
        <v>0.14345664361139049</v>
      </c>
      <c r="U1169" s="67">
        <f t="shared" ref="U1169" si="646">B1169-C1169-F803</f>
        <v>34452985.700108007</v>
      </c>
      <c r="V1169" s="70">
        <f t="shared" ref="V1169" si="647">U1169/B803</f>
        <v>0.91139483219906348</v>
      </c>
      <c r="W1169" s="87">
        <f t="shared" ref="W1169" si="648">O1169/P1169</f>
        <v>0.4634237711594788</v>
      </c>
      <c r="X1169" s="142">
        <f t="shared" si="192"/>
        <v>1.7857142857142857E-4</v>
      </c>
      <c r="Y1169" s="139">
        <f t="shared" ref="Y1169" si="649">I1169-X1169</f>
        <v>1.4528586219440765E-2</v>
      </c>
      <c r="Z1169" s="139">
        <f t="shared" ref="Z1169" si="650">IF(Y1169&lt;0,Y1169,0)</f>
        <v>0</v>
      </c>
      <c r="AA1169" s="139">
        <f t="shared" ref="AA1169" si="651">Z1169^2</f>
        <v>0</v>
      </c>
      <c r="AB1169" s="144">
        <f t="shared" ref="AB1169" si="652">AVERAGE(Y916:Y1169)/AVERAGE(AA916:AA1169)</f>
        <v>2.4762227234322554</v>
      </c>
      <c r="AC1169" s="144">
        <f t="shared" ref="AC1169" si="653">AVERAGE(I1138:I1169)-_xlfn.NORM.S.INV(0.95)*_xlfn.STDEV.S(I1138:I1169)</f>
        <v>-3.5286682971807481E-2</v>
      </c>
      <c r="AD1169" s="144">
        <f t="shared" ref="AD1169" si="654">AVERAGE(I1078:I1169)-_xlfn.NORM.S.INV(0.95)*_xlfn.STDEV.S(I1078:I1169)</f>
        <v>-4.2815813585864775E-2</v>
      </c>
      <c r="AE1169" s="144">
        <f t="shared" ref="AE1169" si="655">AVERAGE(I803:I1169)-_xlfn.NORM.S.INV(0.95)*_xlfn.STDEV.S(I803:I1169)</f>
        <v>-4.7887303800085719E-2</v>
      </c>
    </row>
    <row r="1170" spans="1:31">
      <c r="A1170" s="172">
        <f>'Historical NAV'!A1170</f>
        <v>45660</v>
      </c>
      <c r="B1170" s="173">
        <f>'Historical NAV'!B1170</f>
        <v>66348162.478378601</v>
      </c>
      <c r="C1170" s="173">
        <f>'Historical NAV'!C1170</f>
        <v>0</v>
      </c>
      <c r="D1170" s="173" t="e">
        <f>'Historical NAV'!#REF!</f>
        <v>#REF!</v>
      </c>
      <c r="E1170" s="173" t="e">
        <f>'Historical NAV'!#REF!</f>
        <v>#REF!</v>
      </c>
      <c r="F1170" s="67">
        <f t="shared" ref="F1170" si="656">B1170</f>
        <v>66348162.478378601</v>
      </c>
      <c r="G1170" s="67">
        <f t="shared" ref="G1170" si="657">IF(MONTH(A1170)=MONTH(A1169),G1169,F1169)</f>
        <v>71204832.621444106</v>
      </c>
      <c r="H1170" s="176">
        <f>B1170-C1170-F1169-'Daily P&amp;L breakdown'!H178</f>
        <v>2984133.5282706027</v>
      </c>
      <c r="I1170" s="70">
        <f t="shared" ref="I1170" si="658">H1170/B1169</f>
        <v>4.7175899421039821E-2</v>
      </c>
      <c r="J1170" s="67">
        <f t="shared" ref="J1170" si="659">IF(MONTH(A1170)=MONTH(A1169),J1169+H1170,H1170)</f>
        <v>4031354.2269345028</v>
      </c>
      <c r="K1170" s="70">
        <f t="shared" ref="K1170" si="660">(1+K1169)*(1+I1170)-1</f>
        <v>0.14585189375296559</v>
      </c>
      <c r="L1170" s="70">
        <f t="shared" ref="L1170" si="661">1+I1170</f>
        <v>1.0471758994210398</v>
      </c>
      <c r="M1170" s="70">
        <f>PRODUCT($L$2:L1170)-1</f>
        <v>0.47956016041059213</v>
      </c>
      <c r="N1170" s="70">
        <f>PRODUCT($L$909:L1170)-1</f>
        <v>0.16916889750964925</v>
      </c>
      <c r="O1170" s="70">
        <f>AVERAGE($I$909:I1170)*252</f>
        <v>0.27442328765948459</v>
      </c>
      <c r="P1170" s="70">
        <f>STDEV($I$909:I1170)*252^0.5</f>
        <v>0.49726827547677166</v>
      </c>
      <c r="Q1170" s="67">
        <f t="shared" ref="Q1170" si="662">B1170-C1170-F1139</f>
        <v>-7617739.5788531974</v>
      </c>
      <c r="R1170" s="70">
        <f t="shared" ref="R1170" si="663">Q1170/B1139</f>
        <v>-0.1029898827294623</v>
      </c>
      <c r="S1170" s="67">
        <f t="shared" ref="S1170" si="664">B1170-C1170-F1079</f>
        <v>4959626.5224270001</v>
      </c>
      <c r="T1170" s="70">
        <f t="shared" ref="T1170" si="665">S1170/B1079</f>
        <v>8.0790760769823597E-2</v>
      </c>
      <c r="U1170" s="67">
        <f t="shared" ref="U1170" si="666">B1170-C1170-F804</f>
        <v>28354450.078378603</v>
      </c>
      <c r="V1170" s="70">
        <f t="shared" ref="V1170" si="667">U1170/B804</f>
        <v>0.74629322293808287</v>
      </c>
      <c r="W1170" s="87">
        <f t="shared" ref="W1170" si="668">O1170/P1170</f>
        <v>0.55186164328776577</v>
      </c>
      <c r="X1170" s="142">
        <f t="shared" si="192"/>
        <v>1.7857142857142857E-4</v>
      </c>
      <c r="Y1170" s="139">
        <f t="shared" ref="Y1170" si="669">I1170-X1170</f>
        <v>4.6997327992468391E-2</v>
      </c>
      <c r="Z1170" s="139">
        <f t="shared" ref="Z1170" si="670">IF(Y1170&lt;0,Y1170,0)</f>
        <v>0</v>
      </c>
      <c r="AA1170" s="139">
        <f t="shared" ref="AA1170" si="671">Z1170^2</f>
        <v>0</v>
      </c>
      <c r="AB1170" s="144">
        <f t="shared" ref="AB1170" si="672">AVERAGE(Y917:Y1170)/AVERAGE(AA917:AA1170)</f>
        <v>2.8109138052447658</v>
      </c>
      <c r="AC1170" s="144">
        <f t="shared" ref="AC1170" si="673">AVERAGE(I1139:I1170)-_xlfn.NORM.S.INV(0.95)*_xlfn.STDEV.S(I1139:I1170)</f>
        <v>-3.6595475459088658E-2</v>
      </c>
      <c r="AD1170" s="144">
        <f t="shared" ref="AD1170" si="674">AVERAGE(I1079:I1170)-_xlfn.NORM.S.INV(0.95)*_xlfn.STDEV.S(I1079:I1170)</f>
        <v>-4.3099541195662887E-2</v>
      </c>
      <c r="AE1170" s="144">
        <f t="shared" ref="AE1170" si="675">AVERAGE(I804:I1170)-_xlfn.NORM.S.INV(0.95)*_xlfn.STDEV.S(I804:I1170)</f>
        <v>-4.791643547386832E-2</v>
      </c>
    </row>
    <row r="1171" spans="1:31">
      <c r="A1171" s="172">
        <f>'Historical NAV'!A1171</f>
        <v>45663</v>
      </c>
      <c r="B1171" s="173">
        <f>'Historical NAV'!B1171</f>
        <v>68445979.203684106</v>
      </c>
      <c r="C1171" s="173">
        <f>'Historical NAV'!C1171</f>
        <v>0</v>
      </c>
      <c r="D1171" s="173" t="e">
        <f>'Historical NAV'!#REF!</f>
        <v>#REF!</v>
      </c>
      <c r="E1171" s="173" t="e">
        <f>'Historical NAV'!#REF!</f>
        <v>#REF!</v>
      </c>
      <c r="F1171" s="67">
        <f t="shared" ref="F1171" si="676">B1171</f>
        <v>68445979.203684106</v>
      </c>
      <c r="G1171" s="67">
        <f t="shared" ref="G1171" si="677">IF(MONTH(A1171)=MONTH(A1170),G1170,F1170)</f>
        <v>71204832.621444106</v>
      </c>
      <c r="H1171" s="176">
        <f>B1171-C1171-F1170-'Daily P&amp;L breakdown'!H179</f>
        <v>2194542.165305505</v>
      </c>
      <c r="I1171" s="70">
        <f t="shared" ref="I1171" si="678">H1171/B1170</f>
        <v>3.3076155892345291E-2</v>
      </c>
      <c r="J1171" s="67">
        <f t="shared" ref="J1171" si="679">IF(MONTH(A1171)=MONTH(A1170),J1170+H1171,H1171)</f>
        <v>6225896.3922400083</v>
      </c>
      <c r="K1171" s="70">
        <f t="shared" ref="K1171" si="680">(1+K1170)*(1+I1171)-1</f>
        <v>0.1837522696202778</v>
      </c>
      <c r="L1171" s="70">
        <f t="shared" ref="L1171" si="681">1+I1171</f>
        <v>1.0330761558923454</v>
      </c>
      <c r="M1171" s="70">
        <f>PRODUCT($L$2:L1171)-1</f>
        <v>0.52849832292843635</v>
      </c>
      <c r="N1171" s="70">
        <f>PRODUCT($L$909:L1171)-1</f>
        <v>0.20784051022815997</v>
      </c>
      <c r="O1171" s="70">
        <f>AVERAGE($I$909:I1171)*252</f>
        <v>0.30507259563367295</v>
      </c>
      <c r="P1171" s="70">
        <f>STDEV($I$909:I1171)*252^0.5</f>
        <v>0.49730505932978669</v>
      </c>
      <c r="Q1171" s="67">
        <f t="shared" ref="Q1171" si="682">B1171-C1171-F1140</f>
        <v>-6910836.8264842927</v>
      </c>
      <c r="R1171" s="70">
        <f t="shared" ref="R1171" si="683">Q1171/B1140</f>
        <v>-9.170818501298679E-2</v>
      </c>
      <c r="S1171" s="67">
        <f t="shared" ref="S1171" si="684">B1171-C1171-F1080</f>
        <v>8182113.0878064036</v>
      </c>
      <c r="T1171" s="70">
        <f t="shared" ref="T1171" si="685">S1171/B1080</f>
        <v>0.13577146000015197</v>
      </c>
      <c r="U1171" s="67">
        <f t="shared" ref="U1171" si="686">B1171-C1171-F805</f>
        <v>30675369.54368411</v>
      </c>
      <c r="V1171" s="70">
        <f t="shared" ref="V1171" si="687">U1171/B805</f>
        <v>0.81214917682861976</v>
      </c>
      <c r="W1171" s="87">
        <f t="shared" ref="W1171" si="688">O1171/P1171</f>
        <v>0.61345162272190912</v>
      </c>
      <c r="X1171" s="142">
        <f t="shared" si="192"/>
        <v>1.7857142857142857E-4</v>
      </c>
      <c r="Y1171" s="139">
        <f t="shared" ref="Y1171" si="689">I1171-X1171</f>
        <v>3.289758446377386E-2</v>
      </c>
      <c r="Z1171" s="139">
        <f t="shared" ref="Z1171" si="690">IF(Y1171&lt;0,Y1171,0)</f>
        <v>0</v>
      </c>
      <c r="AA1171" s="139">
        <f t="shared" ref="AA1171" si="691">Z1171^2</f>
        <v>0</v>
      </c>
      <c r="AB1171" s="144">
        <f t="shared" ref="AB1171" si="692">AVERAGE(Y918:Y1171)/AVERAGE(AA918:AA1171)</f>
        <v>3.1426886188258916</v>
      </c>
      <c r="AC1171" s="144">
        <f t="shared" ref="AC1171" si="693">AVERAGE(I1140:I1171)-_xlfn.NORM.S.INV(0.95)*_xlfn.STDEV.S(I1140:I1171)</f>
        <v>-3.6820617686536827E-2</v>
      </c>
      <c r="AD1171" s="144">
        <f t="shared" ref="AD1171" si="694">AVERAGE(I1080:I1171)-_xlfn.NORM.S.INV(0.95)*_xlfn.STDEV.S(I1080:I1171)</f>
        <v>-4.2442355476737872E-2</v>
      </c>
      <c r="AE1171" s="144">
        <f t="shared" ref="AE1171" si="695">AVERAGE(I805:I1171)-_xlfn.NORM.S.INV(0.95)*_xlfn.STDEV.S(I805:I1171)</f>
        <v>-4.791201617788983E-2</v>
      </c>
    </row>
    <row r="1172" spans="1:31">
      <c r="A1172" s="172">
        <f>'Historical NAV'!A1172</f>
        <v>45664</v>
      </c>
      <c r="B1172" s="173">
        <f>'Historical NAV'!B1172</f>
        <v>64784770.194913499</v>
      </c>
      <c r="C1172" s="173">
        <f>'Historical NAV'!C1172</f>
        <v>0</v>
      </c>
      <c r="D1172" s="173" t="e">
        <f>'Historical NAV'!#REF!</f>
        <v>#REF!</v>
      </c>
      <c r="E1172" s="173" t="e">
        <f>'Historical NAV'!#REF!</f>
        <v>#REF!</v>
      </c>
      <c r="F1172" s="67">
        <f t="shared" ref="F1172" si="696">B1172</f>
        <v>64784770.194913499</v>
      </c>
      <c r="G1172" s="67">
        <f t="shared" ref="G1172" si="697">IF(MONTH(A1172)=MONTH(A1171),G1171,F1171)</f>
        <v>71204832.621444106</v>
      </c>
      <c r="H1172" s="176">
        <f>B1172-C1172-F1171-'Daily P&amp;L breakdown'!H180</f>
        <v>-3736400.5787706072</v>
      </c>
      <c r="I1172" s="70">
        <f t="shared" ref="I1172" si="698">H1172/B1171</f>
        <v>-5.4589044122689612E-2</v>
      </c>
      <c r="J1172" s="67">
        <f t="shared" ref="J1172" si="699">IF(MONTH(A1172)=MONTH(A1171),J1171+H1172,H1172)</f>
        <v>2489495.8134694011</v>
      </c>
      <c r="K1172" s="70">
        <f t="shared" ref="K1172" si="700">(1+K1171)*(1+I1172)-1</f>
        <v>0.11913236474364242</v>
      </c>
      <c r="L1172" s="70">
        <f t="shared" ref="L1172" si="701">1+I1172</f>
        <v>0.94541095587731039</v>
      </c>
      <c r="M1172" s="70">
        <f>PRODUCT($L$2:L1172)-1</f>
        <v>0.44505906053663891</v>
      </c>
      <c r="N1172" s="70">
        <f>PRODUCT($L$909:L1172)-1</f>
        <v>0.14190565132214306</v>
      </c>
      <c r="O1172" s="70">
        <f>AVERAGE($I$909:I1172)*252</f>
        <v>0.25180929368461435</v>
      </c>
      <c r="P1172" s="70">
        <f>STDEV($I$909:I1172)*252^0.5</f>
        <v>0.49934361374627606</v>
      </c>
      <c r="Q1172" s="67">
        <f t="shared" ref="Q1172" si="702">B1172-C1172-F1141</f>
        <v>-10346761.451548494</v>
      </c>
      <c r="R1172" s="70">
        <f t="shared" ref="R1172" si="703">Q1172/B1141</f>
        <v>-0.13771530041788696</v>
      </c>
      <c r="S1172" s="67">
        <f t="shared" ref="S1172" si="704">B1172-C1172-F1081</f>
        <v>2579762.032191202</v>
      </c>
      <c r="T1172" s="70">
        <f t="shared" ref="T1172" si="705">S1172/B1081</f>
        <v>4.1471934630131282E-2</v>
      </c>
      <c r="U1172" s="67">
        <f t="shared" ref="U1172" si="706">B1172-C1172-F806</f>
        <v>27644989.484913498</v>
      </c>
      <c r="V1172" s="70">
        <f t="shared" ref="V1172" si="707">U1172/B806</f>
        <v>0.74434983073203764</v>
      </c>
      <c r="W1172" s="87">
        <f t="shared" ref="W1172" si="708">O1172/P1172</f>
        <v>0.50428059306784767</v>
      </c>
      <c r="X1172" s="142">
        <f t="shared" si="192"/>
        <v>1.7857142857142857E-4</v>
      </c>
      <c r="Y1172" s="139">
        <f t="shared" ref="Y1172" si="709">I1172-X1172</f>
        <v>-5.4767615551261042E-2</v>
      </c>
      <c r="Z1172" s="139">
        <f t="shared" ref="Z1172" si="710">IF(Y1172&lt;0,Y1172,0)</f>
        <v>-5.4767615551261042E-2</v>
      </c>
      <c r="AA1172" s="139">
        <f t="shared" ref="AA1172" si="711">Z1172^2</f>
        <v>2.9994917131707303E-3</v>
      </c>
      <c r="AB1172" s="144">
        <f t="shared" ref="AB1172" si="712">AVERAGE(Y919:Y1172)/AVERAGE(AA919:AA1172)</f>
        <v>2.6792493827861774</v>
      </c>
      <c r="AC1172" s="144">
        <f t="shared" ref="AC1172" si="713">AVERAGE(I1141:I1172)-_xlfn.NORM.S.INV(0.95)*_xlfn.STDEV.S(I1141:I1172)</f>
        <v>-4.2017401515694407E-2</v>
      </c>
      <c r="AD1172" s="144">
        <f t="shared" ref="AD1172" si="714">AVERAGE(I1081:I1172)-_xlfn.NORM.S.INV(0.95)*_xlfn.STDEV.S(I1081:I1172)</f>
        <v>-4.3756650009922543E-2</v>
      </c>
      <c r="AE1172" s="144">
        <f t="shared" ref="AE1172" si="715">AVERAGE(I806:I1172)-_xlfn.NORM.S.INV(0.95)*_xlfn.STDEV.S(I806:I1172)</f>
        <v>-4.8275884064888239E-2</v>
      </c>
    </row>
    <row r="1173" spans="1:31">
      <c r="A1173" s="172">
        <f>'Historical NAV'!A1173</f>
        <v>45665</v>
      </c>
      <c r="B1173" s="173">
        <f>'Historical NAV'!B1173</f>
        <v>64378423.867367402</v>
      </c>
      <c r="C1173" s="173">
        <f>'Historical NAV'!C1173</f>
        <v>0</v>
      </c>
      <c r="D1173" s="173" t="e">
        <f>'Historical NAV'!#REF!</f>
        <v>#REF!</v>
      </c>
      <c r="E1173" s="173" t="e">
        <f>'Historical NAV'!#REF!</f>
        <v>#REF!</v>
      </c>
      <c r="F1173" s="67">
        <f t="shared" ref="F1173" si="716">B1173</f>
        <v>64378423.867367402</v>
      </c>
      <c r="G1173" s="67">
        <f t="shared" ref="G1173" si="717">IF(MONTH(A1173)=MONTH(A1172),G1172,F1172)</f>
        <v>71204832.621444106</v>
      </c>
      <c r="H1173" s="176">
        <f>B1173-C1173-F1172-'Daily P&amp;L breakdown'!H181</f>
        <v>-438980.17754609731</v>
      </c>
      <c r="I1173" s="70">
        <f t="shared" ref="I1173" si="718">H1173/B1172</f>
        <v>-6.7759779995416785E-3</v>
      </c>
      <c r="J1173" s="67">
        <f t="shared" ref="J1173" si="719">IF(MONTH(A1173)=MONTH(A1172),J1172+H1173,H1173)</f>
        <v>2050515.6359233037</v>
      </c>
      <c r="K1173" s="70">
        <f t="shared" ref="K1173" si="720">(1+K1172)*(1+I1173)-1</f>
        <v>0.1115491484615645</v>
      </c>
      <c r="L1173" s="70">
        <f t="shared" ref="L1173" si="721">1+I1173</f>
        <v>0.99322402200045834</v>
      </c>
      <c r="M1173" s="70">
        <f>PRODUCT($L$2:L1173)-1</f>
        <v>0.43526737213440425</v>
      </c>
      <c r="N1173" s="70">
        <f>PRODUCT($L$909:L1173)-1</f>
        <v>0.13416812375123199</v>
      </c>
      <c r="O1173" s="70">
        <f>AVERAGE($I$909:I1173)*252</f>
        <v>0.24441549840322147</v>
      </c>
      <c r="P1173" s="70">
        <f>STDEV($I$909:I1173)*252^0.5</f>
        <v>0.49845465988978127</v>
      </c>
      <c r="Q1173" s="67">
        <f t="shared" ref="Q1173" si="722">B1173-C1173-F1142</f>
        <v>-9402758.5361699015</v>
      </c>
      <c r="R1173" s="70">
        <f t="shared" ref="R1173" si="723">Q1173/B1142</f>
        <v>-0.1274411473205003</v>
      </c>
      <c r="S1173" s="67">
        <f t="shared" ref="S1173" si="724">B1173-C1173-F1082</f>
        <v>2417034.1727496982</v>
      </c>
      <c r="T1173" s="70">
        <f t="shared" ref="T1173" si="725">S1173/B1082</f>
        <v>3.9008714695752775E-2</v>
      </c>
      <c r="U1173" s="67">
        <f t="shared" ref="U1173" si="726">B1173-C1173-F807</f>
        <v>27318552.547367401</v>
      </c>
      <c r="V1173" s="70">
        <f t="shared" ref="V1173" si="727">U1173/B807</f>
        <v>0.73714644909261928</v>
      </c>
      <c r="W1173" s="87">
        <f t="shared" ref="W1173" si="728">O1173/P1173</f>
        <v>0.49034650103836291</v>
      </c>
      <c r="X1173" s="142">
        <f t="shared" si="192"/>
        <v>1.7857142857142857E-4</v>
      </c>
      <c r="Y1173" s="139">
        <f t="shared" ref="Y1173" si="729">I1173-X1173</f>
        <v>-6.9545494281131074E-3</v>
      </c>
      <c r="Z1173" s="139">
        <f t="shared" ref="Z1173" si="730">IF(Y1173&lt;0,Y1173,0)</f>
        <v>-6.9545494281131074E-3</v>
      </c>
      <c r="AA1173" s="139">
        <f t="shared" ref="AA1173" si="731">Z1173^2</f>
        <v>4.8365757748068348E-5</v>
      </c>
      <c r="AB1173" s="144">
        <f t="shared" ref="AB1173" si="732">AVERAGE(Y920:Y1173)/AVERAGE(AA920:AA1173)</f>
        <v>2.6293408551529258</v>
      </c>
      <c r="AC1173" s="144">
        <f t="shared" ref="AC1173" si="733">AVERAGE(I1142:I1173)-_xlfn.NORM.S.INV(0.95)*_xlfn.STDEV.S(I1142:I1173)</f>
        <v>-4.2149742913038885E-2</v>
      </c>
      <c r="AD1173" s="144">
        <f t="shared" ref="AD1173" si="734">AVERAGE(I1082:I1173)-_xlfn.NORM.S.INV(0.95)*_xlfn.STDEV.S(I1082:I1173)</f>
        <v>-4.3917580521928332E-2</v>
      </c>
      <c r="AE1173" s="144">
        <f t="shared" ref="AE1173" si="735">AVERAGE(I807:I1173)-_xlfn.NORM.S.INV(0.95)*_xlfn.STDEV.S(I807:I1173)</f>
        <v>-4.8229076455636608E-2</v>
      </c>
    </row>
    <row r="1174" spans="1:31">
      <c r="A1174" s="172"/>
      <c r="F1174" s="67"/>
      <c r="G1174" s="67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A1175" s="172"/>
      <c r="F1175" s="67"/>
      <c r="G1175" s="67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F1176" s="67"/>
      <c r="G1176" s="67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6:31">
      <c r="F1218" s="67"/>
      <c r="G1218" s="67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6:31">
      <c r="F1219" s="67"/>
      <c r="G1219" s="67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6:31">
      <c r="F1220" s="67"/>
      <c r="G1220" s="67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6:31">
      <c r="F1221" s="67"/>
      <c r="G1221" s="67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  <row r="1222" spans="6:31">
      <c r="F1222" s="67"/>
      <c r="G1222" s="67"/>
      <c r="H1222" s="67"/>
      <c r="I1222" s="70"/>
      <c r="J1222" s="67"/>
      <c r="K1222" s="70"/>
      <c r="L1222" s="70"/>
      <c r="M1222" s="70"/>
      <c r="N1222" s="70"/>
      <c r="O1222" s="70"/>
      <c r="P1222" s="70"/>
      <c r="Q1222" s="67"/>
      <c r="R1222" s="70"/>
      <c r="S1222" s="67"/>
      <c r="T1222" s="70"/>
      <c r="U1222" s="67"/>
      <c r="V1222" s="70"/>
      <c r="W1222" s="87"/>
      <c r="X1222" s="142"/>
      <c r="Y1222" s="139"/>
      <c r="Z1222" s="139"/>
      <c r="AA1222" s="139"/>
      <c r="AB1222" s="144"/>
      <c r="AC1222" s="144"/>
      <c r="AD1222" s="144"/>
      <c r="AE1222" s="144"/>
    </row>
    <row r="1223" spans="6:31">
      <c r="F1223" s="67"/>
      <c r="G1223" s="67"/>
      <c r="H1223" s="67"/>
      <c r="I1223" s="70"/>
      <c r="J1223" s="67"/>
      <c r="K1223" s="70"/>
      <c r="L1223" s="70"/>
      <c r="M1223" s="70"/>
      <c r="N1223" s="70"/>
      <c r="O1223" s="70"/>
      <c r="P1223" s="70"/>
      <c r="Q1223" s="67"/>
      <c r="R1223" s="70"/>
      <c r="S1223" s="67"/>
      <c r="T1223" s="70"/>
      <c r="U1223" s="67"/>
      <c r="V1223" s="70"/>
      <c r="W1223" s="87"/>
      <c r="X1223" s="142"/>
      <c r="Y1223" s="139"/>
      <c r="Z1223" s="139"/>
      <c r="AA1223" s="139"/>
      <c r="AB1223" s="144"/>
      <c r="AC1223" s="144"/>
      <c r="AD1223" s="144"/>
      <c r="AE1223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24" t="s">
        <v>20</v>
      </c>
      <c r="D5" s="324"/>
      <c r="E5" s="325"/>
      <c r="F5" s="13" t="s">
        <v>46</v>
      </c>
      <c r="G5" s="13" t="s">
        <v>47</v>
      </c>
      <c r="H5" s="13" t="s">
        <v>48</v>
      </c>
      <c r="J5" s="41" t="s">
        <v>92</v>
      </c>
      <c r="K5" s="350" t="s">
        <v>93</v>
      </c>
      <c r="L5" s="350"/>
      <c r="M5" s="350"/>
      <c r="N5" s="350"/>
      <c r="O5" s="350"/>
    </row>
    <row r="6" spans="1:15">
      <c r="A6" s="351" t="s">
        <v>50</v>
      </c>
      <c r="B6" s="352"/>
      <c r="C6" s="341">
        <f ca="1">SUM(F6:H6)</f>
        <v>86672148.311444104</v>
      </c>
      <c r="D6" s="342"/>
      <c r="E6" s="343"/>
      <c r="F6" s="341">
        <f ca="1">OFFSET('Historical NAV'!E1, COUNT('Historical NAV'!A:A),,,)</f>
        <v>71204832.621444106</v>
      </c>
      <c r="G6" s="341">
        <v>15365477.27</v>
      </c>
      <c r="H6" s="341">
        <v>101838.42</v>
      </c>
      <c r="K6" s="350"/>
      <c r="L6" s="350"/>
      <c r="M6" s="350"/>
      <c r="N6" s="350"/>
      <c r="O6" s="350"/>
    </row>
    <row r="7" spans="1:15">
      <c r="A7" s="351"/>
      <c r="B7" s="352"/>
      <c r="C7" s="341"/>
      <c r="D7" s="342"/>
      <c r="E7" s="343"/>
      <c r="F7" s="341"/>
      <c r="G7" s="341"/>
      <c r="H7" s="341"/>
    </row>
    <row r="8" spans="1:15">
      <c r="A8" s="347" t="s">
        <v>52</v>
      </c>
      <c r="B8" s="328"/>
      <c r="C8" s="344">
        <f ca="1">SUM(F8:H8)</f>
        <v>1</v>
      </c>
      <c r="D8" s="345"/>
      <c r="E8" s="346"/>
      <c r="F8" s="344">
        <f ca="1">F6/$C$6</f>
        <v>0.82154226021466104</v>
      </c>
      <c r="G8" s="344">
        <f ca="1">G6/$C$6</f>
        <v>0.17728275541049623</v>
      </c>
      <c r="H8" s="344">
        <f ca="1">H6/$C$6</f>
        <v>1.1749843748427469E-3</v>
      </c>
    </row>
    <row r="9" spans="1:15">
      <c r="A9" s="347"/>
      <c r="B9" s="328"/>
      <c r="C9" s="344"/>
      <c r="D9" s="345"/>
      <c r="E9" s="346"/>
      <c r="F9" s="344"/>
      <c r="G9" s="344"/>
      <c r="H9" s="344"/>
    </row>
    <row r="10" spans="1:15">
      <c r="A10" s="330" t="s">
        <v>53</v>
      </c>
      <c r="B10" s="331"/>
      <c r="C10" s="353" t="e">
        <f ca="1">SUM(F10:H10)</f>
        <v>#REF!</v>
      </c>
      <c r="D10" s="354"/>
      <c r="E10" s="355"/>
      <c r="F10" s="353">
        <f ca="1">OFFSET('Historical NAV'!B1, COUNT('Historical NAV'!A:A),,,)</f>
        <v>61771085.473509103</v>
      </c>
      <c r="G10" s="353" t="e">
        <f>G6+G12</f>
        <v>#REF!</v>
      </c>
      <c r="H10" s="353" t="e">
        <f>H6+H12</f>
        <v>#REF!</v>
      </c>
    </row>
    <row r="11" spans="1:15">
      <c r="A11" s="330"/>
      <c r="B11" s="331"/>
      <c r="C11" s="353"/>
      <c r="D11" s="354"/>
      <c r="E11" s="355"/>
      <c r="F11" s="353"/>
      <c r="G11" s="353"/>
      <c r="H11" s="353"/>
    </row>
    <row r="12" spans="1:15">
      <c r="A12" s="347" t="s">
        <v>54</v>
      </c>
      <c r="B12" s="328"/>
      <c r="C12" s="329" t="e">
        <f ca="1">SUM(F12:H12)</f>
        <v>#REF!</v>
      </c>
      <c r="D12" s="348"/>
      <c r="E12" s="349"/>
      <c r="F12" s="329">
        <f ca="1">OFFSET('Historical NAV'!J1, COUNT('Historical NAV'!A:A),,,)</f>
        <v>-433747.14793499559</v>
      </c>
      <c r="G12" s="356" t="e">
        <f>G14*G6</f>
        <v>#REF!</v>
      </c>
      <c r="H12" s="329" t="e">
        <f>H14*H6</f>
        <v>#REF!</v>
      </c>
    </row>
    <row r="13" spans="1:15">
      <c r="A13" s="347"/>
      <c r="B13" s="328"/>
      <c r="C13" s="329"/>
      <c r="D13" s="348"/>
      <c r="E13" s="349"/>
      <c r="F13" s="329"/>
      <c r="G13" s="356"/>
      <c r="H13" s="329"/>
    </row>
    <row r="14" spans="1:15">
      <c r="A14" s="330" t="s">
        <v>94</v>
      </c>
      <c r="B14" s="331"/>
      <c r="C14" s="338" t="e">
        <f ca="1">C12/C6</f>
        <v>#REF!</v>
      </c>
      <c r="D14" s="339"/>
      <c r="E14" s="340"/>
      <c r="F14" s="334">
        <f ca="1">OFFSET('Historical NAV'!K1, COUNT('Historical NAV'!A:A),,,)</f>
        <v>-9.0576039841863132E-3</v>
      </c>
      <c r="G14" s="39" t="e">
        <f>IB_html!#REF!</f>
        <v>#REF!</v>
      </c>
      <c r="H14" s="14" t="e">
        <f>IB_html!#REF!</f>
        <v>#REF!</v>
      </c>
    </row>
    <row r="15" spans="1:15">
      <c r="A15" s="330"/>
      <c r="B15" s="331"/>
      <c r="C15" s="338"/>
      <c r="D15" s="339"/>
      <c r="E15" s="340"/>
      <c r="F15" s="334"/>
      <c r="G15" s="15" t="e">
        <f>IB_html!#REF!</f>
        <v>#REF!</v>
      </c>
      <c r="H15" s="15" t="e">
        <f>IB_html!#REF!</f>
        <v>#REF!</v>
      </c>
    </row>
    <row r="16" spans="1:15">
      <c r="A16" s="328" t="s">
        <v>95</v>
      </c>
      <c r="B16" s="328"/>
      <c r="C16" s="16"/>
      <c r="D16" s="16"/>
      <c r="E16" s="17"/>
      <c r="F16" s="329">
        <f ca="1">OFFSET('Historical NAV'!F1, COUNT('Historical NAV'!A:A),,,)</f>
        <v>-2569574.5376412943</v>
      </c>
      <c r="G16" s="329"/>
      <c r="H16" s="329"/>
      <c r="N16" s="8"/>
    </row>
    <row r="17" spans="1:11">
      <c r="A17" s="328"/>
      <c r="B17" s="328"/>
      <c r="C17" s="16"/>
      <c r="D17" s="16"/>
      <c r="E17" s="17"/>
      <c r="F17" s="329"/>
      <c r="G17" s="329"/>
      <c r="H17" s="329"/>
    </row>
    <row r="18" spans="1:11">
      <c r="A18" s="330" t="s">
        <v>57</v>
      </c>
      <c r="B18" s="331"/>
      <c r="C18" s="18"/>
      <c r="D18" s="18"/>
      <c r="E18" s="19"/>
      <c r="F18" s="334">
        <f ca="1">OFFSET('Historical NAV'!G1, COUNT('Historical NAV'!A:A),,,)</f>
        <v>-3.9937024848610204E-2</v>
      </c>
      <c r="G18" s="336"/>
      <c r="H18" s="336"/>
    </row>
    <row r="19" spans="1:11">
      <c r="A19" s="332"/>
      <c r="B19" s="333"/>
      <c r="C19" s="20"/>
      <c r="D19" s="20"/>
      <c r="E19" s="21"/>
      <c r="F19" s="335"/>
      <c r="G19" s="337"/>
      <c r="H19" s="337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24" t="s">
        <v>59</v>
      </c>
      <c r="B21" s="325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26" t="s">
        <v>57</v>
      </c>
      <c r="B22" s="327"/>
      <c r="C22" s="25">
        <f>_xll.BDP(C27,$A27)/100</f>
        <v>-1.5411649999999999E-2</v>
      </c>
      <c r="D22" s="25">
        <f>_xll.BDP(D27,$A27)/100</f>
        <v>-1.6286869999999998E-2</v>
      </c>
      <c r="E22" s="26">
        <f>_xll.BDP(E27,$A27)/100</f>
        <v>-1.634213E-2</v>
      </c>
      <c r="F22" s="27">
        <f>_xll.BDP(F27,$A27)/100</f>
        <v>1.4905999999999999E-2</v>
      </c>
      <c r="G22" s="27">
        <f>_xll.BDP(G27,$A27)/100</f>
        <v>2.0305379999999998E-2</v>
      </c>
      <c r="H22" s="25">
        <f>_xll.BDP(H27,$A27)/100</f>
        <v>3.1007751937977028E-4</v>
      </c>
    </row>
    <row r="23" spans="1:11">
      <c r="A23" s="322" t="s">
        <v>66</v>
      </c>
      <c r="B23" s="323"/>
      <c r="C23" s="28">
        <f>_xll.BDP(C27,$A28)/100</f>
        <v>-9.2814149999999995E-3</v>
      </c>
      <c r="D23" s="28">
        <f>_xll.BDP(D27,$A28)/100</f>
        <v>-7.7240859999999998E-3</v>
      </c>
      <c r="E23" s="29">
        <f>_xll.BDP(E27,$A28)/100</f>
        <v>-1.4238590000000001E-2</v>
      </c>
      <c r="F23" s="30">
        <f>_xll.BDP(F27,$A28)/100</f>
        <v>4.1627999999999998E-2</v>
      </c>
      <c r="G23" s="30">
        <f>_xll.BDP(G27,$A28)/100</f>
        <v>3.7765849999999997E-2</v>
      </c>
      <c r="H23" s="28">
        <f>_xll.BDP(H27,$A28)/100</f>
        <v>1.1033580060283744E-2</v>
      </c>
    </row>
    <row r="24" spans="1:11" s="1" customFormat="1">
      <c r="A24" s="38"/>
      <c r="B24" s="38"/>
      <c r="C24" s="38" t="str">
        <f>_xll.BDP("")</f>
        <v>#N/A Mandatory parameter [FIELD] not provided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  <mergeCell ref="C6:E7"/>
    <mergeCell ref="F6:F7"/>
    <mergeCell ref="G6:G7"/>
    <mergeCell ref="G8:G9"/>
    <mergeCell ref="C8:E9"/>
    <mergeCell ref="F8:F9"/>
    <mergeCell ref="G18:G19"/>
    <mergeCell ref="H18:H19"/>
    <mergeCell ref="A14:B15"/>
    <mergeCell ref="C14:E15"/>
    <mergeCell ref="F14:F15"/>
    <mergeCell ref="G16:G17"/>
    <mergeCell ref="H16:H17"/>
    <mergeCell ref="A23:B23"/>
    <mergeCell ref="A21:B21"/>
    <mergeCell ref="A22:B22"/>
    <mergeCell ref="A16:B17"/>
    <mergeCell ref="F16:F17"/>
    <mergeCell ref="A18:B19"/>
    <mergeCell ref="F18:F1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2025-01-13T01:35:59Z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