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844409C4-E5A1-4DA0-ACA1-AF1DB0836698}" xr6:coauthVersionLast="47" xr6:coauthVersionMax="47" xr10:uidLastSave="{00000000-0000-0000-0000-000000000000}"/>
  <bookViews>
    <workbookView xWindow="-120" yWindow="-120" windowWidth="29040" windowHeight="15720" tabRatio="719" activeTab="4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174" i="14" l="1"/>
  <c r="E1174" i="14"/>
  <c r="D1174" i="14"/>
  <c r="C1174" i="14"/>
  <c r="B1174" i="14"/>
  <c r="A1174" i="14"/>
  <c r="L184" i="13"/>
  <c r="A184" i="13"/>
  <c r="X1176" i="3"/>
  <c r="F1176" i="3"/>
  <c r="G1176" i="3" s="1"/>
  <c r="D1176" i="3"/>
  <c r="X1173" i="14"/>
  <c r="E1173" i="14"/>
  <c r="D1173" i="14"/>
  <c r="C1173" i="14"/>
  <c r="B1173" i="14"/>
  <c r="A1173" i="14"/>
  <c r="L183" i="13"/>
  <c r="A183" i="13"/>
  <c r="X1175" i="3"/>
  <c r="D1175" i="3"/>
  <c r="J19" i="16"/>
  <c r="E17" i="16"/>
  <c r="F17" i="16" s="1"/>
  <c r="G17" i="16" s="1"/>
  <c r="H17" i="16" s="1"/>
  <c r="T16" i="16"/>
  <c r="F16" i="16"/>
  <c r="G16" i="16" s="1"/>
  <c r="H16" i="16" s="1"/>
  <c r="T12" i="16"/>
  <c r="T10" i="16"/>
  <c r="G6" i="16" a="1"/>
  <c r="E7" i="16" a="1"/>
  <c r="J6" i="16"/>
  <c r="L8" i="16" a="1"/>
  <c r="H10" i="16" a="1"/>
  <c r="F8" i="16" a="1"/>
  <c r="I10" i="16"/>
  <c r="G8" i="16" a="1"/>
  <c r="F23" i="4"/>
  <c r="G23" i="4"/>
  <c r="H23" i="4"/>
  <c r="J8" i="16" a="1"/>
  <c r="F22" i="4"/>
  <c r="J10" i="16" a="1"/>
  <c r="K7" i="16"/>
  <c r="D6" i="16" a="1"/>
  <c r="G9" i="16" a="1"/>
  <c r="F9" i="16" a="1"/>
  <c r="D22" i="4"/>
  <c r="C23" i="4"/>
  <c r="D10" i="16" a="1"/>
  <c r="D23" i="4"/>
  <c r="G10" i="16" a="1"/>
  <c r="F10" i="16" a="1"/>
  <c r="E22" i="4"/>
  <c r="L6" i="16" a="1"/>
  <c r="D7" i="16" a="1"/>
  <c r="E9" i="16" a="1"/>
  <c r="K8" i="16"/>
  <c r="L7" i="16" a="1"/>
  <c r="G7" i="16" a="1"/>
  <c r="E23" i="4"/>
  <c r="I9" i="16" a="1"/>
  <c r="E6" i="16" a="1"/>
  <c r="H22" i="4"/>
  <c r="K9" i="16"/>
  <c r="D8" i="16" a="1"/>
  <c r="E8" i="16" a="1"/>
  <c r="C24" i="4"/>
  <c r="H7" i="16" a="1"/>
  <c r="K6" i="16"/>
  <c r="L9" i="16" a="1"/>
  <c r="J7" i="16" a="1"/>
  <c r="C22" i="4"/>
  <c r="I8" i="16" a="1"/>
  <c r="K10" i="16"/>
  <c r="H9" i="16" a="1"/>
  <c r="D9" i="16" a="1"/>
  <c r="L10" i="16" a="1"/>
  <c r="I7" i="16" a="1"/>
  <c r="H6" i="16" a="1"/>
  <c r="F6" i="16" a="1"/>
  <c r="E10" i="16" a="1"/>
  <c r="G22" i="4"/>
  <c r="J9" i="16" a="1"/>
  <c r="H8" i="16" a="1"/>
  <c r="F7" i="16" a="1"/>
  <c r="I6" i="16"/>
  <c r="F1174" i="14" l="1"/>
  <c r="L1176" i="3"/>
  <c r="Y1176" i="3"/>
  <c r="Z1176" i="3" s="1"/>
  <c r="AA1176" i="3" s="1"/>
  <c r="F7" i="16"/>
  <c r="H8" i="16"/>
  <c r="J9" i="16"/>
  <c r="E10" i="16"/>
  <c r="F6" i="16"/>
  <c r="H6" i="16"/>
  <c r="I7" i="16"/>
  <c r="L10" i="16"/>
  <c r="D9" i="16"/>
  <c r="H9" i="16"/>
  <c r="I8" i="16"/>
  <c r="J7" i="16"/>
  <c r="L9" i="16"/>
  <c r="H7" i="16"/>
  <c r="E8" i="16"/>
  <c r="D8" i="16"/>
  <c r="E6" i="16"/>
  <c r="I9" i="16"/>
  <c r="G7" i="16"/>
  <c r="L7" i="16"/>
  <c r="E9" i="16"/>
  <c r="D7" i="16"/>
  <c r="L6" i="16"/>
  <c r="F10" i="16"/>
  <c r="G10" i="16"/>
  <c r="D10" i="16"/>
  <c r="F9" i="16"/>
  <c r="G9" i="16"/>
  <c r="D6" i="16"/>
  <c r="J10" i="16"/>
  <c r="J8" i="16"/>
  <c r="G8" i="16"/>
  <c r="F8" i="16"/>
  <c r="H10" i="16"/>
  <c r="L8" i="16"/>
  <c r="E7" i="16"/>
  <c r="G6" i="16"/>
  <c r="F1173" i="14"/>
  <c r="H1174" i="14" s="1"/>
  <c r="I1174" i="14" s="1"/>
  <c r="L1174" i="14" l="1"/>
  <c r="Y1174" i="14"/>
  <c r="Z1174" i="14" s="1"/>
  <c r="AA1174" i="14" s="1"/>
  <c r="U8" i="16"/>
  <c r="U7" i="16" l="1"/>
  <c r="U6" i="16" l="1"/>
  <c r="U5" i="16" l="1"/>
  <c r="H5" i="16"/>
  <c r="G5" i="16"/>
  <c r="F5" i="16"/>
  <c r="E5" i="16"/>
  <c r="D5" i="16"/>
  <c r="J5" i="16" s="1"/>
  <c r="T4" i="16"/>
  <c r="O5" i="16" s="1"/>
  <c r="Q5" i="16" s="1"/>
  <c r="P4" i="16"/>
  <c r="H4" i="16"/>
  <c r="G4" i="16"/>
  <c r="F4" i="16"/>
  <c r="D4" i="16"/>
  <c r="T3" i="16"/>
  <c r="T5" i="16" l="1"/>
  <c r="P9" i="16"/>
  <c r="P8" i="16" s="1"/>
  <c r="L5" i="16"/>
  <c r="K5" i="16"/>
  <c r="P10" i="16"/>
  <c r="T8" i="16"/>
  <c r="T7" i="16"/>
  <c r="T6" i="16"/>
  <c r="O4" i="16"/>
  <c r="P6" i="16" s="1"/>
  <c r="X1172" i="14"/>
  <c r="E1172" i="14"/>
  <c r="D1172" i="14"/>
  <c r="C1172" i="14"/>
  <c r="B1172" i="14"/>
  <c r="A1172" i="14"/>
  <c r="L182" i="13"/>
  <c r="A182" i="13"/>
  <c r="X1174" i="3"/>
  <c r="D1174" i="3"/>
  <c r="F1175" i="3" s="1"/>
  <c r="T9" i="16" l="1"/>
  <c r="U9" i="16" s="1"/>
  <c r="G1175" i="3"/>
  <c r="O7" i="16"/>
  <c r="Q7" i="16" s="1"/>
  <c r="O6" i="16"/>
  <c r="Q6" i="16" s="1"/>
  <c r="Q4" i="16"/>
  <c r="F1172" i="14"/>
  <c r="H1173" i="14" s="1"/>
  <c r="I1173" i="14" s="1"/>
  <c r="T13" i="16" l="1"/>
  <c r="T17" i="16" s="1"/>
  <c r="T18" i="16" s="1"/>
  <c r="L1173" i="14"/>
  <c r="Y1173" i="14"/>
  <c r="Z1173" i="14" s="1"/>
  <c r="AA1173" i="14" s="1"/>
  <c r="L1175" i="3"/>
  <c r="Y1175" i="3"/>
  <c r="Z1175" i="3" s="1"/>
  <c r="AA1175" i="3" s="1"/>
  <c r="X1171" i="14"/>
  <c r="E1171" i="14"/>
  <c r="D1171" i="14"/>
  <c r="C1171" i="14"/>
  <c r="B1171" i="14"/>
  <c r="A1171" i="14"/>
  <c r="L181" i="13"/>
  <c r="A181" i="13"/>
  <c r="X1173" i="3"/>
  <c r="D1173" i="3"/>
  <c r="F1174" i="3" s="1"/>
  <c r="X1170" i="14"/>
  <c r="E1170" i="14"/>
  <c r="D1170" i="14"/>
  <c r="C1170" i="14"/>
  <c r="B1170" i="14"/>
  <c r="A1170" i="14"/>
  <c r="L180" i="13"/>
  <c r="A180" i="13"/>
  <c r="X1172" i="3"/>
  <c r="D1172" i="3"/>
  <c r="F1173" i="3" s="1"/>
  <c r="G1173" i="3" s="1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G1174" i="3" l="1"/>
  <c r="F1171" i="14"/>
  <c r="H1172" i="14" s="1"/>
  <c r="I1172" i="14" s="1"/>
  <c r="L1173" i="3"/>
  <c r="Y1173" i="3"/>
  <c r="Z1173" i="3" s="1"/>
  <c r="AA1173" i="3" s="1"/>
  <c r="F1170" i="14"/>
  <c r="H1171" i="14" s="1"/>
  <c r="I1171" i="14" s="1"/>
  <c r="L1172" i="3"/>
  <c r="Y1172" i="3"/>
  <c r="Z1172" i="3" s="1"/>
  <c r="AA1172" i="3" s="1"/>
  <c r="F1169" i="14"/>
  <c r="H1170" i="14" s="1"/>
  <c r="I1170" i="14" s="1"/>
  <c r="Y1172" i="14" l="1"/>
  <c r="Z1172" i="14" s="1"/>
  <c r="AA1172" i="14" s="1"/>
  <c r="L1172" i="14"/>
  <c r="Y1174" i="3"/>
  <c r="Z1174" i="3" s="1"/>
  <c r="AA1174" i="3" s="1"/>
  <c r="L1174" i="3"/>
  <c r="L1171" i="14"/>
  <c r="Y1171" i="14"/>
  <c r="Z1171" i="14" s="1"/>
  <c r="AA1171" i="14" s="1"/>
  <c r="L1170" i="14"/>
  <c r="Y1170" i="14"/>
  <c r="Z1170" i="14" s="1"/>
  <c r="AA1170" i="14" s="1"/>
  <c r="D1170" i="3" l="1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71" i="3" l="1"/>
  <c r="F1168" i="14"/>
  <c r="H1169" i="14" s="1"/>
  <c r="I1169" i="14" s="1"/>
  <c r="J1169" i="14" l="1"/>
  <c r="J1170" i="14" s="1"/>
  <c r="J1171" i="14" s="1"/>
  <c r="J1172" i="14" s="1"/>
  <c r="J1173" i="14" s="1"/>
  <c r="J1174" i="14" s="1"/>
  <c r="G1169" i="14"/>
  <c r="G1170" i="14" s="1"/>
  <c r="G1171" i="14" s="1"/>
  <c r="G1172" i="14" s="1"/>
  <c r="G1173" i="14" s="1"/>
  <c r="G1174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E1173" i="3" s="1"/>
  <c r="E1174" i="3" s="1"/>
  <c r="E1175" i="3" s="1"/>
  <c r="E1176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O1176" i="3" l="1"/>
  <c r="P1176" i="3"/>
  <c r="P1175" i="3"/>
  <c r="O1175" i="3"/>
  <c r="O1174" i="3"/>
  <c r="P1174" i="3"/>
  <c r="P1173" i="3"/>
  <c r="O1173" i="3"/>
  <c r="J1172" i="3"/>
  <c r="J1173" i="3" s="1"/>
  <c r="J1174" i="3" s="1"/>
  <c r="J1175" i="3" s="1"/>
  <c r="O1172" i="3"/>
  <c r="O1171" i="3"/>
  <c r="P1171" i="3"/>
  <c r="P1172" i="3"/>
  <c r="P1170" i="3"/>
  <c r="O1170" i="3"/>
  <c r="H1169" i="3"/>
  <c r="H1170" i="3" s="1"/>
  <c r="H1171" i="3" s="1"/>
  <c r="H1172" i="3" s="1"/>
  <c r="H1173" i="3" s="1"/>
  <c r="H1174" i="3" s="1"/>
  <c r="H1175" i="3" s="1"/>
  <c r="H1176" i="3" s="1"/>
  <c r="P1169" i="3"/>
  <c r="O1169" i="3"/>
  <c r="Y1169" i="3"/>
  <c r="Z1169" i="3" s="1"/>
  <c r="AA1169" i="3" s="1"/>
  <c r="K1169" i="3"/>
  <c r="L1169" i="3"/>
  <c r="X1164" i="14"/>
  <c r="E1164" i="14"/>
  <c r="D1164" i="14"/>
  <c r="C1164" i="14"/>
  <c r="B1164" i="14"/>
  <c r="A1164" i="14"/>
  <c r="L174" i="13"/>
  <c r="A174" i="13"/>
  <c r="X1166" i="3"/>
  <c r="D1166" i="3"/>
  <c r="F1167" i="3" s="1"/>
  <c r="O8" i="16" l="1"/>
  <c r="Q8" i="16" s="1"/>
  <c r="J1176" i="3"/>
  <c r="N1175" i="3"/>
  <c r="N1176" i="3"/>
  <c r="W1176" i="3"/>
  <c r="W1175" i="3"/>
  <c r="N1173" i="3"/>
  <c r="N1174" i="3"/>
  <c r="W1174" i="3"/>
  <c r="W1169" i="3"/>
  <c r="W1173" i="3"/>
  <c r="N1171" i="3"/>
  <c r="N1172" i="3"/>
  <c r="W1172" i="3"/>
  <c r="W1171" i="3"/>
  <c r="N1170" i="3"/>
  <c r="I1169" i="3"/>
  <c r="I1170" i="3" s="1"/>
  <c r="I1171" i="3" s="1"/>
  <c r="I1172" i="3" s="1"/>
  <c r="I1173" i="3" s="1"/>
  <c r="I1174" i="3" s="1"/>
  <c r="I1175" i="3" s="1"/>
  <c r="I1176" i="3" s="1"/>
  <c r="K1170" i="3"/>
  <c r="K1171" i="3" s="1"/>
  <c r="W1170" i="3"/>
  <c r="N1169" i="3"/>
  <c r="G1167" i="3"/>
  <c r="F1164" i="14"/>
  <c r="H1165" i="14" s="1"/>
  <c r="I1165" i="14" s="1"/>
  <c r="O10" i="16" l="1"/>
  <c r="Q10" i="16" s="1"/>
  <c r="K1172" i="3"/>
  <c r="K1173" i="3" s="1"/>
  <c r="K1174" i="3" s="1"/>
  <c r="K1175" i="3" s="1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O9" i="16" l="1"/>
  <c r="K1176" i="3"/>
  <c r="G1166" i="3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X1143" i="14"/>
  <c r="E1143" i="14"/>
  <c r="D1143" i="14"/>
  <c r="C1143" i="14"/>
  <c r="B1143" i="14"/>
  <c r="A1143" i="14"/>
  <c r="L152" i="13"/>
  <c r="A152" i="13"/>
  <c r="K1147" i="3" l="1"/>
  <c r="I1147" i="3" s="1"/>
  <c r="G1154" i="3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X1145" i="3"/>
  <c r="D1145" i="3"/>
  <c r="X1142" i="14"/>
  <c r="E1142" i="14"/>
  <c r="D1142" i="14"/>
  <c r="C1142" i="14"/>
  <c r="B1142" i="14"/>
  <c r="A1142" i="14"/>
  <c r="L151" i="13"/>
  <c r="A151" i="13"/>
  <c r="X1144" i="3"/>
  <c r="D1144" i="3"/>
  <c r="X1141" i="14"/>
  <c r="E1141" i="14"/>
  <c r="D1141" i="14"/>
  <c r="C1141" i="14"/>
  <c r="B1141" i="14"/>
  <c r="A1141" i="14"/>
  <c r="L150" i="13"/>
  <c r="A150" i="13"/>
  <c r="X1143" i="3"/>
  <c r="D1143" i="3"/>
  <c r="X1142" i="3"/>
  <c r="D1142" i="3"/>
  <c r="H1144" i="14" l="1"/>
  <c r="I1144" i="14" s="1"/>
  <c r="Q1174" i="14"/>
  <c r="R1174" i="14" s="1"/>
  <c r="F1146" i="3"/>
  <c r="G1146" i="3" s="1"/>
  <c r="AC1175" i="3" s="1"/>
  <c r="Q1176" i="3"/>
  <c r="R1176" i="3" s="1"/>
  <c r="AC1176" i="3"/>
  <c r="F1145" i="3"/>
  <c r="G1145" i="3" s="1"/>
  <c r="Q1175" i="3"/>
  <c r="R1175" i="3" s="1"/>
  <c r="AC1174" i="3"/>
  <c r="F1144" i="3"/>
  <c r="G1144" i="3" s="1"/>
  <c r="Q1174" i="3"/>
  <c r="R1174" i="3" s="1"/>
  <c r="F1143" i="3"/>
  <c r="G1143" i="3" s="1"/>
  <c r="Q1173" i="3"/>
  <c r="R1173" i="3" s="1"/>
  <c r="AC1173" i="3"/>
  <c r="AC1172" i="3"/>
  <c r="I1154" i="3"/>
  <c r="I1155" i="3" s="1"/>
  <c r="L1152" i="14"/>
  <c r="Y1152" i="14"/>
  <c r="Z1152" i="14" s="1"/>
  <c r="AA1152" i="14" s="1"/>
  <c r="J1147" i="14"/>
  <c r="J1148" i="14" s="1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L1144" i="3"/>
  <c r="Y1144" i="3"/>
  <c r="Z1144" i="3" s="1"/>
  <c r="AA1144" i="3" s="1"/>
  <c r="F1141" i="14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H1143" i="14" l="1"/>
  <c r="I1143" i="14" s="1"/>
  <c r="AC1174" i="14" s="1"/>
  <c r="Q1173" i="14"/>
  <c r="R1173" i="14" s="1"/>
  <c r="H1142" i="14"/>
  <c r="I1142" i="14" s="1"/>
  <c r="AC1173" i="14" s="1"/>
  <c r="Q1172" i="14"/>
  <c r="R1172" i="14" s="1"/>
  <c r="F1140" i="3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L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F1139" i="14"/>
  <c r="F1138" i="14"/>
  <c r="L1139" i="3"/>
  <c r="Y1139" i="3"/>
  <c r="Z1139" i="3" s="1"/>
  <c r="AA1139" i="3" s="1"/>
  <c r="F1137" i="14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S1176" i="3" s="1"/>
  <c r="T1176" i="3" s="1"/>
  <c r="X1086" i="14"/>
  <c r="E1086" i="14"/>
  <c r="D1086" i="14"/>
  <c r="C1086" i="14"/>
  <c r="B1086" i="14"/>
  <c r="A1086" i="14"/>
  <c r="A94" i="13"/>
  <c r="X1086" i="3"/>
  <c r="D1086" i="3"/>
  <c r="S1175" i="3" s="1"/>
  <c r="T1175" i="3" s="1"/>
  <c r="X1085" i="14"/>
  <c r="E1085" i="14"/>
  <c r="D1085" i="14"/>
  <c r="C1085" i="14"/>
  <c r="B1085" i="14"/>
  <c r="A1085" i="14"/>
  <c r="L93" i="13"/>
  <c r="A93" i="13"/>
  <c r="X1085" i="3"/>
  <c r="D1085" i="3"/>
  <c r="S1174" i="3" s="1"/>
  <c r="T1174" i="3" s="1"/>
  <c r="X1084" i="14"/>
  <c r="E1084" i="14"/>
  <c r="D1084" i="14"/>
  <c r="C1084" i="14"/>
  <c r="B1084" i="14"/>
  <c r="A1084" i="14"/>
  <c r="L92" i="13"/>
  <c r="A92" i="13"/>
  <c r="X1084" i="3"/>
  <c r="D1084" i="3"/>
  <c r="S1173" i="3" s="1"/>
  <c r="T1173" i="3" s="1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41" i="14" l="1"/>
  <c r="I1141" i="14" s="1"/>
  <c r="AC1172" i="14" s="1"/>
  <c r="Q1171" i="14"/>
  <c r="R1171" i="14" s="1"/>
  <c r="H1140" i="14"/>
  <c r="I1140" i="14" s="1"/>
  <c r="AC1171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AC1169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L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F1109" i="3"/>
  <c r="G1109" i="3" s="1"/>
  <c r="Q1139" i="3"/>
  <c r="R1139" i="3" s="1"/>
  <c r="F1108" i="3"/>
  <c r="G1108" i="3" s="1"/>
  <c r="L1108" i="3" s="1"/>
  <c r="Q1138" i="3"/>
  <c r="R1138" i="3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Q1116" i="3"/>
  <c r="R1116" i="3" s="1"/>
  <c r="F1085" i="3"/>
  <c r="G1085" i="3" s="1"/>
  <c r="Q1115" i="3"/>
  <c r="R1115" i="3" s="1"/>
  <c r="Y1113" i="14"/>
  <c r="Z1113" i="14" s="1"/>
  <c r="AA1113" i="14" s="1"/>
  <c r="F1084" i="3"/>
  <c r="G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S1174" i="14" s="1"/>
  <c r="T1174" i="14" s="1"/>
  <c r="Q1082" i="3"/>
  <c r="R1082" i="3" s="1"/>
  <c r="F1082" i="14"/>
  <c r="S1173" i="14" s="1"/>
  <c r="T1173" i="14" s="1"/>
  <c r="F1081" i="14"/>
  <c r="S1172" i="14" s="1"/>
  <c r="T1172" i="14" s="1"/>
  <c r="Q1081" i="3"/>
  <c r="R1081" i="3" s="1"/>
  <c r="F1080" i="14"/>
  <c r="S1171" i="14" s="1"/>
  <c r="T1171" i="14" s="1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Y1138" i="14" l="1"/>
  <c r="Z1138" i="14" s="1"/>
  <c r="AA1138" i="14" s="1"/>
  <c r="Y1136" i="14"/>
  <c r="Z1136" i="14" s="1"/>
  <c r="AA1136" i="14" s="1"/>
  <c r="Y1086" i="3"/>
  <c r="Z1086" i="3" s="1"/>
  <c r="AA1086" i="3" s="1"/>
  <c r="L1138" i="14"/>
  <c r="Y1085" i="3"/>
  <c r="Z1085" i="3" s="1"/>
  <c r="AA1085" i="3" s="1"/>
  <c r="L1084" i="3"/>
  <c r="Y1132" i="3"/>
  <c r="Z1132" i="3" s="1"/>
  <c r="AA1132" i="3" s="1"/>
  <c r="H1080" i="14"/>
  <c r="I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AD1174" i="14" l="1"/>
  <c r="AD1175" i="3"/>
  <c r="AD1176" i="3"/>
  <c r="AD1173" i="14"/>
  <c r="AD1174" i="3"/>
  <c r="AD1172" i="14"/>
  <c r="Y1078" i="14"/>
  <c r="Z1078" i="14" s="1"/>
  <c r="AA1078" i="14" s="1"/>
  <c r="AD1171" i="14"/>
  <c r="AD1172" i="3"/>
  <c r="AD1173" i="3"/>
  <c r="L1079" i="14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E18" i="16" s="1"/>
  <c r="E4" i="16" s="1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K1162" i="3" l="1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X807" i="14"/>
  <c r="F807" i="14"/>
  <c r="X806" i="14"/>
  <c r="F806" i="14"/>
  <c r="X805" i="14"/>
  <c r="F805" i="14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9" i="14" l="1"/>
  <c r="I809" i="14" s="1"/>
  <c r="U1174" i="14"/>
  <c r="V1174" i="14" s="1"/>
  <c r="H808" i="14"/>
  <c r="I808" i="14" s="1"/>
  <c r="U1173" i="14"/>
  <c r="V1173" i="14" s="1"/>
  <c r="H807" i="14"/>
  <c r="I807" i="14" s="1"/>
  <c r="U1172" i="14"/>
  <c r="V1172" i="14" s="1"/>
  <c r="H806" i="14"/>
  <c r="I806" i="14" s="1"/>
  <c r="U1171" i="14"/>
  <c r="V1171" i="14" s="1"/>
  <c r="H805" i="14"/>
  <c r="I805" i="14" s="1"/>
  <c r="U1170" i="14"/>
  <c r="V1170" i="14" s="1"/>
  <c r="H804" i="14"/>
  <c r="I804" i="14" s="1"/>
  <c r="U1169" i="14"/>
  <c r="V1169" i="14" s="1"/>
  <c r="H803" i="14"/>
  <c r="I803" i="14" s="1"/>
  <c r="U1168" i="14"/>
  <c r="V1168" i="14" s="1"/>
  <c r="H802" i="14"/>
  <c r="I802" i="14" s="1"/>
  <c r="Y802" i="14" s="1"/>
  <c r="U1167" i="14"/>
  <c r="V1167" i="14" s="1"/>
  <c r="H801" i="14"/>
  <c r="I801" i="14" s="1"/>
  <c r="L801" i="14" s="1"/>
  <c r="U1166" i="14"/>
  <c r="V1166" i="14" s="1"/>
  <c r="H799" i="14"/>
  <c r="I799" i="14" s="1"/>
  <c r="Y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L802" i="14" l="1"/>
  <c r="Z921" i="14"/>
  <c r="AA921" i="14" s="1"/>
  <c r="Z920" i="14"/>
  <c r="AA920" i="14" s="1"/>
  <c r="Y801" i="14"/>
  <c r="L799" i="14"/>
  <c r="Z916" i="14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19" i="14" l="1"/>
  <c r="AA919" i="14" s="1"/>
  <c r="Z918" i="14"/>
  <c r="AA918" i="14" s="1"/>
  <c r="Z917" i="14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K1171" i="14" s="1"/>
  <c r="K1172" i="14" s="1"/>
  <c r="K1173" i="14" s="1"/>
  <c r="K1174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O1174" i="14" l="1"/>
  <c r="P1174" i="14"/>
  <c r="AE1174" i="14"/>
  <c r="O1173" i="14"/>
  <c r="P1173" i="14"/>
  <c r="AE1173" i="14"/>
  <c r="O1172" i="14"/>
  <c r="P1172" i="14"/>
  <c r="AE1172" i="14"/>
  <c r="P1171" i="14"/>
  <c r="O1171" i="14"/>
  <c r="AE1171" i="14"/>
  <c r="O1170" i="14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M1173" i="14" l="1"/>
  <c r="M1174" i="14"/>
  <c r="N1174" i="14"/>
  <c r="W1174" i="14"/>
  <c r="N1173" i="14"/>
  <c r="W1173" i="14"/>
  <c r="M1171" i="14"/>
  <c r="M1172" i="14"/>
  <c r="N1172" i="14"/>
  <c r="W1172" i="14"/>
  <c r="W1171" i="14"/>
  <c r="N1171" i="14"/>
  <c r="N1170" i="14"/>
  <c r="M1169" i="14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4" i="14" l="1"/>
  <c r="AB1173" i="14"/>
  <c r="AB1172" i="14"/>
  <c r="AB1171" i="14"/>
  <c r="AB1170" i="14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D810" i="3"/>
  <c r="D811" i="3"/>
  <c r="D812" i="3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13" i="3" l="1"/>
  <c r="G813" i="3" s="1"/>
  <c r="U1176" i="3"/>
  <c r="V1176" i="3" s="1"/>
  <c r="F812" i="3"/>
  <c r="G812" i="3" s="1"/>
  <c r="U1175" i="3"/>
  <c r="V1175" i="3" s="1"/>
  <c r="F811" i="3"/>
  <c r="G811" i="3" s="1"/>
  <c r="U1174" i="3"/>
  <c r="V1174" i="3" s="1"/>
  <c r="F810" i="3"/>
  <c r="G810" i="3" s="1"/>
  <c r="U1173" i="3"/>
  <c r="V1173" i="3" s="1"/>
  <c r="F809" i="3"/>
  <c r="G809" i="3" s="1"/>
  <c r="L809" i="3" s="1"/>
  <c r="U1172" i="3"/>
  <c r="V1172" i="3" s="1"/>
  <c r="F808" i="3"/>
  <c r="G808" i="3" s="1"/>
  <c r="U1171" i="3"/>
  <c r="V1171" i="3" s="1"/>
  <c r="F806" i="3"/>
  <c r="G806" i="3" s="1"/>
  <c r="U1169" i="3"/>
  <c r="V1169" i="3" s="1"/>
  <c r="F807" i="3"/>
  <c r="G807" i="3" s="1"/>
  <c r="L807" i="3" s="1"/>
  <c r="U1170" i="3"/>
  <c r="V1170" i="3" s="1"/>
  <c r="F803" i="3"/>
  <c r="G803" i="3" s="1"/>
  <c r="L803" i="3" s="1"/>
  <c r="U1168" i="3"/>
  <c r="V1168" i="3" s="1"/>
  <c r="F802" i="3"/>
  <c r="G802" i="3" s="1"/>
  <c r="L802" i="3" s="1"/>
  <c r="U1167" i="3"/>
  <c r="V1167" i="3" s="1"/>
  <c r="F801" i="3"/>
  <c r="G801" i="3" s="1"/>
  <c r="Y801" i="3" s="1"/>
  <c r="U1166" i="3"/>
  <c r="V1166" i="3" s="1"/>
  <c r="F800" i="3"/>
  <c r="G800" i="3" s="1"/>
  <c r="K800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S1006" i="3"/>
  <c r="T1006" i="3" s="1"/>
  <c r="Q946" i="3"/>
  <c r="R946" i="3" s="1"/>
  <c r="S974" i="3"/>
  <c r="T974" i="3" s="1"/>
  <c r="Q914" i="3"/>
  <c r="R914" i="3" s="1"/>
  <c r="L806" i="3"/>
  <c r="Y806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807" i="3" l="1"/>
  <c r="L801" i="3"/>
  <c r="L797" i="3"/>
  <c r="Y809" i="3"/>
  <c r="Y802" i="3"/>
  <c r="Y795" i="3"/>
  <c r="K801" i="3"/>
  <c r="Y798" i="3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AE1176" i="3" s="1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74" i="3" l="1"/>
  <c r="AE1175" i="3"/>
  <c r="AE1172" i="3"/>
  <c r="AE1173" i="3"/>
  <c r="AE1169" i="3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L942" i="3"/>
  <c r="Y942" i="3"/>
  <c r="Z942" i="3" s="1"/>
  <c r="AA942" i="3" s="1"/>
  <c r="L924" i="3"/>
  <c r="Y924" i="3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5" i="3" l="1"/>
  <c r="AA925" i="3" s="1"/>
  <c r="AB1176" i="3"/>
  <c r="Z924" i="3"/>
  <c r="AA924" i="3" s="1"/>
  <c r="AB1175" i="3"/>
  <c r="Z923" i="3"/>
  <c r="AA923" i="3" s="1"/>
  <c r="AB1174" i="3"/>
  <c r="Z922" i="3"/>
  <c r="AA922" i="3" s="1"/>
  <c r="AB1173" i="3"/>
  <c r="Z921" i="3"/>
  <c r="AA921" i="3" s="1"/>
  <c r="AB1172" i="3"/>
  <c r="Z920" i="3"/>
  <c r="AA920" i="3" s="1"/>
  <c r="AB1171" i="3"/>
  <c r="Z919" i="3"/>
  <c r="AA919" i="3" s="1"/>
  <c r="AB1170" i="3"/>
  <c r="Z918" i="3"/>
  <c r="AA918" i="3" s="1"/>
  <c r="AB1169" i="3"/>
  <c r="N1168" i="3"/>
  <c r="Z915" i="3"/>
  <c r="AA915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66" i="3" l="1"/>
  <c r="AB1167" i="3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Z737" i="3" s="1"/>
  <c r="AA737" i="3" s="1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75" i="3" l="1"/>
  <c r="M1176" i="3"/>
  <c r="M1173" i="3"/>
  <c r="M1174" i="3"/>
  <c r="M1172" i="3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<sst xmlns="http://schemas.openxmlformats.org/spreadsheetml/2006/main" count="1145" uniqueCount="438">
  <si>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</si>
  <si>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</si>
  <si>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</si>
  <si>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</si>
  <si>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</si>
  <si>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</si>
  <si>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</si>
  <si>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</si>
  <si>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</si>
  <si>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</si>
  <si>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</si>
  <si>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</si>
  <si>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</si>
  <si>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</si>
  <si>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</si>
  <si>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</si>
  <si>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</si>
  <si>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</si>
  <si>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</si>
  <si>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</si>
  <si>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</si>
  <si>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</si>
  <si>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</si>
  <si>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</si>
  <si>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</si>
  <si>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</si>
  <si>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</si>
  <si>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</si>
  <si>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</si>
  <si>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</si>
  <si>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</si>
  <si>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</si>
  <si>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</si>
  <si>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</si>
  <si>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</si>
  <si>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</si>
  <si>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</si>
  <si>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</si>
  <si>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</si>
  <si>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</si>
  <si>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</si>
  <si>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</si>
  <si>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</si>
  <si>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</si>
  <si>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</si>
  <si>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</si>
  <si>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</si>
  <si>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</si>
  <si>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</si>
  <si>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</si>
  <si>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</si>
  <si>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</si>
  <si>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</si>
  <si>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</si>
  <si>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</si>
  <si>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</si>
  <si>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</si>
  <si>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</si>
  <si>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</si>
  <si>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</si>
  <si>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</si>
  <si>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</si>
  <si>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</si>
  <si>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</si>
  <si>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</si>
  <si>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</si>
  <si>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</si>
  <si>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</si>
  <si>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</si>
  <si>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</si>
  <si>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</si>
  <si>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</si>
  <si>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</si>
  <si>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</si>
  <si>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</si>
  <si>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</si>
  <si>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</si>
  <si>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</si>
  <si>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</si>
  <si>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</si>
  <si>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</si>
  <si>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</si>
  <si>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</si>
  <si>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</si>
  <si>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</si>
  <si>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</si>
  <si>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</si>
  <si>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</si>
  <si>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</si>
  <si>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</si>
  <si>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</si>
  <si>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</si>
  <si>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</si>
  <si>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</si>
  <si>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</si>
  <si>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</si>
  <si>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</si>
  <si>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</si>
  <si>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</si>
  <si>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</si>
  <si>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</si>
  <si>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</si>
  <si>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</si>
  <si>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</si>
  <si>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</si>
  <si>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</si>
  <si>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</si>
  <si>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</si>
  <si>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</si>
  <si>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</si>
  <si>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</si>
  <si>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</si>
  <si>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</si>
  <si>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</si>
  <si>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</si>
  <si>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</si>
  <si>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</si>
  <si>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</si>
  <si>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</si>
  <si>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</si>
  <si>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</si>
  <si>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</si>
  <si>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</si>
  <si>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</si>
  <si>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</si>
  <si>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</si>
  <si>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</si>
  <si>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</si>
  <si>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</si>
  <si>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</si>
  <si>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</si>
  <si>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</si>
  <si>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</si>
  <si>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</si>
  <si>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</si>
  <si>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</si>
  <si>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</si>
  <si>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</si>
  <si>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</si>
  <si>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</si>
  <si>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</si>
  <si>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</si>
  <si>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</si>
  <si>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</si>
  <si>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</si>
  <si>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</si>
  <si>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</si>
  <si>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</si>
  <si>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</si>
  <si>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</si>
  <si>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</si>
  <si>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</si>
  <si>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</si>
  <si>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</si>
  <si>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</si>
  <si>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</si>
  <si>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</si>
  <si>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</si>
  <si>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</si>
  <si>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</si>
  <si>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</si>
  <si>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</si>
  <si>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</si>
  <si>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</si>
  <si>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</si>
  <si>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</si>
  <si>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</si>
  <si>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</si>
  <si>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</si>
  <si>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</si>
  <si>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</si>
  <si>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</si>
  <si>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</si>
  <si>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</si>
  <si>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</si>
  <si>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</si>
  <si>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</si>
  <si>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</si>
  <si>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</si>
  <si>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</si>
  <si>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</si>
  <si>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</si>
  <si>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</si>
  <si>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</si>
  <si>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</si>
  <si>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</si>
  <si>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</si>
  <si>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</si>
  <si>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</si>
  <si>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</si>
  <si>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</si>
  <si>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</si>
  <si>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</si>
  <si>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</si>
  <si>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</si>
  <si>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</si>
  <si>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</si>
  <si>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</si>
  <si>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</si>
  <si>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</si>
  <si>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</si>
  <si>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</si>
  <si>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</si>
  <si>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</si>
  <si>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</si>
  <si>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</si>
  <si>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</si>
  <si>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</si>
  <si>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</si>
  <si>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</si>
  <si>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</si>
  <si>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</si>
  <si>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</si>
  <si>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</si>
  <si>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</si>
  <si>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</si>
  <si>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</si>
  <si>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</si>
  <si>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</si>
  <si>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</si>
  <si>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</si>
  <si>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</si>
  <si>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</si>
  <si>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</si>
  <si>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</si>
  <si>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</si>
  <si>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</si>
  <si>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</si>
  <si>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</si>
  <si>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</si>
  <si>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</si>
  <si>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</si>
  <si>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</si>
  <si>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</si>
  <si>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</si>
  <si>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</si>
  <si>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</si>
  <si>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</si>
  <si>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</si>
  <si>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</si>
  <si>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</si>
  <si>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</si>
  <si>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</si>
  <si>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</si>
  <si>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</si>
  <si>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</si>
  <si>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</si>
  <si>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</si>
  <si>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</si>
  <si>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</si>
  <si>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</si>
  <si>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</si>
  <si>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</si>
  <si>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</si>
  <si>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</si>
  <si>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</si>
  <si>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</si>
  <si>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</si>
  <si>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</si>
  <si>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</si>
  <si>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</si>
  <si>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</si>
  <si>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</si>
  <si>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</si>
  <si>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</si>
  <si>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</si>
  <si>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</si>
  <si>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</si>
  <si>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</si>
  <si>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</si>
  <si>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</si>
  <si>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</si>
  <si>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</si>
  <si>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</si>
  <si>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</si>
  <si>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</si>
  <si>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</si>
  <si>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</si>
  <si>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</si>
  <si>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</si>
  <si>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</si>
  <si>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</si>
  <si>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</si>
  <si>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</si>
  <si>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</si>
  <si>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</si>
  <si>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</si>
  <si>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</si>
  <si>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</si>
  <si>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</si>
  <si>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</si>
  <si>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</si>
  <si>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</si>
  <si>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</si>
  <si>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</si>
  <si>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</si>
  <si>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</si>
  <si>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</si>
  <si>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</si>
  <si>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</si>
  <si>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</si>
  <si>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</si>
  <si>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</si>
  <si>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</si>
  <si>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</si>
  <si>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</si>
  <si>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</si>
  <si>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</si>
  <si>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</si>
  <si>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</si>
  <si>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</si>
  <si>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</si>
  <si>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</si>
  <si>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</si>
  <si>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</si>
  <si>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</si>
  <si>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</si>
  <si>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</si>
  <si>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</si>
  <si>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</si>
  <si>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</si>
  <si>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</si>
  <si>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</si>
  <si>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</si>
  <si>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</si>
  <si>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</si>
  <si>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</si>
  <si>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</si>
  <si>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</si>
  <si>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</si>
  <si>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</si>
  <si>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</si>
  <si>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</si>
  <si>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</si>
  <si>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</si>
  <si>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</si>
  <si>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</si>
  <si>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</si>
  <si>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</si>
  <si>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</si>
  <si>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</si>
  <si>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</si>
  <si>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</si>
  <si>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</si>
  <si>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</si>
  <si>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</si>
  <si>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</si>
  <si>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</si>
  <si>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</si>
  <si>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</si>
  <si>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</si>
  <si>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</si>
  <si>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</si>
  <si>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</si>
  <si>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</si>
  <si>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</si>
  <si>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</si>
  <si>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</si>
  <si>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</si>
  <si>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</si>
  <si>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</si>
  <si>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</si>
  <si>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</si>
  <si>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</si>
  <si>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</si>
  <si>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</si>
  <si>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</si>
  <si>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</si>
  <si>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</si>
  <si>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</si>
  <si>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</si>
  <si>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</si>
  <si>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</si>
  <si>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</si>
  <si>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</si>
  <si>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</si>
  <si>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</si>
  <si>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</si>
  <si>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</si>
  <si>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</si>
  <si>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</si>
  <si>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</si>
  <si>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</si>
  <si>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</si>
  <si>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</si>
  <si>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NVDA 17JAN25 130 P</t>
  </si>
  <si>
    <t>TSM 31JAN25 180 P</t>
  </si>
  <si>
    <t>JPM 10JAN25 245 C</t>
  </si>
  <si>
    <t>PLTR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</si>
  <si>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</si>
  <si>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</si>
  <si>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</si>
  <si>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</si>
  <si>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</si>
  <si>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</si>
  <si>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</si>
  <si>
    <t>ANF 10JAN25 155 P</t>
  </si>
  <si>
    <t>ANF 10JAN25 157.5 C</t>
  </si>
  <si>
    <t>CAT</t>
  </si>
  <si>
    <t>CAT 10JAN25 350 P</t>
  </si>
  <si>
    <t>CAT 10JAN25 362.5 C</t>
  </si>
  <si>
    <t>GOOG 10JAN25 195 C</t>
  </si>
  <si>
    <t>JPM 10JAN25 242.5 P</t>
  </si>
  <si>
    <t>MSFT 10JAN25 420 P</t>
  </si>
  <si>
    <t>NVDA 10JAN25 150 C</t>
  </si>
  <si>
    <t>NVDA 10JAN25 152.5 C</t>
  </si>
  <si>
    <t>ORCL 10JAN25 162.5 P</t>
  </si>
  <si>
    <t>SNOW 10JAN25 157.5 P</t>
  </si>
  <si>
    <t>TSM 10JAN25 215 C</t>
  </si>
  <si>
    <t>XLF 10JAN25 48.5 C</t>
  </si>
  <si>
    <t>Transaction Fees</t>
  </si>
  <si>
    <t>BX 10JAN25 175 P</t>
  </si>
  <si>
    <t>NVDA 10JAN25 145 P</t>
  </si>
  <si>
    <t>NVDA 10JAN25 157.5 C</t>
  </si>
  <si>
    <t>PDD 10JAN25 106 C</t>
  </si>
  <si>
    <t>QQQ 10JAN25 535 C</t>
  </si>
  <si>
    <t>TSM 10JAN25 212.5 P</t>
  </si>
  <si>
    <t>TSM 10JAN25 215 P</t>
  </si>
  <si>
    <t>XLF 10JAN25 49 C</t>
  </si>
  <si>
    <t>XLK 10JAN25 242.5 C</t>
  </si>
  <si>
    <t>Interest</t>
  </si>
  <si>
    <t>700 27JAN25 370 P</t>
  </si>
  <si>
    <t>700 27JAN25 380 P</t>
  </si>
  <si>
    <t>SNOW 10JAN25 165 P</t>
  </si>
  <si>
    <t>Dividends</t>
  </si>
  <si>
    <t>Withholding Tax</t>
  </si>
  <si>
    <t>MBB</t>
  </si>
  <si>
    <t>SHYD</t>
  </si>
  <si>
    <t>STIP</t>
  </si>
  <si>
    <t>1211 17JAN25 245 P</t>
  </si>
  <si>
    <t>700 17JAN25 360 P</t>
  </si>
  <si>
    <t>NQ 13JAN25 20960 C</t>
  </si>
  <si>
    <t>NVDA 21MAR25 135 C</t>
  </si>
  <si>
    <t>PDD 17JAN25 100 C</t>
  </si>
  <si>
    <t>QQQ 20JUN25 500 C</t>
  </si>
  <si>
    <t>SE 17JAN25 105 P</t>
  </si>
  <si>
    <t>SNOW</t>
  </si>
  <si>
    <t>SNOW 17JAN25 160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</si>
</sst>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57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43" fontId="31" fillId="0" borderId="0" xfId="3" applyFont="1" applyAlignment="1">
      <alignment horizontal="center" vertical="center"/>
    </xf>
    <xf numFmtId="43" fontId="2" fillId="4" borderId="0" xfId="3" applyFont="1" applyFill="1" applyAlignment="1">
      <alignment vertical="center"/>
    </xf>
    <xf numFmtId="43" fontId="17" fillId="0" borderId="0" xfId="3" applyFont="1" applyAlignment="1">
      <alignment vertical="center"/>
    </xf>
    <xf numFmtId="43" fontId="32" fillId="0" borderId="0" xfId="3" applyFont="1" applyAlignment="1">
      <alignment vertical="center"/>
    </xf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10" fillId="5" borderId="7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right" vertical="center"/>
    </xf>
    <xf numFmtId="44" fontId="7" fillId="0" borderId="5" xfId="0" applyNumberFormat="1" applyFont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10" fontId="6" fillId="5" borderId="7" xfId="1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right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Data...2621405062</v>
        <stp/>
        <stp>BDP|17488990371770934291</stp>
        <tr r="L9" s="16"/>
      </tp>
      <tp t="s">
        <v>#N/A Requesting Data...3590114119</v>
        <stp/>
        <stp>BDP|12334903160624343193</stp>
        <tr r="H7" s="16"/>
      </tp>
      <tp t="s">
        <v>#N/A Requesting Data...3889151305</v>
        <stp/>
        <stp>BDP|11631739781717341169</stp>
        <tr r="D10" s="16"/>
      </tp>
      <tp t="s">
        <v>#N/A Requesting Data...3487918502</v>
        <stp/>
        <stp>BDP|12503804164161346560</stp>
        <tr r="H23" s="4"/>
      </tp>
      <tp t="s">
        <v>#N/A Requesting Data...4289010502</v>
        <stp/>
        <stp>BDP|15038974491608239300</stp>
        <tr r="E8" s="16"/>
      </tp>
      <tp t="s">
        <v>#N/A Requesting Data...3364125924</v>
        <stp/>
        <stp>BDP|18194437827130447215</stp>
        <tr r="K6" s="16"/>
      </tp>
      <tp t="s">
        <v>#N/A Requesting Data...2543704162</v>
        <stp/>
        <stp>BDP|14342216399620183288</stp>
        <tr r="F7" s="16"/>
      </tp>
      <tp t="s">
        <v>#N/A Requesting Data...4155492442</v>
        <stp/>
        <stp>BDP|12868917489186433836</stp>
        <tr r="D22" s="4"/>
      </tp>
      <tp t="s">
        <v>#N/A Requesting Data...2659117542</v>
        <stp/>
        <stp>BDP|17458564132487035495</stp>
        <tr r="G6" s="16"/>
      </tp>
      <tp t="s">
        <v>#N/A Requesting Data...2662563345</v>
        <stp/>
        <stp>BDP|11441239167720550763</stp>
        <tr r="G22" s="4"/>
      </tp>
      <tp t="s">
        <v>#N/A Requesting Data...4265699557</v>
        <stp/>
        <stp>BDP|12134806195186667708</stp>
        <tr r="F9" s="16"/>
      </tp>
      <tp t="s">
        <v>#N/A Requesting Data...3122721984</v>
        <stp/>
        <stp>BDP|15571183826414458091</stp>
        <tr r="F23" s="4"/>
      </tp>
      <tp t="s">
        <v>#N/A Requesting Data...1678240361</v>
        <stp/>
        <stp>BDP|16691583684581330968</stp>
        <tr r="F22" s="4"/>
      </tp>
      <tp t="s">
        <v>#N/A Requesting Data...4115138343</v>
        <stp/>
        <stp>BDP|10851542879122214334</stp>
        <tr r="K7" s="16"/>
      </tp>
      <tp t="s">
        <v>#N/A Requesting Data...3177180575</v>
        <stp/>
        <stp>BDP|13033893993631589338</stp>
        <tr r="C24" s="4"/>
      </tp>
      <tp t="s">
        <v>#N/A Requesting Data...3258052607</v>
        <stp/>
        <stp>BDP|15628696981164784920</stp>
        <tr r="F6" s="16"/>
      </tp>
      <tp t="s">
        <v>#N/A Requesting Data...1490216883</v>
        <stp/>
        <stp>BDP|17421494076265054774</stp>
        <tr r="D6" s="16"/>
      </tp>
      <tp t="s">
        <v>#N/A Requesting Data...2183058153</v>
        <stp/>
        <stp>BDP|11395363488884515847</stp>
        <tr r="E22" s="4"/>
      </tp>
      <tp t="s">
        <v>#N/A Requesting Data...3512178367</v>
        <stp/>
        <stp>BDP|11453968001806112847</stp>
        <tr r="L10" s="16"/>
      </tp>
      <tp t="s">
        <v>#N/A Requesting Data...2598807687</v>
        <stp/>
        <stp>BDP|14662245951000286439</stp>
        <tr r="C22" s="4"/>
      </tp>
      <tp t="s">
        <v>#N/A Requesting Data...3463161955</v>
        <stp/>
        <stp>BDP|16854102045504656375</stp>
        <tr r="K10" s="16"/>
      </tp>
      <tp t="s">
        <v>#N/A Requesting Data...3619095814</v>
        <stp/>
        <stp>BDP|17541570393706762923</stp>
        <tr r="K9" s="16"/>
      </tp>
      <tp t="s">
        <v>#N/A Requesting Data...3027317657</v>
        <stp/>
        <stp>BDP|14370156815235148488</stp>
        <tr r="F8" s="16"/>
      </tp>
      <tp t="s">
        <v>#N/A Requesting Data...2622237165</v>
        <stp/>
        <stp>BDP|16879443774998906816</stp>
        <tr r="K8" s="16"/>
      </tp>
      <tp t="s">
        <v>#N/A Requesting Data...3609037631</v>
        <stp/>
        <stp>BDP|1413003601749412533</stp>
        <tr r="L6" s="16"/>
      </tp>
      <tp t="s">
        <v>#N/A Requesting Data...3838530898</v>
        <stp/>
        <stp>BDP|8485886604566386829</stp>
        <tr r="H22" s="4"/>
      </tp>
      <tp t="s">
        <v>#N/A Requesting Data...3252814661</v>
        <stp/>
        <stp>BDP|9958272376154164648</stp>
        <tr r="J9" s="16"/>
      </tp>
      <tp t="s">
        <v>#N/A Requesting Data...1708180700</v>
        <stp/>
        <stp>BDP|4155052320638790009</stp>
        <tr r="L7" s="16"/>
      </tp>
      <tp t="s">
        <v>#N/A Requesting Data...2000274467</v>
        <stp/>
        <stp>BDP|4997210966577515802</stp>
        <tr r="G9" s="16"/>
      </tp>
      <tp t="s">
        <v>#N/A Requesting Data...3593377437</v>
        <stp/>
        <stp>BDP|3599663092060873385</stp>
        <tr r="G23" s="4"/>
      </tp>
      <tp t="s">
        <v>#N/A Requesting Data...2370636057</v>
        <stp/>
        <stp>BDP|2715175043958188031</stp>
        <tr r="C23" s="4"/>
      </tp>
      <tp t="s">
        <v>#N/A Requesting Data...2103444746</v>
        <stp/>
        <stp>BDP|4938759477168674381</stp>
        <tr r="E23" s="4"/>
      </tp>
      <tp t="s">
        <v>#N/A Requesting Data...2626250063</v>
        <stp/>
        <stp>BDP|5516778511589823234</stp>
        <tr r="F10" s="16"/>
      </tp>
      <tp t="s">
        <v>#N/A Requesting Data...3796035017</v>
        <stp/>
        <stp>BDP|4120548091556971632</stp>
        <tr r="J8" s="16"/>
      </tp>
      <tp t="s">
        <v>#N/A Requesting Data...2338153363</v>
        <stp/>
        <stp>BDP|6229753396345444597</stp>
        <tr r="J10" s="16"/>
      </tp>
      <tp t="s">
        <v>#N/A Requesting Data...3723156312</v>
        <stp/>
        <stp>BDP|6992386206898388576</stp>
        <tr r="I6" s="16"/>
      </tp>
      <tp t="s">
        <v>#N/A Requesting Data...2773961078</v>
        <stp/>
        <stp>BDP|4532089580725904075</stp>
        <tr r="H6" s="16"/>
      </tp>
      <tp t="s">
        <v>#N/A Requesting Data...2408982132</v>
        <stp/>
        <stp>BDP|3379476956402510911</stp>
        <tr r="G7" s="16"/>
      </tp>
      <tp t="s">
        <v>#N/A Requesting Data...3303397965</v>
        <stp/>
        <stp>BDP|1440775866201456872</stp>
        <tr r="I10" s="16"/>
      </tp>
      <tp t="s">
        <v>#N/A Requesting Data...3996081537</v>
        <stp/>
        <stp>BDP|2558557980072118785</stp>
        <tr r="I9" s="16"/>
      </tp>
      <tp t="s">
        <v>#N/A Requesting Data...3521743491</v>
        <stp/>
        <stp>BDP|9567764807640019488</stp>
        <tr r="D23" s="4"/>
      </tp>
      <tp t="s">
        <v>#N/A Requesting Data...2739110097</v>
        <stp/>
        <stp>BDP|6919533648008043579</stp>
        <tr r="J6" s="16"/>
      </tp>
      <tp t="s">
        <v>#N/A Requesting Data...3257088226</v>
        <stp/>
        <stp>BDP|9795865377547352559</stp>
        <tr r="H9" s="16"/>
      </tp>
      <tp t="s">
        <v>#N/A Requesting Data...4057556585</v>
        <stp/>
        <stp>BDP|3621777069803976439</stp>
        <tr r="D8" s="16"/>
      </tp>
      <tp t="s">
        <v>#N/A Requesting Data...3314007186</v>
        <stp/>
        <stp>BDP|2634117571192198044</stp>
        <tr r="E10" s="16"/>
      </tp>
      <tp t="s">
        <v>#N/A Requesting Data...1734999713</v>
        <stp/>
        <stp>BDP|4088085636931872034</stp>
        <tr r="H8" s="16"/>
      </tp>
      <tp t="s">
        <v>#N/A Requesting Data...2930697282</v>
        <stp/>
        <stp>BDP|3917812088037969338</stp>
        <tr r="I8" s="16"/>
      </tp>
      <tp t="s">
        <v>#N/A Requesting Data...2702369295</v>
        <stp/>
        <stp>BDP|8329996959595020626</stp>
        <tr r="G8" s="16"/>
      </tp>
      <tp t="s">
        <v>#N/A Requesting Data...1991740560</v>
        <stp/>
        <stp>BDP|9551902812626788049</stp>
        <tr r="E9" s="16"/>
      </tp>
      <tp t="s">
        <v>#N/A Requesting Data...2741190004</v>
        <stp/>
        <stp>BDP|4245519764736732652</stp>
        <tr r="D9" s="16"/>
      </tp>
      <tp t="s">
        <v>#N/A Requesting Data...1363088211</v>
        <stp/>
        <stp>BDP|2172564009019829930</stp>
        <tr r="H10" s="16"/>
      </tp>
      <tp t="s">
        <v>#N/A Requesting Data...1448171675</v>
        <stp/>
        <stp>BDP|1538312403986856411</stp>
        <tr r="G10" s="16"/>
      </tp>
      <tp t="s">
        <v>#N/A Requesting Data...3446280476</v>
        <stp/>
        <stp>BDP|3016032546861645645</stp>
        <tr r="L8" s="16"/>
      </tp>
      <tp t="s">
        <v>#N/A Requesting Data...2565668602</v>
        <stp/>
        <stp>BDP|4274184704243147681</stp>
        <tr r="E6" s="16"/>
      </tp>
      <tp t="s">
        <v>#N/A Requesting Data...2451703647</v>
        <stp/>
        <stp>BDP|5342164155427751487</stp>
        <tr r="I7" s="16"/>
      </tp>
      <tp t="s">
        <v>#N/A Requesting Data...2415576104</v>
        <stp/>
        <stp>BDP|2470954931023095833</stp>
        <tr r="J7" s="16"/>
      </tp>
      <tp t="s">
        <v>#N/A Requesting Data...3376259222</v>
        <stp/>
        <stp>BDP|808002419262414195</stp>
        <tr r="D7" s="16"/>
      </tp>
      <tp t="s">
        <v>#N/A Requesting Data...1795043831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NAV'!$A$1169:$A$1476</c:f>
              <c:numCache>
                <c:formatCode>[$-409]d\-mmm\-yy;@</c:formatCode>
                <c:ptCount val="308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  <c:pt idx="6">
                  <c:v>45667</c:v>
                </c:pt>
                <c:pt idx="7">
                  <c:v>45670</c:v>
                </c:pt>
              </c:numCache>
            </c:numRef>
          </c:cat>
          <c:val>
            <c:numRef>
              <c:f>'Historical NAV'!$N$1169:$N$1476</c:f>
              <c:numCache>
                <c:formatCode>0.00%;[Red]\(0.00%\)</c:formatCode>
                <c:ptCount val="308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  <c:pt idx="4">
                  <c:v>3.2769767761482882E-2</c:v>
                </c:pt>
                <c:pt idx="5">
                  <c:v>3.216395347352563E-2</c:v>
                </c:pt>
                <c:pt idx="6">
                  <c:v>-9.0576039841863132E-3</c:v>
                </c:pt>
                <c:pt idx="7">
                  <c:v>-3.0632388516009024E-2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NAV'!$A$2:$A$1476</c:f>
              <c:numCache>
                <c:formatCode>[$-409]d\-mmm\-yy;@</c:formatCode>
                <c:ptCount val="1475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  <c:pt idx="1171">
                  <c:v>45665</c:v>
                </c:pt>
                <c:pt idx="1172">
                  <c:v>45666</c:v>
                </c:pt>
                <c:pt idx="1173">
                  <c:v>45667</c:v>
                </c:pt>
                <c:pt idx="1174">
                  <c:v>45670</c:v>
                </c:pt>
              </c:numCache>
            </c:numRef>
          </c:cat>
          <c:val>
            <c:numRef>
              <c:f>'Historical NAV'!$M$2:$M$1476</c:f>
              <c:numCache>
                <c:formatCode>0.00%;[Red]\(0.00%\)</c:formatCode>
                <c:ptCount val="1475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  <c:pt idx="1171">
                  <c:v>0.64740944567221836</c:v>
                </c:pt>
                <c:pt idx="1172">
                  <c:v>0.6464430887827568</c:v>
                </c:pt>
                <c:pt idx="1173">
                  <c:v>0.58068905023421746</c:v>
                </c:pt>
                <c:pt idx="1174">
                  <c:v>0.54627430947054689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-514978.25</c:v>
                </c:pt>
                <c:pt idx="1">
                  <c:v>-229358.40999999968</c:v>
                </c:pt>
                <c:pt idx="2">
                  <c:v>-1060474.49</c:v>
                </c:pt>
                <c:pt idx="3">
                  <c:v>-225042.2</c:v>
                </c:pt>
                <c:pt idx="4">
                  <c:v>428171.98999999993</c:v>
                </c:pt>
                <c:pt idx="5">
                  <c:v>-268187.5</c:v>
                </c:pt>
                <c:pt idx="6">
                  <c:v>333339.28000000003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-514978.25</c:v>
                </c:pt>
                <c:pt idx="1">
                  <c:v>-229358.40999999968</c:v>
                </c:pt>
                <c:pt idx="2">
                  <c:v>-1060474.49</c:v>
                </c:pt>
                <c:pt idx="3">
                  <c:v>-225042.2</c:v>
                </c:pt>
                <c:pt idx="4">
                  <c:v>428171.98999999993</c:v>
                </c:pt>
                <c:pt idx="5">
                  <c:v>-268187.5</c:v>
                </c:pt>
                <c:pt idx="6">
                  <c:v>333339.28000000003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549089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zoomScale="85" zoomScaleNormal="85" workbookViewId="0">
      <selection activeCell="B5" sqref="B5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45670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315</v>
      </c>
      <c r="B4" s="8">
        <f ca="1">OFFSET('Historical NAV'!I1,COUNT('Historical NAV'!A:A),,,)</f>
        <v>-2.1771986564069066E-2</v>
      </c>
      <c r="D4" s="91"/>
      <c r="E4" s="92"/>
    </row>
    <row r="5" spans="1:23">
      <c r="A5" t="s">
        <v>66</v>
      </c>
      <c r="B5" s="8">
        <f ca="1">OFFSET('Historical NAV'!K1,COUNT('Historical NAV'!A:A),,,)</f>
        <v>-3.0632388516009024E-2</v>
      </c>
      <c r="E5" s="146"/>
    </row>
    <row r="6" spans="1:23">
      <c r="A6" t="s">
        <v>297</v>
      </c>
      <c r="B6" s="8">
        <f ca="1">OFFSET('Historical NAV'!N1,COUNT('Historical NAV'!A:A),,,)</f>
        <v>-3.0632388516009024E-2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-2.1771986564069066E-2</v>
      </c>
      <c r="D9" t="s">
        <v>188</v>
      </c>
      <c r="E9" s="146">
        <f ca="1">OFFSET('Historical NAV'!B1,COUNT('Historical NAV'!A:A),,,)</f>
        <v>60426206.230531901</v>
      </c>
    </row>
    <row r="10" spans="1:23">
      <c r="A10" t="s">
        <v>181</v>
      </c>
      <c r="B10" s="2">
        <f ca="1">E13/E9</f>
        <v>3.1988868952413543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-0.17683292670942496</v>
      </c>
      <c r="D11" t="s">
        <v>160</v>
      </c>
      <c r="E11" s="8">
        <f ca="1">E10/E9</f>
        <v>0.60003206177918011</v>
      </c>
    </row>
    <row r="12" spans="1:23">
      <c r="A12" t="s">
        <v>147</v>
      </c>
      <c r="B12" s="8">
        <f ca="1">OFFSET('Historical NAV'!T1,COUNT('Historical NAV'!A:A),,,)</f>
        <v>0.1387731795687184</v>
      </c>
    </row>
    <row r="13" spans="1:23">
      <c r="A13" t="s">
        <v>148</v>
      </c>
      <c r="B13" s="8">
        <f ca="1">OFFSET('Historical NAV'!V1,COUNT('Historical NAV'!A:A),,,)</f>
        <v>0.7128480665391066</v>
      </c>
      <c r="D13" s="99" t="s">
        <v>180</v>
      </c>
      <c r="E13" s="152">
        <f>K25</f>
        <v>193296599.23999998</v>
      </c>
    </row>
    <row r="14" spans="1:23">
      <c r="A14" t="s">
        <v>125</v>
      </c>
      <c r="B14" s="51">
        <f ca="1">OFFSET('Historical NAV'!W1,COUNT('Historical NAV'!A:A),,,)</f>
        <v>-1.5267693016177248</v>
      </c>
      <c r="D14" s="303">
        <v>5.0000000000000001E-3</v>
      </c>
      <c r="E14" s="123">
        <f>(D14*$E$13)/(1-D14)</f>
        <v>971339.69467336673</v>
      </c>
    </row>
    <row r="15" spans="1:23">
      <c r="A15" t="s">
        <v>144</v>
      </c>
      <c r="B15" s="51">
        <f ca="1">OFFSET('Historical NAV'!AB1,COUNT('Historical NAV'!A:A),,,)</f>
        <v>3.1478073961057969</v>
      </c>
      <c r="D15" s="303">
        <v>0.01</v>
      </c>
      <c r="E15" s="123">
        <f>(D15*$E$13)/(1-D15)</f>
        <v>1952490.9014141413</v>
      </c>
      <c r="F15" s="133"/>
    </row>
    <row r="16" spans="1:23">
      <c r="A16" t="s">
        <v>145</v>
      </c>
      <c r="B16" s="51">
        <f ca="1">OFFSET('Historical NAV'!P1,COUNT('Historical NAV'!A:A),,,)</f>
        <v>0.55278349721003928</v>
      </c>
      <c r="D16" s="303">
        <v>1.4999999999999999E-2</v>
      </c>
      <c r="E16" s="123">
        <f>(D16*$E$13)/(1-D16)</f>
        <v>2943603.0341116749</v>
      </c>
      <c r="F16" s="169"/>
    </row>
    <row r="17" spans="1:23">
      <c r="A17" t="s">
        <v>185</v>
      </c>
      <c r="B17" s="51">
        <f ca="1">OFFSET('Historical NAV'!AC1,COUNT('Historical NAV'!A:A),,,)</f>
        <v>-4.5796654173352221E-2</v>
      </c>
      <c r="D17" s="303">
        <v>0.05</v>
      </c>
      <c r="E17" s="123">
        <f>(D17*$E$13)/(1-D17)</f>
        <v>10173505.223157894</v>
      </c>
    </row>
    <row r="18" spans="1:23">
      <c r="A18" t="s">
        <v>186</v>
      </c>
      <c r="B18" s="51">
        <f ca="1">OFFSET('Historical NAV'!AD1,COUNT('Historical NAV'!A:A),,,)</f>
        <v>-3.8163505334544982E-2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-4.836228212888817E-2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299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25</v>
      </c>
      <c r="D24" s="94">
        <f>COUNTIF('Mark to Market'!$B$3:$B$1028,D23)</f>
        <v>27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45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130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73187918.579999998</v>
      </c>
      <c r="C25" s="102">
        <f>SUMIF('Mark to Market'!$B$3:$B$1028,C23,'Mark to Market'!$H$3:$H$1028)</f>
        <v>54740729</v>
      </c>
      <c r="D25" s="102">
        <f>SUMIF('Mark to Market'!$B$3:$B$1028,D23,'Mark to Market'!$H$3:$H$1028)</f>
        <v>19593416.890000001</v>
      </c>
      <c r="E25" s="102">
        <f>SUMIF('Mark to Market'!$B$3:$B$1028,E23,'Mark to Market'!$H$3:$H$1028)</f>
        <v>19176726.170000002</v>
      </c>
      <c r="F25" s="102">
        <f>SUMIF('Mark to Market'!$B$3:$B$1028,F23,'Mark to Market'!$H$3:$H$1028)</f>
        <v>25875898.940000001</v>
      </c>
      <c r="G25" s="102">
        <f>SUMIF('Mark to Market'!$B$3:$B$1028,G23,'Mark to Market'!$H$3:$H$1028)</f>
        <v>716535</v>
      </c>
      <c r="H25" s="102">
        <f>SUMIF('Mark to Market'!$B$3:$B$1028,H23,'Mark to Market'!$H$3:$H$1028)</f>
        <v>5374.6600000000008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193296599.23999998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73798104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10262438</v>
      </c>
      <c r="N25" s="35">
        <f>F25-M25</f>
        <v>15613460.940000001</v>
      </c>
    </row>
    <row r="26" spans="1:23">
      <c r="A26" s="99" t="s">
        <v>197</v>
      </c>
      <c r="B26" s="103">
        <f t="shared" ref="B26:J26" si="0">B25/$K$25</f>
        <v>0.37863014076687801</v>
      </c>
      <c r="C26" s="103">
        <f>C25/$K$25</f>
        <v>0.28319550998428628</v>
      </c>
      <c r="D26" s="103">
        <f>D25/$K$25</f>
        <v>0.10136451943302177</v>
      </c>
      <c r="E26" s="103">
        <f>E25/$K$25</f>
        <v>9.9208813012741565E-2</v>
      </c>
      <c r="F26" s="103">
        <f t="shared" si="0"/>
        <v>0.13386629170786443</v>
      </c>
      <c r="G26" s="103">
        <f t="shared" si="0"/>
        <v>3.7069198465842605E-3</v>
      </c>
      <c r="H26" s="103">
        <f t="shared" si="0"/>
        <v>2.7805248623783296E-5</v>
      </c>
      <c r="I26" s="103">
        <f t="shared" si="0"/>
        <v>0</v>
      </c>
      <c r="J26" s="103">
        <f t="shared" si="0"/>
        <v>0</v>
      </c>
      <c r="K26" s="103">
        <f>SUM(B26:J26)</f>
        <v>1.0000000000000002</v>
      </c>
      <c r="L26" s="103">
        <f>L25/$K$25</f>
        <v>0.38178687204098793</v>
      </c>
      <c r="M26" s="103">
        <f>M25/$K$25</f>
        <v>5.3091663486836631E-2</v>
      </c>
      <c r="N26" s="216">
        <f>F26-M26</f>
        <v>8.0774628221027794E-2</v>
      </c>
    </row>
    <row r="27" spans="1:23">
      <c r="A27" s="99" t="s">
        <v>196</v>
      </c>
      <c r="B27" s="165">
        <f ca="1">B25/$E$9</f>
        <v>1.2111949954425554</v>
      </c>
      <c r="C27" s="165">
        <f ca="1">C25/$E$9</f>
        <v>0.90591040567992553</v>
      </c>
      <c r="D27" s="165">
        <f ca="1">D25/$E$9</f>
        <v>0.32425363285673098</v>
      </c>
      <c r="E27" s="165">
        <f t="shared" ref="E27:K27" ca="1" si="1">E25/$E$9</f>
        <v>0.31735777183890895</v>
      </c>
      <c r="F27" s="165">
        <f t="shared" ca="1" si="1"/>
        <v>0.4282231262588439</v>
      </c>
      <c r="G27" s="165">
        <f t="shared" ca="1" si="1"/>
        <v>1.1858017318948482E-2</v>
      </c>
      <c r="H27" s="165">
        <f t="shared" ca="1" si="1"/>
        <v>8.8945845441548092E-5</v>
      </c>
      <c r="I27" s="165">
        <f t="shared" ca="1" si="1"/>
        <v>0</v>
      </c>
      <c r="J27" s="165">
        <f t="shared" ca="1" si="1"/>
        <v>0</v>
      </c>
      <c r="K27" s="165">
        <f t="shared" ca="1" si="1"/>
        <v>3.1988868952413543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123447.38</v>
      </c>
      <c r="C29" s="155">
        <f ca="1">OFFSET('Daily P&amp;L breakdown'!D1,COUNT('Daily P&amp;L breakdown'!$A:$A),,,)</f>
        <v>-1298384.46</v>
      </c>
      <c r="D29" s="155">
        <f ca="1">OFFSET('Daily P&amp;L breakdown'!C1,COUNT('Daily P&amp;L breakdown'!$A:$A),,,)</f>
        <v>-76042.03</v>
      </c>
      <c r="E29" s="155">
        <f ca="1">OFFSET('Daily P&amp;L breakdown'!E1,COUNT('Daily P&amp;L breakdown'!$A:$A),,,)</f>
        <v>-37861.120000000003</v>
      </c>
      <c r="F29" s="155">
        <f ca="1">OFFSET('Daily P&amp;L breakdown'!F1,COUNT('Daily P&amp;L breakdown'!$A:$A),,,)</f>
        <v>-165546.07</v>
      </c>
      <c r="G29" s="155">
        <f ca="1">OFFSET('Daily P&amp;L breakdown'!G1,COUNT('Daily P&amp;L breakdown'!$A:$A),,,)</f>
        <v>-35062.5</v>
      </c>
      <c r="H29" s="155">
        <f ca="1">OFFSET('Daily P&amp;L breakdown'!H1,COUNT('Daily P&amp;L breakdown'!$A:$A),,,)</f>
        <v>200153.05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-1289295.7500000002</v>
      </c>
      <c r="L29" s="213"/>
      <c r="M29" s="214"/>
      <c r="N29" s="214"/>
    </row>
    <row r="31" spans="1:23">
      <c r="A31" s="310" t="s">
        <v>152</v>
      </c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393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-514978.25</v>
      </c>
      <c r="C33" s="154">
        <f>SUMIFS('Daily P&amp;L breakdown'!D:D, 'Daily P&amp;L breakdown'!$A:$A, "&gt;=" &amp; EOMONTH($A33, -1) + 1, 'Daily P&amp;L breakdown'!$A:$A, "&lt;=" &amp; EOMONTH($A33, 0))</f>
        <v>-229358.40999999968</v>
      </c>
      <c r="D33" s="154">
        <f>SUMIFS('Daily P&amp;L breakdown'!C:C, 'Daily P&amp;L breakdown'!$A:$A, "&gt;=" &amp; EOMONTH($A33, -1) + 1, 'Daily P&amp;L breakdown'!$A:$A, "&lt;=" &amp; EOMONTH($A33, 0))</f>
        <v>-1060474.49</v>
      </c>
      <c r="E33" s="154">
        <f>SUMIFS('Daily P&amp;L breakdown'!E:E, 'Daily P&amp;L breakdown'!$A:$A, "&gt;=" &amp; EOMONTH($A33, -1) + 1, 'Daily P&amp;L breakdown'!$A:$A, "&lt;=" &amp; EOMONTH($A33, 0))</f>
        <v>-225042.2</v>
      </c>
      <c r="F33" s="154">
        <f>SUMIFS('Daily P&amp;L breakdown'!F:F, 'Daily P&amp;L breakdown'!$A:$A, "&gt;=" &amp; EOMONTH($A33, -1) + 1, 'Daily P&amp;L breakdown'!$A:$A, "&lt;=" &amp; EOMONTH($A33, 0))</f>
        <v>428171.98999999993</v>
      </c>
      <c r="G33" s="154">
        <f>SUMIFS('Daily P&amp;L breakdown'!G:G, 'Daily P&amp;L breakdown'!$A:$A, "&gt;=" &amp; EOMONTH($A33, -1) + 1, 'Daily P&amp;L breakdown'!$A:$A, "&lt;=" &amp; EOMONTH($A33, 0))</f>
        <v>-268187.5</v>
      </c>
      <c r="H33" s="154">
        <f>SUMIFS('Daily P&amp;L breakdown'!H:H, 'Daily P&amp;L breakdown'!$A:$A, "&gt;=" &amp; EOMONTH($A33, -1) + 1, 'Daily P&amp;L breakdown'!$A:$A, "&lt;=" &amp; EOMONTH($A33, 0))</f>
        <v>333339.28000000003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-498093.4153772</v>
      </c>
      <c r="K33" s="154">
        <f t="shared" ref="K33:K44" si="2">SUM(B33:J33)</f>
        <v>-2034622.9953771997</v>
      </c>
      <c r="L33" s="154">
        <f>SUM(Email!$T$9:$T$11)-K33</f>
        <v>65968.042947766837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395</v>
      </c>
      <c r="B45" s="164">
        <f t="shared" ref="B45:I45" si="3">SUM(B33:B44)</f>
        <v>-514978.25</v>
      </c>
      <c r="C45" s="164">
        <f>SUM(C33:C44)</f>
        <v>-229358.40999999968</v>
      </c>
      <c r="D45" s="164">
        <f>SUM(D33:D44)</f>
        <v>-1060474.49</v>
      </c>
      <c r="E45" s="164">
        <f t="shared" si="3"/>
        <v>-225042.2</v>
      </c>
      <c r="F45" s="164">
        <f t="shared" si="3"/>
        <v>428171.98999999993</v>
      </c>
      <c r="G45" s="164">
        <f t="shared" si="3"/>
        <v>-268187.5</v>
      </c>
      <c r="H45" s="164">
        <f t="shared" si="3"/>
        <v>333339.28000000003</v>
      </c>
      <c r="I45" s="164">
        <f t="shared" si="3"/>
        <v>0</v>
      </c>
      <c r="J45" s="164">
        <f>SUM(J33:J44)</f>
        <v>-498093.4153772</v>
      </c>
      <c r="K45" s="164">
        <f>SUM(K33:K44)</f>
        <v>-2034622.9953771997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10" t="s">
        <v>154</v>
      </c>
      <c r="B48" s="310"/>
      <c r="C48" s="310"/>
      <c r="D48" s="310"/>
      <c r="E48" s="310"/>
      <c r="F48" s="310"/>
      <c r="G48" s="310"/>
      <c r="H48" s="310"/>
      <c r="I48" s="310"/>
      <c r="J48" s="310"/>
      <c r="K48" s="310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-8.1412449864810658E-3</v>
      </c>
      <c r="C50" s="299">
        <f>C33/'Historical NAV'!$B$1169</f>
        <v>-3.6259065417224247E-3</v>
      </c>
      <c r="D50" s="299">
        <f>D33/'Historical NAV'!$B$1169</f>
        <v>-1.6764946140936179E-2</v>
      </c>
      <c r="E50" s="299">
        <f>E33/'Historical NAV'!$B$1169</f>
        <v>-3.5576719647803954E-3</v>
      </c>
      <c r="F50" s="299">
        <f>F33/'Historical NAV'!$B$1169</f>
        <v>6.7689326043170192E-3</v>
      </c>
      <c r="G50" s="299">
        <f>G33/'Historical NAV'!$B$1169</f>
        <v>-4.2397521445068625E-3</v>
      </c>
      <c r="H50" s="299">
        <f>H33/'Historical NAV'!$B$1169</f>
        <v>5.2697307936737303E-3</v>
      </c>
      <c r="I50" s="299">
        <f>I33/'Historical NAV'!$B$1169</f>
        <v>0</v>
      </c>
      <c r="J50" s="299">
        <f>J33/'Historical NAV'!$B$1169</f>
        <v>-7.8743141496536231E-3</v>
      </c>
      <c r="K50" s="299">
        <f>K33/'Historical NAV'!$B$1169</f>
        <v>-3.2165172530089797E-2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395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22"/>
  <sheetViews>
    <sheetView zoomScale="85" zoomScaleNormal="85" workbookViewId="0">
      <pane xSplit="1" ySplit="1" topLeftCell="B1153" activePane="bottomRight" state="frozen"/>
      <selection pane="topRight" activeCell="B1" sqref="B1"/>
      <selection pane="bottomLeft" activeCell="A2" sqref="A2"/>
      <selection pane="bottomRight" activeCell="H1178" sqref="H1178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314</v>
      </c>
      <c r="I1" s="128" t="s">
        <v>313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8">G910-X910</f>
        <v>-6.3473782246552188E-2</v>
      </c>
      <c r="Z910" s="139">
        <f t="shared" ref="Z910:Z973" si="159">IF(Y910&lt;0,Y910,0)</f>
        <v>-6.3473782246552188E-2</v>
      </c>
      <c r="AA910" s="139">
        <f t="shared" ref="AA910:AA973" si="160">Z910^2</f>
        <v>4.0289210326827241E-3</v>
      </c>
      <c r="AB910" s="144">
        <f t="shared" ref="AB910:AB973" si="161">AVERAGE(Y659:Y910)/AVERAGE(AA659:AA910)</f>
        <v>8.7012884371435515</v>
      </c>
      <c r="AC910" s="144">
        <f t="shared" ref="AC910:AC973" si="162">AVERAGE(G881:G910)-_xlfn.NORM.S.INV(0.95)*_xlfn.STDEV.S(G881:G910)</f>
        <v>-5.7913282446722635E-2</v>
      </c>
      <c r="AD910" s="144">
        <f t="shared" ref="AD910:AD973" si="163">AVERAGE(G821:G910)-_xlfn.NORM.S.INV(0.95)*_xlfn.STDEV.S(G821:G910)</f>
        <v>-4.4120407911699182E-2</v>
      </c>
      <c r="AE910" s="144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8"/>
        <v>-6.0231255081398233E-2</v>
      </c>
      <c r="Z911" s="139">
        <f t="shared" si="159"/>
        <v>-6.0231255081398233E-2</v>
      </c>
      <c r="AA911" s="139">
        <f t="shared" si="160"/>
        <v>3.6278040886804606E-3</v>
      </c>
      <c r="AB911" s="144">
        <f t="shared" si="161"/>
        <v>7.0897836188470125</v>
      </c>
      <c r="AC911" s="144">
        <f t="shared" si="162"/>
        <v>-6.3469883780326558E-2</v>
      </c>
      <c r="AD911" s="144">
        <f t="shared" si="163"/>
        <v>-4.6107566040296484E-2</v>
      </c>
      <c r="AE911" s="144">
        <f t="shared" si="164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5">4.5%/252</f>
        <v>1.7857142857142857E-4</v>
      </c>
      <c r="Y912" s="139">
        <f t="shared" si="158"/>
        <v>-8.9139955818648732E-3</v>
      </c>
      <c r="Z912" s="139">
        <f t="shared" si="159"/>
        <v>-8.9139955818648732E-3</v>
      </c>
      <c r="AA912" s="139">
        <f t="shared" si="160"/>
        <v>7.9459317233506485E-5</v>
      </c>
      <c r="AB912" s="144">
        <f t="shared" si="161"/>
        <v>7.0086610027689016</v>
      </c>
      <c r="AC912" s="144">
        <f t="shared" si="162"/>
        <v>-6.3931392382366586E-2</v>
      </c>
      <c r="AD912" s="144">
        <f t="shared" si="163"/>
        <v>-4.6287274862539585E-2</v>
      </c>
      <c r="AE912" s="144">
        <f t="shared" si="164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5"/>
        <v>1.7857142857142857E-4</v>
      </c>
      <c r="Y913" s="139">
        <f t="shared" si="158"/>
        <v>6.0970705378987297E-4</v>
      </c>
      <c r="Z913" s="139">
        <f t="shared" si="159"/>
        <v>0</v>
      </c>
      <c r="AA913" s="139">
        <f t="shared" si="160"/>
        <v>0</v>
      </c>
      <c r="AB913" s="144">
        <f t="shared" si="161"/>
        <v>6.9291722044828337</v>
      </c>
      <c r="AC913" s="144">
        <f t="shared" si="162"/>
        <v>-6.3783027039708506E-2</v>
      </c>
      <c r="AD913" s="144">
        <f t="shared" si="163"/>
        <v>-4.6272142704630176E-2</v>
      </c>
      <c r="AE913" s="144">
        <f t="shared" si="164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5"/>
        <v>1.7857142857142857E-4</v>
      </c>
      <c r="Y914" s="139">
        <f t="shared" si="158"/>
        <v>2.8496682570806054E-2</v>
      </c>
      <c r="Z914" s="139">
        <f t="shared" si="159"/>
        <v>0</v>
      </c>
      <c r="AA914" s="139">
        <f t="shared" si="160"/>
        <v>0</v>
      </c>
      <c r="AB914" s="144">
        <f t="shared" si="161"/>
        <v>7.5286779031822197</v>
      </c>
      <c r="AC914" s="144">
        <f t="shared" si="162"/>
        <v>-6.3200991071602E-2</v>
      </c>
      <c r="AD914" s="144">
        <f t="shared" si="163"/>
        <v>-4.6145540173811256E-2</v>
      </c>
      <c r="AE914" s="144">
        <f t="shared" si="164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5"/>
        <v>1.7857142857142857E-4</v>
      </c>
      <c r="Y915" s="139">
        <f t="shared" si="158"/>
        <v>-1.1387220644610419E-2</v>
      </c>
      <c r="Z915" s="139">
        <f t="shared" si="159"/>
        <v>-1.1387220644610419E-2</v>
      </c>
      <c r="AA915" s="139">
        <f t="shared" si="160"/>
        <v>1.2966879400904172E-4</v>
      </c>
      <c r="AB915" s="144">
        <f t="shared" si="161"/>
        <v>7.0504472094076567</v>
      </c>
      <c r="AC915" s="144">
        <f t="shared" si="162"/>
        <v>-6.41218790696024E-2</v>
      </c>
      <c r="AD915" s="144">
        <f t="shared" si="163"/>
        <v>-4.6291036691684606E-2</v>
      </c>
      <c r="AE915" s="144">
        <f t="shared" si="164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5"/>
        <v>1.7857142857142857E-4</v>
      </c>
      <c r="Y916" s="139">
        <f t="shared" si="158"/>
        <v>5.5128545579673774E-3</v>
      </c>
      <c r="Z916" s="139">
        <f t="shared" si="159"/>
        <v>0</v>
      </c>
      <c r="AA916" s="139">
        <f t="shared" si="160"/>
        <v>0</v>
      </c>
      <c r="AB916" s="144">
        <f t="shared" si="161"/>
        <v>6.8483163400451295</v>
      </c>
      <c r="AC916" s="144">
        <f t="shared" si="162"/>
        <v>-6.357102229902753E-2</v>
      </c>
      <c r="AD916" s="144">
        <f t="shared" si="163"/>
        <v>-4.5963377368330963E-2</v>
      </c>
      <c r="AE916" s="144">
        <f t="shared" si="164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5"/>
        <v>1.7857142857142857E-4</v>
      </c>
      <c r="Y917" s="139">
        <f t="shared" si="158"/>
        <v>-8.0231252022815239E-3</v>
      </c>
      <c r="Z917" s="139">
        <f t="shared" si="159"/>
        <v>-8.0231252022815239E-3</v>
      </c>
      <c r="AA917" s="139">
        <f t="shared" si="160"/>
        <v>6.437053801148494E-5</v>
      </c>
      <c r="AB917" s="144">
        <f t="shared" si="161"/>
        <v>6.6038904142900243</v>
      </c>
      <c r="AC917" s="144">
        <f t="shared" si="162"/>
        <v>-6.3794141846392469E-2</v>
      </c>
      <c r="AD917" s="144">
        <f t="shared" si="163"/>
        <v>-4.5967297476433439E-2</v>
      </c>
      <c r="AE917" s="144">
        <f t="shared" si="164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5"/>
        <v>1.7857142857142857E-4</v>
      </c>
      <c r="Y918" s="139">
        <f t="shared" si="158"/>
        <v>-5.315512259112188E-3</v>
      </c>
      <c r="Z918" s="139">
        <f t="shared" si="159"/>
        <v>-5.315512259112188E-3</v>
      </c>
      <c r="AA918" s="139">
        <f t="shared" si="160"/>
        <v>2.8254670576771958E-5</v>
      </c>
      <c r="AB918" s="144">
        <f t="shared" si="161"/>
        <v>6.5108385796554913</v>
      </c>
      <c r="AC918" s="144">
        <f t="shared" si="162"/>
        <v>-6.4689249143734764E-2</v>
      </c>
      <c r="AD918" s="144">
        <f t="shared" si="163"/>
        <v>-4.6095231289061782E-2</v>
      </c>
      <c r="AE918" s="144">
        <f t="shared" si="164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5"/>
        <v>1.7857142857142857E-4</v>
      </c>
      <c r="Y919" s="139">
        <f t="shared" si="158"/>
        <v>-7.4907719136200416E-4</v>
      </c>
      <c r="Z919" s="139">
        <f t="shared" si="159"/>
        <v>-7.4907719136200416E-4</v>
      </c>
      <c r="AA919" s="139">
        <f t="shared" si="160"/>
        <v>5.6111663861878861E-7</v>
      </c>
      <c r="AB919" s="144">
        <f t="shared" si="161"/>
        <v>6.0083548527650716</v>
      </c>
      <c r="AC919" s="144">
        <f t="shared" si="162"/>
        <v>-6.3099215220968521E-2</v>
      </c>
      <c r="AD919" s="144">
        <f t="shared" si="163"/>
        <v>-4.6236288452643208E-2</v>
      </c>
      <c r="AE919" s="144">
        <f t="shared" si="164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5"/>
        <v>1.7857142857142857E-4</v>
      </c>
      <c r="Y920" s="139">
        <f t="shared" si="158"/>
        <v>-2.0788210419834693E-2</v>
      </c>
      <c r="Z920" s="139">
        <f t="shared" si="159"/>
        <v>-2.0788210419834693E-2</v>
      </c>
      <c r="AA920" s="139">
        <f t="shared" si="160"/>
        <v>4.3214969245932371E-4</v>
      </c>
      <c r="AB920" s="144">
        <f t="shared" si="161"/>
        <v>5.5896575965356101</v>
      </c>
      <c r="AC920" s="144">
        <f t="shared" si="162"/>
        <v>-6.4778897399616453E-2</v>
      </c>
      <c r="AD920" s="144">
        <f t="shared" si="163"/>
        <v>-4.6270865602616937E-2</v>
      </c>
      <c r="AE920" s="144">
        <f t="shared" si="164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5"/>
        <v>1.7857142857142857E-4</v>
      </c>
      <c r="Y921" s="139">
        <f t="shared" si="158"/>
        <v>-1.2586303087684873E-2</v>
      </c>
      <c r="Z921" s="139">
        <f t="shared" si="159"/>
        <v>-1.2586303087684873E-2</v>
      </c>
      <c r="AA921" s="139">
        <f t="shared" si="160"/>
        <v>1.5841502541506577E-4</v>
      </c>
      <c r="AB921" s="144">
        <f t="shared" si="161"/>
        <v>6.0256006546913667</v>
      </c>
      <c r="AC921" s="144">
        <f t="shared" si="162"/>
        <v>-6.4531913188445714E-2</v>
      </c>
      <c r="AD921" s="144">
        <f t="shared" si="163"/>
        <v>-4.6538116479177979E-2</v>
      </c>
      <c r="AE921" s="144">
        <f t="shared" si="164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5"/>
        <v>1.7857142857142857E-4</v>
      </c>
      <c r="Y922" s="139">
        <f t="shared" si="158"/>
        <v>5.74281599180799E-3</v>
      </c>
      <c r="Z922" s="139">
        <f t="shared" si="159"/>
        <v>0</v>
      </c>
      <c r="AA922" s="139">
        <f t="shared" si="160"/>
        <v>0</v>
      </c>
      <c r="AB922" s="144">
        <f t="shared" si="161"/>
        <v>5.7684573989552934</v>
      </c>
      <c r="AC922" s="144">
        <f t="shared" si="162"/>
        <v>-6.4959497821427903E-2</v>
      </c>
      <c r="AD922" s="144">
        <f t="shared" si="163"/>
        <v>-4.6602626525068587E-2</v>
      </c>
      <c r="AE922" s="144">
        <f t="shared" si="164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5"/>
        <v>1.7857142857142857E-4</v>
      </c>
      <c r="Y923" s="139">
        <f t="shared" si="158"/>
        <v>2.3722810559260388E-2</v>
      </c>
      <c r="Z923" s="139">
        <f t="shared" si="159"/>
        <v>0</v>
      </c>
      <c r="AA923" s="139">
        <f t="shared" si="160"/>
        <v>0</v>
      </c>
      <c r="AB923" s="144">
        <f t="shared" si="161"/>
        <v>5.4677097869812741</v>
      </c>
      <c r="AC923" s="144">
        <f t="shared" si="162"/>
        <v>-6.467674944916299E-2</v>
      </c>
      <c r="AD923" s="144">
        <f t="shared" si="163"/>
        <v>-4.5716398044424816E-2</v>
      </c>
      <c r="AE923" s="144">
        <f t="shared" si="164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5"/>
        <v>1.7857142857142857E-4</v>
      </c>
      <c r="Y924" s="139">
        <f t="shared" si="158"/>
        <v>1.2350124522645674E-2</v>
      </c>
      <c r="Z924" s="139">
        <f t="shared" si="159"/>
        <v>0</v>
      </c>
      <c r="AA924" s="139">
        <f t="shared" si="160"/>
        <v>0</v>
      </c>
      <c r="AB924" s="144">
        <f t="shared" si="161"/>
        <v>5.0533181245168821</v>
      </c>
      <c r="AC924" s="144">
        <f t="shared" si="162"/>
        <v>-6.4727940736665185E-2</v>
      </c>
      <c r="AD924" s="144">
        <f t="shared" si="163"/>
        <v>-4.5548744312893796E-2</v>
      </c>
      <c r="AE924" s="144">
        <f t="shared" si="164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5"/>
        <v>1.7857142857142857E-4</v>
      </c>
      <c r="Y925" s="139">
        <f t="shared" si="158"/>
        <v>2.527954100243058E-3</v>
      </c>
      <c r="Z925" s="139">
        <f t="shared" si="159"/>
        <v>0</v>
      </c>
      <c r="AA925" s="139">
        <f t="shared" si="160"/>
        <v>0</v>
      </c>
      <c r="AB925" s="144">
        <f t="shared" si="161"/>
        <v>5.7726992168028266</v>
      </c>
      <c r="AC925" s="144">
        <f t="shared" si="162"/>
        <v>-6.523302373857387E-2</v>
      </c>
      <c r="AD925" s="144">
        <f t="shared" si="163"/>
        <v>-4.5444798463007537E-2</v>
      </c>
      <c r="AE925" s="144">
        <f t="shared" si="164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5"/>
        <v>1.7857142857142857E-4</v>
      </c>
      <c r="Y926" s="139">
        <f t="shared" si="158"/>
        <v>-6.2938722010968283E-3</v>
      </c>
      <c r="Z926" s="139">
        <f t="shared" si="159"/>
        <v>-6.2938722010968283E-3</v>
      </c>
      <c r="AA926" s="139">
        <f t="shared" si="160"/>
        <v>3.9612827283739431E-5</v>
      </c>
      <c r="AB926" s="144">
        <f t="shared" si="161"/>
        <v>6.0881952375052268</v>
      </c>
      <c r="AC926" s="144">
        <f t="shared" si="162"/>
        <v>-5.6297707488872778E-2</v>
      </c>
      <c r="AD926" s="144">
        <f t="shared" si="163"/>
        <v>-4.4993545690817142E-2</v>
      </c>
      <c r="AE926" s="144">
        <f t="shared" si="164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5"/>
        <v>1.7857142857142857E-4</v>
      </c>
      <c r="Y927" s="139">
        <f t="shared" si="158"/>
        <v>-9.1391668603997035E-3</v>
      </c>
      <c r="Z927" s="139">
        <f t="shared" si="159"/>
        <v>-9.1391668603997035E-3</v>
      </c>
      <c r="AA927" s="139">
        <f t="shared" si="160"/>
        <v>8.3524370902228169E-5</v>
      </c>
      <c r="AB927" s="144">
        <f t="shared" si="161"/>
        <v>5.5689490716958758</v>
      </c>
      <c r="AC927" s="144">
        <f t="shared" si="162"/>
        <v>-5.5812594424229985E-2</v>
      </c>
      <c r="AD927" s="144">
        <f t="shared" si="163"/>
        <v>-4.4146825361653506E-2</v>
      </c>
      <c r="AE927" s="144">
        <f t="shared" si="164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2">
        <f t="shared" si="165"/>
        <v>1.7857142857142857E-4</v>
      </c>
      <c r="Y928" s="139">
        <f t="shared" si="158"/>
        <v>-5.3335927590096579E-3</v>
      </c>
      <c r="Z928" s="139">
        <f t="shared" si="159"/>
        <v>-5.3335927590096579E-3</v>
      </c>
      <c r="AA928" s="139">
        <f t="shared" si="160"/>
        <v>2.8447211718960256E-5</v>
      </c>
      <c r="AB928" s="144">
        <f t="shared" si="161"/>
        <v>5.7911102367895273</v>
      </c>
      <c r="AC928" s="144">
        <f t="shared" si="162"/>
        <v>-5.5527573332180918E-2</v>
      </c>
      <c r="AD928" s="144">
        <f t="shared" si="163"/>
        <v>-4.4281601785617047E-2</v>
      </c>
      <c r="AE928" s="144">
        <f t="shared" si="164"/>
        <v>-3.5008680549556644E-2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2">
        <f t="shared" si="165"/>
        <v>1.7857142857142857E-4</v>
      </c>
      <c r="Y929" s="139">
        <f t="shared" si="158"/>
        <v>2.891681516665736E-2</v>
      </c>
      <c r="Z929" s="139">
        <f t="shared" si="159"/>
        <v>0</v>
      </c>
      <c r="AA929" s="139">
        <f t="shared" si="160"/>
        <v>0</v>
      </c>
      <c r="AB929" s="144">
        <f t="shared" si="161"/>
        <v>6.672611237702708</v>
      </c>
      <c r="AC929" s="144">
        <f t="shared" si="162"/>
        <v>-5.5548792907093525E-2</v>
      </c>
      <c r="AD929" s="144">
        <f t="shared" si="163"/>
        <v>-4.4180895652827901E-2</v>
      </c>
      <c r="AE929" s="144">
        <f t="shared" si="164"/>
        <v>-3.4938304993747935E-2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2">
        <f t="shared" si="165"/>
        <v>1.7857142857142857E-4</v>
      </c>
      <c r="Y930" s="139">
        <f t="shared" si="158"/>
        <v>-3.7608070167969567E-3</v>
      </c>
      <c r="Z930" s="139">
        <f t="shared" si="159"/>
        <v>-3.7608070167969567E-3</v>
      </c>
      <c r="AA930" s="139">
        <f t="shared" si="160"/>
        <v>1.4143669417589225E-5</v>
      </c>
      <c r="AB930" s="144">
        <f t="shared" si="161"/>
        <v>6.8040210993697228</v>
      </c>
      <c r="AC930" s="144">
        <f t="shared" si="162"/>
        <v>-5.4526650831508511E-2</v>
      </c>
      <c r="AD930" s="144">
        <f t="shared" si="163"/>
        <v>-4.3711697751237608E-2</v>
      </c>
      <c r="AE930" s="144">
        <f t="shared" si="164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-4.0974236783851428</v>
      </c>
      <c r="X931" s="143">
        <f t="shared" si="165"/>
        <v>1.7857142857142857E-4</v>
      </c>
      <c r="Y931" s="140">
        <f t="shared" si="158"/>
        <v>-2.9341466852789544E-2</v>
      </c>
      <c r="Z931" s="140">
        <f t="shared" si="159"/>
        <v>-2.9341466852789544E-2</v>
      </c>
      <c r="AA931" s="140">
        <f t="shared" si="160"/>
        <v>8.6092167707334754E-4</v>
      </c>
      <c r="AB931" s="145">
        <f t="shared" si="161"/>
        <v>5.8372450714821271</v>
      </c>
      <c r="AC931" s="145">
        <f t="shared" si="162"/>
        <v>-4.676662570212238E-2</v>
      </c>
      <c r="AD931" s="145">
        <f t="shared" si="163"/>
        <v>-4.4458202239178492E-2</v>
      </c>
      <c r="AE931" s="145">
        <f t="shared" si="164"/>
        <v>-3.5066651330024338E-2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2">
        <f t="shared" si="165"/>
        <v>1.7857142857142857E-4</v>
      </c>
      <c r="Y932" s="139">
        <f t="shared" si="158"/>
        <v>1.6035628247086417E-2</v>
      </c>
      <c r="Z932" s="139">
        <f t="shared" si="159"/>
        <v>0</v>
      </c>
      <c r="AA932" s="139">
        <f t="shared" si="160"/>
        <v>0</v>
      </c>
      <c r="AB932" s="144">
        <f t="shared" si="161"/>
        <v>5.9834943377964214</v>
      </c>
      <c r="AC932" s="144">
        <f t="shared" si="162"/>
        <v>-4.3851118213630781E-2</v>
      </c>
      <c r="AD932" s="144">
        <f t="shared" si="163"/>
        <v>-4.4411764794122656E-2</v>
      </c>
      <c r="AE932" s="144">
        <f t="shared" si="164"/>
        <v>-3.5048938334142181E-2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2">
        <f t="shared" si="165"/>
        <v>1.7857142857142857E-4</v>
      </c>
      <c r="Y933" s="139">
        <f t="shared" si="158"/>
        <v>-4.5102141191542709E-3</v>
      </c>
      <c r="Z933" s="139">
        <f t="shared" si="159"/>
        <v>-4.5102141191542709E-3</v>
      </c>
      <c r="AA933" s="139">
        <f t="shared" si="160"/>
        <v>2.0342031400618535E-5</v>
      </c>
      <c r="AB933" s="144">
        <f t="shared" si="161"/>
        <v>5.8571653615885229</v>
      </c>
      <c r="AC933" s="144">
        <f t="shared" si="162"/>
        <v>-4.4135669012037172E-2</v>
      </c>
      <c r="AD933" s="144">
        <f t="shared" si="163"/>
        <v>-4.4428944888575107E-2</v>
      </c>
      <c r="AE933" s="144">
        <f t="shared" si="164"/>
        <v>-3.5075146649033627E-2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2">
        <f t="shared" si="165"/>
        <v>1.7857142857142857E-4</v>
      </c>
      <c r="Y934" s="139">
        <f t="shared" si="158"/>
        <v>-2.946737167563046E-2</v>
      </c>
      <c r="Z934" s="139">
        <f t="shared" si="159"/>
        <v>-2.946737167563046E-2</v>
      </c>
      <c r="AA934" s="139">
        <f t="shared" si="160"/>
        <v>8.6832599346974829E-4</v>
      </c>
      <c r="AB934" s="144">
        <f t="shared" si="161"/>
        <v>6.0040464796888067</v>
      </c>
      <c r="AC934" s="144">
        <f t="shared" si="162"/>
        <v>-4.5821370655977994E-2</v>
      </c>
      <c r="AD934" s="144">
        <f t="shared" si="163"/>
        <v>-4.5137300674722144E-2</v>
      </c>
      <c r="AE934" s="144">
        <f t="shared" si="164"/>
        <v>-3.5236550683913806E-2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2">
        <f t="shared" si="165"/>
        <v>1.7857142857142857E-4</v>
      </c>
      <c r="Y935" s="139">
        <f t="shared" si="158"/>
        <v>1.2307388688547898E-2</v>
      </c>
      <c r="Z935" s="139">
        <f t="shared" si="159"/>
        <v>0</v>
      </c>
      <c r="AA935" s="139">
        <f t="shared" si="160"/>
        <v>0</v>
      </c>
      <c r="AB935" s="144">
        <f t="shared" si="161"/>
        <v>6.5895954072785168</v>
      </c>
      <c r="AC935" s="144">
        <f t="shared" si="162"/>
        <v>-4.4412220377766327E-2</v>
      </c>
      <c r="AD935" s="144">
        <f t="shared" si="163"/>
        <v>-4.4171221370128563E-2</v>
      </c>
      <c r="AE935" s="144">
        <f t="shared" si="164"/>
        <v>-3.5234986407656502E-2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2">
        <f t="shared" si="165"/>
        <v>1.7857142857142857E-4</v>
      </c>
      <c r="Y936" s="139">
        <f t="shared" si="158"/>
        <v>5.0755819898099961E-3</v>
      </c>
      <c r="Z936" s="139">
        <f t="shared" si="159"/>
        <v>0</v>
      </c>
      <c r="AA936" s="139">
        <f t="shared" si="160"/>
        <v>0</v>
      </c>
      <c r="AB936" s="144">
        <f t="shared" si="161"/>
        <v>6.6953605231082598</v>
      </c>
      <c r="AC936" s="144">
        <f t="shared" si="162"/>
        <v>-4.3202493551122712E-2</v>
      </c>
      <c r="AD936" s="144">
        <f t="shared" si="163"/>
        <v>-4.4250322459552023E-2</v>
      </c>
      <c r="AE936" s="144">
        <f t="shared" si="164"/>
        <v>-3.4392667124521048E-2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2">
        <f t="shared" si="165"/>
        <v>1.7857142857142857E-4</v>
      </c>
      <c r="Y937" s="139">
        <f t="shared" si="158"/>
        <v>-1.1832716792248359E-2</v>
      </c>
      <c r="Z937" s="139">
        <f t="shared" si="159"/>
        <v>-1.1832716792248359E-2</v>
      </c>
      <c r="AA937" s="139">
        <f t="shared" si="160"/>
        <v>1.4001318668555629E-4</v>
      </c>
      <c r="AB937" s="144">
        <f t="shared" si="161"/>
        <v>7.3039842871822307</v>
      </c>
      <c r="AC937" s="144">
        <f t="shared" si="162"/>
        <v>-4.3014965594802529E-2</v>
      </c>
      <c r="AD937" s="144">
        <f t="shared" si="163"/>
        <v>-4.4289100584044144E-2</v>
      </c>
      <c r="AE937" s="144">
        <f t="shared" si="164"/>
        <v>-3.4461796274452533E-2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2">
        <f t="shared" si="165"/>
        <v>1.7857142857142857E-4</v>
      </c>
      <c r="Y938" s="139">
        <f t="shared" si="158"/>
        <v>-2.5618017711488495E-3</v>
      </c>
      <c r="Z938" s="139">
        <f t="shared" si="159"/>
        <v>-2.5618017711488495E-3</v>
      </c>
      <c r="AA938" s="139">
        <f t="shared" si="160"/>
        <v>6.562828314661382E-6</v>
      </c>
      <c r="AB938" s="144">
        <f t="shared" si="161"/>
        <v>7.270674995554872</v>
      </c>
      <c r="AC938" s="144">
        <f t="shared" si="162"/>
        <v>-3.9340419330024107E-2</v>
      </c>
      <c r="AD938" s="144">
        <f t="shared" si="163"/>
        <v>-4.4383620741443211E-2</v>
      </c>
      <c r="AE938" s="144">
        <f t="shared" si="164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2">
        <f t="shared" si="165"/>
        <v>1.7857142857142857E-4</v>
      </c>
      <c r="Y939" s="139">
        <f t="shared" si="158"/>
        <v>8.2347028507285293E-3</v>
      </c>
      <c r="Z939" s="139">
        <f t="shared" si="159"/>
        <v>0</v>
      </c>
      <c r="AA939" s="139">
        <f t="shared" si="160"/>
        <v>0</v>
      </c>
      <c r="AB939" s="144">
        <f t="shared" si="161"/>
        <v>7.2037111112886985</v>
      </c>
      <c r="AC939" s="144">
        <f t="shared" si="162"/>
        <v>-3.9257527055421494E-2</v>
      </c>
      <c r="AD939" s="144">
        <f t="shared" si="163"/>
        <v>-4.4361432792836782E-2</v>
      </c>
      <c r="AE939" s="144">
        <f t="shared" si="164"/>
        <v>-3.4303966630021415E-2</v>
      </c>
    </row>
    <row r="940" spans="1:31">
      <c r="A940" s="88">
        <v>45335</v>
      </c>
      <c r="B940" s="132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2">
        <f t="shared" si="165"/>
        <v>1.7857142857142857E-4</v>
      </c>
      <c r="Y940" s="139">
        <f t="shared" si="158"/>
        <v>-2.2395162737336063E-2</v>
      </c>
      <c r="Z940" s="139">
        <f t="shared" si="159"/>
        <v>-2.2395162737336063E-2</v>
      </c>
      <c r="AA940" s="139">
        <f t="shared" si="160"/>
        <v>5.0154331403176567E-4</v>
      </c>
      <c r="AB940" s="144">
        <f t="shared" si="161"/>
        <v>7.0830311942313013</v>
      </c>
      <c r="AC940" s="144">
        <f t="shared" si="162"/>
        <v>-3.3287261908268771E-2</v>
      </c>
      <c r="AD940" s="144">
        <f t="shared" si="163"/>
        <v>-4.490055959373504E-2</v>
      </c>
      <c r="AE940" s="144">
        <f t="shared" si="164"/>
        <v>-3.4434512828670237E-2</v>
      </c>
    </row>
    <row r="941" spans="1:31">
      <c r="A941" s="88">
        <v>45336</v>
      </c>
      <c r="B941" s="132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2">
        <f t="shared" si="165"/>
        <v>1.7857142857142857E-4</v>
      </c>
      <c r="Y941" s="139">
        <f t="shared" si="158"/>
        <v>2.0277302256378665E-2</v>
      </c>
      <c r="Z941" s="139">
        <f t="shared" si="159"/>
        <v>0</v>
      </c>
      <c r="AA941" s="139">
        <f t="shared" si="160"/>
        <v>0</v>
      </c>
      <c r="AB941" s="144">
        <f t="shared" si="161"/>
        <v>7.336318305409228</v>
      </c>
      <c r="AC941" s="144">
        <f t="shared" si="162"/>
        <v>-2.5736447536456371E-2</v>
      </c>
      <c r="AD941" s="144">
        <f t="shared" si="163"/>
        <v>-4.4869541197054323E-2</v>
      </c>
      <c r="AE941" s="144">
        <f t="shared" si="164"/>
        <v>-3.4389577672854235E-2</v>
      </c>
    </row>
    <row r="942" spans="1:31">
      <c r="A942" s="88">
        <v>45337</v>
      </c>
      <c r="B942" s="132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2">
        <f t="shared" si="165"/>
        <v>1.7857142857142857E-4</v>
      </c>
      <c r="Y942" s="139">
        <f t="shared" si="158"/>
        <v>1.1215725430866819E-2</v>
      </c>
      <c r="Z942" s="139">
        <f t="shared" si="159"/>
        <v>0</v>
      </c>
      <c r="AA942" s="139">
        <f t="shared" si="160"/>
        <v>0</v>
      </c>
      <c r="AB942" s="144">
        <f t="shared" si="161"/>
        <v>7.611073879205045</v>
      </c>
      <c r="AC942" s="144">
        <f t="shared" si="162"/>
        <v>-2.5182240784489145E-2</v>
      </c>
      <c r="AD942" s="144">
        <f t="shared" si="163"/>
        <v>-4.4658789032274666E-2</v>
      </c>
      <c r="AE942" s="144">
        <f t="shared" si="164"/>
        <v>-3.4301710710188761E-2</v>
      </c>
    </row>
    <row r="943" spans="1:31">
      <c r="A943" s="88">
        <v>45338</v>
      </c>
      <c r="B943" s="132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2">
        <f t="shared" si="165"/>
        <v>1.7857142857142857E-4</v>
      </c>
      <c r="Y943" s="139">
        <f t="shared" si="158"/>
        <v>1.0477577831733698E-3</v>
      </c>
      <c r="Z943" s="139">
        <f t="shared" si="159"/>
        <v>0</v>
      </c>
      <c r="AA943" s="139">
        <f t="shared" si="160"/>
        <v>0</v>
      </c>
      <c r="AB943" s="144">
        <f t="shared" si="161"/>
        <v>7.8369708608281732</v>
      </c>
      <c r="AC943" s="144">
        <f t="shared" si="162"/>
        <v>-2.5169099585360837E-2</v>
      </c>
      <c r="AD943" s="144">
        <f t="shared" si="163"/>
        <v>-4.4276919199908289E-2</v>
      </c>
      <c r="AE943" s="144">
        <f t="shared" si="164"/>
        <v>-3.4253266905543429E-2</v>
      </c>
    </row>
    <row r="944" spans="1:31">
      <c r="A944" s="88">
        <v>45342</v>
      </c>
      <c r="B944" s="132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2">
        <f t="shared" si="165"/>
        <v>1.7857142857142857E-4</v>
      </c>
      <c r="Y944" s="139">
        <f t="shared" si="158"/>
        <v>-6.1981436356908009E-3</v>
      </c>
      <c r="Z944" s="139">
        <f t="shared" si="159"/>
        <v>-6.1981436356908009E-3</v>
      </c>
      <c r="AA944" s="139">
        <f t="shared" si="160"/>
        <v>3.8416984528654382E-5</v>
      </c>
      <c r="AB944" s="144">
        <f t="shared" si="161"/>
        <v>7.4851686515949041</v>
      </c>
      <c r="AC944" s="144">
        <f t="shared" si="162"/>
        <v>-2.4767374846209896E-2</v>
      </c>
      <c r="AD944" s="144">
        <f t="shared" si="163"/>
        <v>-4.4502406788055886E-2</v>
      </c>
      <c r="AE944" s="144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2">
        <f t="shared" si="165"/>
        <v>1.7857142857142857E-4</v>
      </c>
      <c r="Y945" s="139">
        <f t="shared" si="158"/>
        <v>-1.0994083812264173E-2</v>
      </c>
      <c r="Z945" s="139">
        <f t="shared" si="159"/>
        <v>-1.0994083812264173E-2</v>
      </c>
      <c r="AA945" s="139">
        <f t="shared" si="160"/>
        <v>1.2086987887108912E-4</v>
      </c>
      <c r="AB945" s="144">
        <f t="shared" si="161"/>
        <v>6.7178388627908161</v>
      </c>
      <c r="AC945" s="144">
        <f t="shared" si="162"/>
        <v>-2.4738845149612537E-2</v>
      </c>
      <c r="AD945" s="144">
        <f t="shared" si="163"/>
        <v>-4.4583305290924746E-2</v>
      </c>
      <c r="AE945" s="144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2">
        <f t="shared" si="165"/>
        <v>1.7857142857142857E-4</v>
      </c>
      <c r="Y946" s="139">
        <f t="shared" si="158"/>
        <v>2.1060330030299966E-2</v>
      </c>
      <c r="Z946" s="139">
        <f t="shared" si="159"/>
        <v>0</v>
      </c>
      <c r="AA946" s="139">
        <f t="shared" si="160"/>
        <v>0</v>
      </c>
      <c r="AB946" s="144">
        <f t="shared" si="161"/>
        <v>7.0654518366840549</v>
      </c>
      <c r="AC946" s="144">
        <f t="shared" si="162"/>
        <v>-2.5076321069589215E-2</v>
      </c>
      <c r="AD946" s="144">
        <f t="shared" si="163"/>
        <v>-4.3941531272326903E-2</v>
      </c>
      <c r="AE946" s="144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2">
        <f t="shared" si="165"/>
        <v>1.7857142857142857E-4</v>
      </c>
      <c r="Y947" s="139">
        <f t="shared" si="158"/>
        <v>-1.0359647165081611E-3</v>
      </c>
      <c r="Z947" s="139">
        <f t="shared" si="159"/>
        <v>-1.0359647165081611E-3</v>
      </c>
      <c r="AA947" s="139">
        <f t="shared" si="160"/>
        <v>1.0732228938498346E-6</v>
      </c>
      <c r="AB947" s="144">
        <f t="shared" si="161"/>
        <v>7.4977608569536605</v>
      </c>
      <c r="AC947" s="144">
        <f t="shared" si="162"/>
        <v>-2.4738268815693108E-2</v>
      </c>
      <c r="AD947" s="144">
        <f t="shared" si="163"/>
        <v>-4.3596760075896149E-2</v>
      </c>
      <c r="AE947" s="144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2">
        <f t="shared" si="165"/>
        <v>1.7857142857142857E-4</v>
      </c>
      <c r="Y948" s="139">
        <f t="shared" si="158"/>
        <v>-1.0693167861930277E-2</v>
      </c>
      <c r="Z948" s="139">
        <f t="shared" si="159"/>
        <v>-1.0693167861930277E-2</v>
      </c>
      <c r="AA948" s="139">
        <f t="shared" si="160"/>
        <v>1.1434383892341854E-4</v>
      </c>
      <c r="AB948" s="144">
        <f t="shared" si="161"/>
        <v>7.2685756135469441</v>
      </c>
      <c r="AC948" s="144">
        <f t="shared" si="162"/>
        <v>-2.5069979832799863E-2</v>
      </c>
      <c r="AD948" s="144">
        <f t="shared" si="163"/>
        <v>-4.3072192353358296E-2</v>
      </c>
      <c r="AE948" s="144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2">
        <f t="shared" si="165"/>
        <v>1.7857142857142857E-4</v>
      </c>
      <c r="Y949" s="139">
        <f t="shared" si="158"/>
        <v>-2.3463052572196543E-3</v>
      </c>
      <c r="Z949" s="139">
        <f t="shared" si="159"/>
        <v>-2.3463052572196543E-3</v>
      </c>
      <c r="AA949" s="139">
        <f t="shared" si="160"/>
        <v>5.5051483600565887E-6</v>
      </c>
      <c r="AB949" s="144">
        <f t="shared" si="161"/>
        <v>7.7873150226622236</v>
      </c>
      <c r="AC949" s="144">
        <f t="shared" si="162"/>
        <v>-2.5128561938322375E-2</v>
      </c>
      <c r="AD949" s="144">
        <f t="shared" si="163"/>
        <v>-4.314396208341556E-2</v>
      </c>
      <c r="AE949" s="144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2">
        <f t="shared" si="165"/>
        <v>1.7857142857142857E-4</v>
      </c>
      <c r="Y950" s="139">
        <f t="shared" si="158"/>
        <v>-7.2779096240366895E-3</v>
      </c>
      <c r="Z950" s="139">
        <f t="shared" si="159"/>
        <v>-7.2779096240366895E-3</v>
      </c>
      <c r="AA950" s="139">
        <f t="shared" si="160"/>
        <v>5.2967968495645867E-5</v>
      </c>
      <c r="AB950" s="144">
        <f t="shared" si="161"/>
        <v>7.9379375875176557</v>
      </c>
      <c r="AC950" s="144">
        <f t="shared" si="162"/>
        <v>-2.3973462155542899E-2</v>
      </c>
      <c r="AD950" s="144">
        <f t="shared" si="163"/>
        <v>-4.3402079060762447E-2</v>
      </c>
      <c r="AE950" s="144">
        <f t="shared" si="164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-2.7172387638634068</v>
      </c>
      <c r="X951" s="143">
        <f t="shared" si="165"/>
        <v>1.7857142857142857E-4</v>
      </c>
      <c r="Y951" s="140">
        <f t="shared" si="158"/>
        <v>5.7055892542576302E-3</v>
      </c>
      <c r="Z951" s="140">
        <f t="shared" si="159"/>
        <v>0</v>
      </c>
      <c r="AA951" s="140">
        <f t="shared" si="160"/>
        <v>0</v>
      </c>
      <c r="AB951" s="145">
        <f t="shared" si="161"/>
        <v>8.0329323976571825</v>
      </c>
      <c r="AC951" s="145">
        <f t="shared" si="162"/>
        <v>-2.3112361046083028E-2</v>
      </c>
      <c r="AD951" s="145">
        <f t="shared" si="163"/>
        <v>-4.2053174769526844E-2</v>
      </c>
      <c r="AE951" s="145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2">
        <f t="shared" si="165"/>
        <v>1.7857142857142857E-4</v>
      </c>
      <c r="Y952" s="139">
        <f t="shared" si="158"/>
        <v>3.6637110904764396E-2</v>
      </c>
      <c r="Z952" s="139">
        <f t="shared" si="159"/>
        <v>0</v>
      </c>
      <c r="AA952" s="139">
        <f t="shared" si="160"/>
        <v>0</v>
      </c>
      <c r="AB952" s="144">
        <f t="shared" si="161"/>
        <v>8.266380113851346</v>
      </c>
      <c r="AC952" s="144">
        <f t="shared" si="162"/>
        <v>-2.4439121844878186E-2</v>
      </c>
      <c r="AD952" s="144">
        <f t="shared" si="163"/>
        <v>-4.0906499055082139E-2</v>
      </c>
      <c r="AE952" s="144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2">
        <f t="shared" si="165"/>
        <v>1.7857142857142857E-4</v>
      </c>
      <c r="Y953" s="139">
        <f t="shared" si="158"/>
        <v>9.4851118899544756E-3</v>
      </c>
      <c r="Z953" s="139">
        <f t="shared" si="159"/>
        <v>0</v>
      </c>
      <c r="AA953" s="139">
        <f t="shared" si="160"/>
        <v>0</v>
      </c>
      <c r="AB953" s="144">
        <f t="shared" si="161"/>
        <v>8.4240219704263293</v>
      </c>
      <c r="AC953" s="144">
        <f t="shared" si="162"/>
        <v>-2.4112870216956409E-2</v>
      </c>
      <c r="AD953" s="144">
        <f t="shared" si="163"/>
        <v>-4.0903244717206903E-2</v>
      </c>
      <c r="AE953" s="144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2">
        <f t="shared" si="165"/>
        <v>1.7857142857142857E-4</v>
      </c>
      <c r="Y954" s="139">
        <f t="shared" si="158"/>
        <v>-1.8314886561022245E-2</v>
      </c>
      <c r="Z954" s="139">
        <f t="shared" si="159"/>
        <v>-1.8314886561022245E-2</v>
      </c>
      <c r="AA954" s="139">
        <f t="shared" si="160"/>
        <v>3.3543506974311322E-4</v>
      </c>
      <c r="AB954" s="144">
        <f t="shared" si="161"/>
        <v>7.3654891490387815</v>
      </c>
      <c r="AC954" s="144">
        <f t="shared" si="162"/>
        <v>-2.5517281162816562E-2</v>
      </c>
      <c r="AD954" s="144">
        <f t="shared" si="163"/>
        <v>-4.1432719944686419E-2</v>
      </c>
      <c r="AE954" s="144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2">
        <f t="shared" si="165"/>
        <v>1.7857142857142857E-4</v>
      </c>
      <c r="Y955" s="139">
        <f t="shared" si="158"/>
        <v>2.6794954786550716E-2</v>
      </c>
      <c r="Z955" s="139">
        <f t="shared" si="159"/>
        <v>0</v>
      </c>
      <c r="AA955" s="139">
        <f t="shared" si="160"/>
        <v>0</v>
      </c>
      <c r="AB955" s="144">
        <f t="shared" si="161"/>
        <v>8.0634070548989811</v>
      </c>
      <c r="AC955" s="144">
        <f t="shared" si="162"/>
        <v>-2.5948111716303526E-2</v>
      </c>
      <c r="AD955" s="144">
        <f t="shared" si="163"/>
        <v>-4.1405411821555174E-2</v>
      </c>
      <c r="AE955" s="144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2">
        <f t="shared" si="165"/>
        <v>1.7857142857142857E-4</v>
      </c>
      <c r="Y956" s="139">
        <f t="shared" si="158"/>
        <v>2.6842686006073181E-2</v>
      </c>
      <c r="Z956" s="139">
        <f t="shared" si="159"/>
        <v>0</v>
      </c>
      <c r="AA956" s="139">
        <f t="shared" si="160"/>
        <v>0</v>
      </c>
      <c r="AB956" s="144">
        <f t="shared" si="161"/>
        <v>8.5274496647758475</v>
      </c>
      <c r="AC956" s="144">
        <f t="shared" si="162"/>
        <v>-2.5862389639895299E-2</v>
      </c>
      <c r="AD956" s="144">
        <f t="shared" si="163"/>
        <v>-4.1354250152934431E-2</v>
      </c>
      <c r="AE956" s="144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2">
        <f t="shared" si="165"/>
        <v>1.7857142857142857E-4</v>
      </c>
      <c r="Y957" s="139">
        <f t="shared" si="158"/>
        <v>-1.7794067168912239E-2</v>
      </c>
      <c r="Z957" s="139">
        <f t="shared" si="159"/>
        <v>-1.7794067168912239E-2</v>
      </c>
      <c r="AA957" s="139">
        <f t="shared" si="160"/>
        <v>3.1662882641176043E-4</v>
      </c>
      <c r="AB957" s="144">
        <f t="shared" si="161"/>
        <v>8.1143612035754185</v>
      </c>
      <c r="AC957" s="144">
        <f t="shared" si="162"/>
        <v>-2.6586260861807685E-2</v>
      </c>
      <c r="AD957" s="144">
        <f t="shared" si="163"/>
        <v>-4.1785076168458134E-2</v>
      </c>
      <c r="AE957" s="144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2">
        <f t="shared" si="165"/>
        <v>1.7857142857142857E-4</v>
      </c>
      <c r="Y958" s="139">
        <f t="shared" si="158"/>
        <v>-2.6688114585070762E-2</v>
      </c>
      <c r="Z958" s="139">
        <f t="shared" si="159"/>
        <v>-2.6688114585070762E-2</v>
      </c>
      <c r="AA958" s="139">
        <f t="shared" si="160"/>
        <v>7.1225546010586667E-4</v>
      </c>
      <c r="AB958" s="144">
        <f t="shared" si="161"/>
        <v>7.7256711389105188</v>
      </c>
      <c r="AC958" s="144">
        <f t="shared" si="162"/>
        <v>-2.8483151606661983E-2</v>
      </c>
      <c r="AD958" s="144">
        <f t="shared" si="163"/>
        <v>-4.2524121371315164E-2</v>
      </c>
      <c r="AE958" s="144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2">
        <f t="shared" si="165"/>
        <v>1.7857142857142857E-4</v>
      </c>
      <c r="Y959" s="139">
        <f t="shared" si="158"/>
        <v>3.1031620600829327E-2</v>
      </c>
      <c r="Z959" s="139">
        <f t="shared" si="159"/>
        <v>0</v>
      </c>
      <c r="AA959" s="139">
        <f t="shared" si="160"/>
        <v>0</v>
      </c>
      <c r="AB959" s="144">
        <f t="shared" si="161"/>
        <v>7.8601378592814291</v>
      </c>
      <c r="AC959" s="144">
        <f t="shared" si="162"/>
        <v>-2.8606967758754029E-2</v>
      </c>
      <c r="AD959" s="144">
        <f t="shared" si="163"/>
        <v>-4.2496748047174557E-2</v>
      </c>
      <c r="AE959" s="144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2">
        <f t="shared" si="165"/>
        <v>1.7857142857142857E-4</v>
      </c>
      <c r="Y960" s="139">
        <f t="shared" si="158"/>
        <v>-2.2914878612881676E-2</v>
      </c>
      <c r="Z960" s="139">
        <f t="shared" si="159"/>
        <v>-2.2914878612881676E-2</v>
      </c>
      <c r="AA960" s="139">
        <f t="shared" si="160"/>
        <v>5.2509166184310202E-4</v>
      </c>
      <c r="AB960" s="144">
        <f t="shared" si="161"/>
        <v>7.1554772202930694</v>
      </c>
      <c r="AC960" s="144">
        <f t="shared" si="162"/>
        <v>-3.00713058321685E-2</v>
      </c>
      <c r="AD960" s="144">
        <f t="shared" si="163"/>
        <v>-4.3115877470068099E-2</v>
      </c>
      <c r="AE960" s="144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2">
        <f t="shared" si="165"/>
        <v>1.7857142857142857E-4</v>
      </c>
      <c r="Y961" s="139">
        <f t="shared" si="158"/>
        <v>-1.7104247549519305E-2</v>
      </c>
      <c r="Z961" s="139">
        <f t="shared" si="159"/>
        <v>-1.7104247549519305E-2</v>
      </c>
      <c r="AA961" s="139">
        <f t="shared" si="160"/>
        <v>2.9255528423523713E-4</v>
      </c>
      <c r="AB961" s="144">
        <f t="shared" si="161"/>
        <v>7.292415174411591</v>
      </c>
      <c r="AC961" s="144">
        <f t="shared" si="162"/>
        <v>-2.8763898320379094E-2</v>
      </c>
      <c r="AD961" s="144">
        <f t="shared" si="163"/>
        <v>-4.3475240664682849E-2</v>
      </c>
      <c r="AE961" s="144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2">
        <f t="shared" si="165"/>
        <v>1.7857142857142857E-4</v>
      </c>
      <c r="Y962" s="139">
        <f t="shared" si="158"/>
        <v>-1.7297224181377576E-2</v>
      </c>
      <c r="Z962" s="139">
        <f t="shared" si="159"/>
        <v>-1.7297224181377576E-2</v>
      </c>
      <c r="AA962" s="139">
        <f t="shared" si="160"/>
        <v>2.9919396438083317E-4</v>
      </c>
      <c r="AB962" s="144">
        <f t="shared" si="161"/>
        <v>7.1241878496511069</v>
      </c>
      <c r="AC962" s="144">
        <f t="shared" si="162"/>
        <v>-2.9951526999944453E-2</v>
      </c>
      <c r="AD962" s="144">
        <f t="shared" si="163"/>
        <v>-4.3437447968744353E-2</v>
      </c>
      <c r="AE962" s="144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2">
        <f t="shared" si="165"/>
        <v>1.7857142857142857E-4</v>
      </c>
      <c r="Y963" s="139">
        <f t="shared" si="158"/>
        <v>1.2632768727241927E-2</v>
      </c>
      <c r="Z963" s="139">
        <f t="shared" si="159"/>
        <v>0</v>
      </c>
      <c r="AA963" s="139">
        <f t="shared" si="160"/>
        <v>0</v>
      </c>
      <c r="AB963" s="144">
        <f t="shared" si="161"/>
        <v>7.0288852729436391</v>
      </c>
      <c r="AC963" s="144">
        <f t="shared" si="162"/>
        <v>-2.9607355214012247E-2</v>
      </c>
      <c r="AD963" s="144">
        <f t="shared" si="163"/>
        <v>-4.3272435064807914E-2</v>
      </c>
      <c r="AE963" s="144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2">
        <f t="shared" si="165"/>
        <v>1.7857142857142857E-4</v>
      </c>
      <c r="Y964" s="139">
        <f t="shared" si="158"/>
        <v>6.8649570460025547E-3</v>
      </c>
      <c r="Z964" s="139">
        <f t="shared" si="159"/>
        <v>0</v>
      </c>
      <c r="AA964" s="139">
        <f t="shared" si="160"/>
        <v>0</v>
      </c>
      <c r="AB964" s="144">
        <f t="shared" si="161"/>
        <v>6.9544075458808505</v>
      </c>
      <c r="AC964" s="144">
        <f t="shared" si="162"/>
        <v>-2.700095854111486E-2</v>
      </c>
      <c r="AD964" s="144">
        <f t="shared" si="163"/>
        <v>-4.3114431462874893E-2</v>
      </c>
      <c r="AE964" s="144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2">
        <f t="shared" si="165"/>
        <v>1.7857142857142857E-4</v>
      </c>
      <c r="Y965" s="139">
        <f t="shared" si="158"/>
        <v>4.2517293917622739E-2</v>
      </c>
      <c r="Z965" s="139">
        <f t="shared" si="159"/>
        <v>0</v>
      </c>
      <c r="AA965" s="139">
        <f t="shared" si="160"/>
        <v>0</v>
      </c>
      <c r="AB965" s="144">
        <f t="shared" si="161"/>
        <v>7.2882016294408665</v>
      </c>
      <c r="AC965" s="144">
        <f t="shared" si="162"/>
        <v>-2.8420243206887151E-2</v>
      </c>
      <c r="AD965" s="144">
        <f t="shared" si="163"/>
        <v>-4.3185230138585252E-2</v>
      </c>
      <c r="AE965" s="144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2">
        <f t="shared" si="165"/>
        <v>1.7857142857142857E-4</v>
      </c>
      <c r="Y966" s="139">
        <f t="shared" si="158"/>
        <v>2.8121605960707209E-2</v>
      </c>
      <c r="Z966" s="139">
        <f t="shared" si="159"/>
        <v>0</v>
      </c>
      <c r="AA966" s="139">
        <f t="shared" si="160"/>
        <v>0</v>
      </c>
      <c r="AB966" s="144">
        <f t="shared" si="161"/>
        <v>7.6913545345888936</v>
      </c>
      <c r="AC966" s="144">
        <f t="shared" si="162"/>
        <v>-2.8602395987518788E-2</v>
      </c>
      <c r="AD966" s="144">
        <f t="shared" si="163"/>
        <v>-4.3058472253806615E-2</v>
      </c>
      <c r="AE966" s="144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2">
        <f t="shared" si="165"/>
        <v>1.7857142857142857E-4</v>
      </c>
      <c r="Y967" s="139">
        <f t="shared" si="158"/>
        <v>-4.8696685412379414E-3</v>
      </c>
      <c r="Z967" s="139">
        <f t="shared" si="159"/>
        <v>-4.8696685412379414E-3</v>
      </c>
      <c r="AA967" s="139">
        <f t="shared" si="160"/>
        <v>2.3713671701522459E-5</v>
      </c>
      <c r="AB967" s="144">
        <f t="shared" si="161"/>
        <v>7.5466994329529786</v>
      </c>
      <c r="AC967" s="144">
        <f t="shared" si="162"/>
        <v>-2.8133710414750619E-2</v>
      </c>
      <c r="AD967" s="144">
        <f t="shared" si="163"/>
        <v>-4.3142964550434218E-2</v>
      </c>
      <c r="AE967" s="144">
        <f t="shared" si="164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2">
        <f t="shared" si="165"/>
        <v>1.7857142857142857E-4</v>
      </c>
      <c r="Y968" s="139">
        <f t="shared" si="158"/>
        <v>-4.9181048152228931E-3</v>
      </c>
      <c r="Z968" s="139">
        <f t="shared" si="159"/>
        <v>-4.9181048152228931E-3</v>
      </c>
      <c r="AA968" s="139">
        <f t="shared" si="160"/>
        <v>2.4187754973518609E-5</v>
      </c>
      <c r="AB968" s="144">
        <f t="shared" si="161"/>
        <v>7.4947151156196599</v>
      </c>
      <c r="AC968" s="144">
        <f t="shared" si="162"/>
        <v>-2.8261075980346918E-2</v>
      </c>
      <c r="AD968" s="144">
        <f t="shared" si="163"/>
        <v>-4.3234705143577579E-2</v>
      </c>
      <c r="AE968" s="144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2">
        <f t="shared" si="165"/>
        <v>1.7857142857142857E-4</v>
      </c>
      <c r="Y969" s="139">
        <f t="shared" si="158"/>
        <v>-9.5963525772377479E-3</v>
      </c>
      <c r="Z969" s="139">
        <f t="shared" si="159"/>
        <v>-9.5963525772377479E-3</v>
      </c>
      <c r="AA969" s="139">
        <f t="shared" si="160"/>
        <v>9.2089982786657562E-5</v>
      </c>
      <c r="AB969" s="144">
        <f t="shared" si="161"/>
        <v>7.113398151017531</v>
      </c>
      <c r="AC969" s="144">
        <f t="shared" si="162"/>
        <v>-2.9045817557525704E-2</v>
      </c>
      <c r="AD969" s="144">
        <f t="shared" si="163"/>
        <v>-4.3523494741796516E-2</v>
      </c>
      <c r="AE969" s="144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2">
        <f t="shared" si="165"/>
        <v>1.7857142857142857E-4</v>
      </c>
      <c r="Y970" s="139">
        <f t="shared" si="158"/>
        <v>1.1015967953001908E-2</v>
      </c>
      <c r="Z970" s="139">
        <f t="shared" si="159"/>
        <v>0</v>
      </c>
      <c r="AA970" s="139">
        <f t="shared" si="160"/>
        <v>0</v>
      </c>
      <c r="AB970" s="144">
        <f t="shared" si="161"/>
        <v>7.3897042812545966</v>
      </c>
      <c r="AC970" s="144">
        <f t="shared" si="162"/>
        <v>-2.7049185133168237E-2</v>
      </c>
      <c r="AD970" s="144">
        <f t="shared" si="163"/>
        <v>-4.3381620402802849E-2</v>
      </c>
      <c r="AE970" s="144">
        <f t="shared" si="164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-0.45472110166155622</v>
      </c>
      <c r="X971" s="143">
        <f t="shared" si="165"/>
        <v>1.7857142857142857E-4</v>
      </c>
      <c r="Y971" s="140">
        <f t="shared" si="158"/>
        <v>6.526774977945007E-3</v>
      </c>
      <c r="Z971" s="140">
        <f t="shared" si="159"/>
        <v>0</v>
      </c>
      <c r="AA971" s="140">
        <f t="shared" si="160"/>
        <v>0</v>
      </c>
      <c r="AB971" s="145">
        <f t="shared" si="161"/>
        <v>7.5959482478492895</v>
      </c>
      <c r="AC971" s="145">
        <f t="shared" si="162"/>
        <v>-2.7096903415193635E-2</v>
      </c>
      <c r="AD971" s="145">
        <f t="shared" si="163"/>
        <v>-4.3411149078748511E-2</v>
      </c>
      <c r="AE971" s="145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2">
        <f t="shared" si="165"/>
        <v>1.7857142857142857E-4</v>
      </c>
      <c r="Y972" s="139">
        <f t="shared" si="158"/>
        <v>-4.9950110438537459E-3</v>
      </c>
      <c r="Z972" s="139">
        <f t="shared" si="159"/>
        <v>-4.9950110438537459E-3</v>
      </c>
      <c r="AA972" s="139">
        <f t="shared" si="160"/>
        <v>2.4950135328220889E-5</v>
      </c>
      <c r="AB972" s="144">
        <f t="shared" si="161"/>
        <v>7.7414979001707831</v>
      </c>
      <c r="AC972" s="144">
        <f t="shared" si="162"/>
        <v>-2.7634032845952797E-2</v>
      </c>
      <c r="AD972" s="144">
        <f t="shared" si="163"/>
        <v>-4.3492549551162087E-2</v>
      </c>
      <c r="AE972" s="144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2">
        <f t="shared" si="165"/>
        <v>1.7857142857142857E-4</v>
      </c>
      <c r="Y973" s="139">
        <f t="shared" si="158"/>
        <v>-1.870976429110234E-2</v>
      </c>
      <c r="Z973" s="139">
        <f t="shared" si="159"/>
        <v>-1.870976429110234E-2</v>
      </c>
      <c r="AA973" s="139">
        <f t="shared" si="160"/>
        <v>3.5005527982860825E-4</v>
      </c>
      <c r="AB973" s="144">
        <f t="shared" si="161"/>
        <v>7.5490081865818865</v>
      </c>
      <c r="AC973" s="144">
        <f t="shared" si="162"/>
        <v>-2.8964783986933432E-2</v>
      </c>
      <c r="AD973" s="144">
        <f t="shared" si="163"/>
        <v>-4.3815556337103906E-2</v>
      </c>
      <c r="AE973" s="144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2">
        <f t="shared" si="165"/>
        <v>1.7857142857142857E-4</v>
      </c>
      <c r="Y974" s="139">
        <f t="shared" ref="Y974:Y1015" si="186">G974-X974</f>
        <v>1.3197624720299637E-2</v>
      </c>
      <c r="Z974" s="139">
        <f t="shared" ref="Z974:Z1015" si="187">IF(Y974&lt;0,Y974,0)</f>
        <v>0</v>
      </c>
      <c r="AA974" s="139">
        <f t="shared" ref="AA974:AA1015" si="188">Z974^2</f>
        <v>0</v>
      </c>
      <c r="AB974" s="144">
        <f t="shared" ref="AB974:AB1007" si="189">AVERAGE(Y723:Y974)/AVERAGE(AA723:AA974)</f>
        <v>7.3336763396799576</v>
      </c>
      <c r="AC974" s="144">
        <f t="shared" ref="AC974:AC1007" si="190">AVERAGE(G945:G974)-_xlfn.NORM.S.INV(0.95)*_xlfn.STDEV.S(G945:G974)</f>
        <v>-2.8379568760066424E-2</v>
      </c>
      <c r="AD974" s="144">
        <f t="shared" ref="AD974:AD1007" si="191">AVERAGE(G885:G974)-_xlfn.NORM.S.INV(0.95)*_xlfn.STDEV.S(G885:G974)</f>
        <v>-4.3738827672089566E-2</v>
      </c>
      <c r="AE974" s="144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2">
        <f t="shared" si="165"/>
        <v>1.7857142857142857E-4</v>
      </c>
      <c r="Y975" s="139">
        <f t="shared" si="186"/>
        <v>-5.8477032476157619E-2</v>
      </c>
      <c r="Z975" s="139">
        <f t="shared" si="187"/>
        <v>-5.8477032476157619E-2</v>
      </c>
      <c r="AA975" s="139">
        <f t="shared" si="188"/>
        <v>3.4195633272175929E-3</v>
      </c>
      <c r="AB975" s="144">
        <f t="shared" si="189"/>
        <v>6.2764594495367625</v>
      </c>
      <c r="AC975" s="144">
        <f t="shared" si="190"/>
        <v>-3.4783030808407188E-2</v>
      </c>
      <c r="AD975" s="144">
        <f t="shared" si="191"/>
        <v>-4.5675095286502737E-2</v>
      </c>
      <c r="AE975" s="144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2">
        <f t="shared" ref="X976:X1072" si="193">4.5%/252</f>
        <v>1.7857142857142857E-4</v>
      </c>
      <c r="Y976" s="139">
        <f t="shared" si="186"/>
        <v>3.9425973349622043E-2</v>
      </c>
      <c r="Z976" s="139">
        <f t="shared" si="187"/>
        <v>0</v>
      </c>
      <c r="AA976" s="139">
        <f t="shared" si="188"/>
        <v>0</v>
      </c>
      <c r="AB976" s="144">
        <f t="shared" si="189"/>
        <v>7.21401682836298</v>
      </c>
      <c r="AC976" s="144">
        <f t="shared" si="190"/>
        <v>-3.5509377023382936E-2</v>
      </c>
      <c r="AD976" s="144">
        <f t="shared" si="191"/>
        <v>-4.5548344550441273E-2</v>
      </c>
      <c r="AE976" s="144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2">
        <f t="shared" si="193"/>
        <v>1.7857142857142857E-4</v>
      </c>
      <c r="Y977" s="139">
        <f t="shared" si="186"/>
        <v>2.7157164666828091E-3</v>
      </c>
      <c r="Z977" s="139">
        <f t="shared" si="187"/>
        <v>0</v>
      </c>
      <c r="AA977" s="139">
        <f t="shared" si="188"/>
        <v>0</v>
      </c>
      <c r="AB977" s="144">
        <f t="shared" si="189"/>
        <v>7.197950732963549</v>
      </c>
      <c r="AC977" s="144">
        <f t="shared" si="190"/>
        <v>-3.5374842095046488E-2</v>
      </c>
      <c r="AD977" s="144">
        <f t="shared" si="191"/>
        <v>-4.5462261478081516E-2</v>
      </c>
      <c r="AE977" s="144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2">
        <f t="shared" si="193"/>
        <v>1.7857142857142857E-4</v>
      </c>
      <c r="Y978" s="139">
        <f t="shared" si="186"/>
        <v>3.1490981428901883E-3</v>
      </c>
      <c r="Z978" s="139">
        <f t="shared" si="187"/>
        <v>0</v>
      </c>
      <c r="AA978" s="139">
        <f t="shared" si="188"/>
        <v>0</v>
      </c>
      <c r="AB978" s="144">
        <f t="shared" si="189"/>
        <v>7.4296725518862283</v>
      </c>
      <c r="AC978" s="144">
        <f t="shared" si="190"/>
        <v>-3.470884359711647E-2</v>
      </c>
      <c r="AD978" s="144">
        <f t="shared" si="191"/>
        <v>-4.5404956360575129E-2</v>
      </c>
      <c r="AE978" s="144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2">
        <f t="shared" si="193"/>
        <v>1.7857142857142857E-4</v>
      </c>
      <c r="Y979" s="139">
        <f t="shared" si="186"/>
        <v>-4.8062612655126201E-2</v>
      </c>
      <c r="Z979" s="139">
        <f t="shared" si="187"/>
        <v>-4.8062612655126201E-2</v>
      </c>
      <c r="AA979" s="139">
        <f t="shared" si="188"/>
        <v>2.310014735236697E-3</v>
      </c>
      <c r="AB979" s="144">
        <f t="shared" si="189"/>
        <v>6.3111367042854898</v>
      </c>
      <c r="AC979" s="144">
        <f t="shared" si="190"/>
        <v>-3.918541835247169E-2</v>
      </c>
      <c r="AD979" s="144">
        <f t="shared" si="191"/>
        <v>-4.6170539645990043E-2</v>
      </c>
      <c r="AE979" s="144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2">
        <f t="shared" si="193"/>
        <v>1.7857142857142857E-4</v>
      </c>
      <c r="Y980" s="139">
        <f t="shared" si="186"/>
        <v>5.9865489177499988E-2</v>
      </c>
      <c r="Z980" s="139">
        <f t="shared" si="187"/>
        <v>0</v>
      </c>
      <c r="AA980" s="139">
        <f t="shared" si="188"/>
        <v>0</v>
      </c>
      <c r="AB980" s="144">
        <f t="shared" si="189"/>
        <v>7.3576198989382826</v>
      </c>
      <c r="AC980" s="144">
        <f t="shared" si="190"/>
        <v>-4.0571829499422896E-2</v>
      </c>
      <c r="AD980" s="144">
        <f t="shared" si="191"/>
        <v>-4.6632546159236801E-2</v>
      </c>
      <c r="AE980" s="144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2">
        <f t="shared" si="193"/>
        <v>1.7857142857142857E-4</v>
      </c>
      <c r="Y981" s="139">
        <f t="shared" si="186"/>
        <v>-9.187447981361424E-2</v>
      </c>
      <c r="Z981" s="139">
        <f t="shared" si="187"/>
        <v>-9.187447981361424E-2</v>
      </c>
      <c r="AA981" s="139">
        <f t="shared" si="188"/>
        <v>8.440920041022211E-3</v>
      </c>
      <c r="AB981" s="144">
        <f t="shared" si="189"/>
        <v>4.9540748794860798</v>
      </c>
      <c r="AC981" s="144">
        <f t="shared" si="190"/>
        <v>-5.2263054904553762E-2</v>
      </c>
      <c r="AD981" s="144">
        <f t="shared" si="191"/>
        <v>-5.0012873412469794E-2</v>
      </c>
      <c r="AE981" s="144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2">
        <f t="shared" si="193"/>
        <v>1.7857142857142857E-4</v>
      </c>
      <c r="Y982" s="139">
        <f t="shared" si="186"/>
        <v>-4.9447849874598451E-2</v>
      </c>
      <c r="Z982" s="139">
        <f t="shared" si="187"/>
        <v>-4.9447849874598451E-2</v>
      </c>
      <c r="AA982" s="139">
        <f t="shared" si="188"/>
        <v>2.4450898572208261E-3</v>
      </c>
      <c r="AB982" s="144">
        <f t="shared" si="189"/>
        <v>4.1812718981241312</v>
      </c>
      <c r="AC982" s="144">
        <f t="shared" si="190"/>
        <v>-5.586642686063617E-2</v>
      </c>
      <c r="AD982" s="144">
        <f t="shared" si="191"/>
        <v>-5.1404601468952579E-2</v>
      </c>
      <c r="AE982" s="144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2">
        <f t="shared" si="193"/>
        <v>1.7857142857142857E-4</v>
      </c>
      <c r="Y983" s="139">
        <f t="shared" si="186"/>
        <v>-1.8553362307231609E-2</v>
      </c>
      <c r="Z983" s="139">
        <f t="shared" si="187"/>
        <v>-1.8553362307231609E-2</v>
      </c>
      <c r="AA983" s="139">
        <f t="shared" si="188"/>
        <v>3.442272529034026E-4</v>
      </c>
      <c r="AB983" s="144">
        <f t="shared" si="189"/>
        <v>4.0803470555972208</v>
      </c>
      <c r="AC983" s="144">
        <f t="shared" si="190"/>
        <v>-5.6852213719398345E-2</v>
      </c>
      <c r="AD983" s="144">
        <f t="shared" si="191"/>
        <v>-5.1804808589151777E-2</v>
      </c>
      <c r="AE983" s="144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2">
        <f t="shared" si="193"/>
        <v>1.7857142857142857E-4</v>
      </c>
      <c r="Y984" s="139">
        <f t="shared" si="186"/>
        <v>-6.3487085763295176E-2</v>
      </c>
      <c r="Z984" s="139">
        <f t="shared" si="187"/>
        <v>-6.3487085763295176E-2</v>
      </c>
      <c r="AA984" s="139">
        <f t="shared" si="188"/>
        <v>4.0306100587159969E-3</v>
      </c>
      <c r="AB984" s="144">
        <f t="shared" si="189"/>
        <v>2.5400102694972517</v>
      </c>
      <c r="AC984" s="144">
        <f t="shared" si="190"/>
        <v>-6.1157680911040541E-2</v>
      </c>
      <c r="AD984" s="144">
        <f t="shared" si="191"/>
        <v>-5.3780767167830042E-2</v>
      </c>
      <c r="AE984" s="144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2">
        <f t="shared" si="193"/>
        <v>1.7857142857142857E-4</v>
      </c>
      <c r="Y985" s="139">
        <f t="shared" si="186"/>
        <v>-2.0671502651849888E-2</v>
      </c>
      <c r="Z985" s="139">
        <f t="shared" si="187"/>
        <v>-2.0671502651849888E-2</v>
      </c>
      <c r="AA985" s="139">
        <f t="shared" si="188"/>
        <v>4.2731102188543697E-4</v>
      </c>
      <c r="AB985" s="144">
        <f t="shared" si="189"/>
        <v>1.9113190577196275</v>
      </c>
      <c r="AC985" s="144">
        <f t="shared" si="190"/>
        <v>-6.1995986969980328E-2</v>
      </c>
      <c r="AD985" s="144">
        <f t="shared" si="191"/>
        <v>-5.4165381131790993E-2</v>
      </c>
      <c r="AE985" s="144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2">
        <f t="shared" si="193"/>
        <v>1.7857142857142857E-4</v>
      </c>
      <c r="Y986" s="139">
        <f t="shared" si="186"/>
        <v>-7.852461281517735E-2</v>
      </c>
      <c r="Z986" s="139">
        <f t="shared" si="187"/>
        <v>-7.852461281517735E-2</v>
      </c>
      <c r="AA986" s="139">
        <f t="shared" si="188"/>
        <v>6.166114817773515E-3</v>
      </c>
      <c r="AB986" s="144">
        <f t="shared" si="189"/>
        <v>1.1764162459473919</v>
      </c>
      <c r="AC986" s="144">
        <f t="shared" si="190"/>
        <v>-6.8466406897128157E-2</v>
      </c>
      <c r="AD986" s="144">
        <f t="shared" si="191"/>
        <v>-5.2462395111610084E-2</v>
      </c>
      <c r="AE986" s="144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2">
        <f t="shared" si="193"/>
        <v>1.7857142857142857E-4</v>
      </c>
      <c r="Y987" s="139">
        <f t="shared" si="186"/>
        <v>5.7160723815037409E-2</v>
      </c>
      <c r="Z987" s="139">
        <f t="shared" si="187"/>
        <v>0</v>
      </c>
      <c r="AA987" s="139">
        <f t="shared" si="188"/>
        <v>0</v>
      </c>
      <c r="AB987" s="144">
        <f t="shared" si="189"/>
        <v>1.7207419961966197</v>
      </c>
      <c r="AC987" s="144">
        <f t="shared" si="190"/>
        <v>-6.9360188684141663E-2</v>
      </c>
      <c r="AD987" s="144">
        <f t="shared" si="191"/>
        <v>-5.2510833216810528E-2</v>
      </c>
      <c r="AE987" s="144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2">
        <f t="shared" si="193"/>
        <v>1.7857142857142857E-4</v>
      </c>
      <c r="Y988" s="139">
        <f t="shared" si="186"/>
        <v>6.9062550803804246E-2</v>
      </c>
      <c r="Z988" s="139">
        <f t="shared" si="187"/>
        <v>0</v>
      </c>
      <c r="AA988" s="139">
        <f t="shared" si="188"/>
        <v>0</v>
      </c>
      <c r="AB988" s="144">
        <f t="shared" si="189"/>
        <v>2.6993633917748672</v>
      </c>
      <c r="AC988" s="144">
        <f t="shared" si="190"/>
        <v>-7.0064052126932147E-2</v>
      </c>
      <c r="AD988" s="144">
        <f t="shared" si="191"/>
        <v>-5.3125619444278918E-2</v>
      </c>
      <c r="AE988" s="144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2">
        <f t="shared" si="193"/>
        <v>1.7857142857142857E-4</v>
      </c>
      <c r="Y989" s="139">
        <f t="shared" si="186"/>
        <v>5.2931580363080226E-3</v>
      </c>
      <c r="Z989" s="139">
        <f t="shared" si="187"/>
        <v>0</v>
      </c>
      <c r="AA989" s="139">
        <f t="shared" si="188"/>
        <v>0</v>
      </c>
      <c r="AB989" s="144">
        <f t="shared" si="189"/>
        <v>2.7925676865361249</v>
      </c>
      <c r="AC989" s="144">
        <f t="shared" si="190"/>
        <v>-7.0054269089845245E-2</v>
      </c>
      <c r="AD989" s="144">
        <f t="shared" si="191"/>
        <v>-5.3140092638448051E-2</v>
      </c>
      <c r="AE989" s="144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2">
        <f t="shared" si="193"/>
        <v>1.7857142857142857E-4</v>
      </c>
      <c r="Y990" s="139">
        <f t="shared" si="186"/>
        <v>1.6863880417069189E-2</v>
      </c>
      <c r="Z990" s="139">
        <f t="shared" si="187"/>
        <v>0</v>
      </c>
      <c r="AA990" s="139">
        <f t="shared" si="188"/>
        <v>0</v>
      </c>
      <c r="AB990" s="144">
        <f t="shared" si="189"/>
        <v>2.8067759192453052</v>
      </c>
      <c r="AC990" s="144">
        <f t="shared" si="190"/>
        <v>-6.8845768598961563E-2</v>
      </c>
      <c r="AD990" s="144">
        <f t="shared" si="191"/>
        <v>-5.2660394263796401E-2</v>
      </c>
      <c r="AE990" s="144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2">
        <f t="shared" si="193"/>
        <v>1.7857142857142857E-4</v>
      </c>
      <c r="Y991" s="139">
        <f t="shared" si="186"/>
        <v>7.0544547884922745E-2</v>
      </c>
      <c r="Z991" s="139">
        <f t="shared" si="187"/>
        <v>0</v>
      </c>
      <c r="AA991" s="139">
        <f t="shared" si="188"/>
        <v>0</v>
      </c>
      <c r="AB991" s="144">
        <f t="shared" si="189"/>
        <v>3.8357824444714765</v>
      </c>
      <c r="AC991" s="144">
        <f t="shared" si="190"/>
        <v>-6.9574993976112873E-2</v>
      </c>
      <c r="AD991" s="144">
        <f t="shared" si="191"/>
        <v>-5.0391336694776148E-2</v>
      </c>
      <c r="AE991" s="144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2">
        <f t="shared" si="193"/>
        <v>1.7857142857142857E-4</v>
      </c>
      <c r="Y992" s="139">
        <f t="shared" si="186"/>
        <v>1.6479685275708651E-2</v>
      </c>
      <c r="Z992" s="139">
        <f t="shared" si="187"/>
        <v>0</v>
      </c>
      <c r="AA992" s="139">
        <f t="shared" si="188"/>
        <v>0</v>
      </c>
      <c r="AB992" s="144">
        <f t="shared" si="189"/>
        <v>4.1052467007637166</v>
      </c>
      <c r="AC992" s="144">
        <f t="shared" si="190"/>
        <v>-6.8472749063940463E-2</v>
      </c>
      <c r="AD992" s="144">
        <f t="shared" si="191"/>
        <v>-4.9669257384517836E-2</v>
      </c>
      <c r="AE992" s="144">
        <f t="shared" si="192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-1.2682050447873532</v>
      </c>
      <c r="X993" s="143">
        <f t="shared" si="193"/>
        <v>1.7857142857142857E-4</v>
      </c>
      <c r="Y993" s="140">
        <f t="shared" si="186"/>
        <v>-7.38495649453247E-2</v>
      </c>
      <c r="Z993" s="140">
        <f t="shared" si="187"/>
        <v>-7.38495649453247E-2</v>
      </c>
      <c r="AA993" s="140">
        <f t="shared" si="188"/>
        <v>5.4537582426137307E-3</v>
      </c>
      <c r="AB993" s="145">
        <f t="shared" si="189"/>
        <v>2.6642952986338071</v>
      </c>
      <c r="AC993" s="145">
        <f t="shared" si="190"/>
        <v>-7.4678206962796354E-2</v>
      </c>
      <c r="AD993" s="145">
        <f t="shared" si="191"/>
        <v>-5.2160682576613257E-2</v>
      </c>
      <c r="AE993" s="145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2">
        <f t="shared" si="193"/>
        <v>1.7857142857142857E-4</v>
      </c>
      <c r="Y994" s="139">
        <f t="shared" si="186"/>
        <v>-4.8336958683303309E-2</v>
      </c>
      <c r="Z994" s="139">
        <f t="shared" si="187"/>
        <v>-4.8336958683303309E-2</v>
      </c>
      <c r="AA994" s="139">
        <f t="shared" si="188"/>
        <v>2.3364615747513712E-3</v>
      </c>
      <c r="AB994" s="144">
        <f t="shared" si="189"/>
        <v>1.9412700895880914</v>
      </c>
      <c r="AC994" s="144">
        <f t="shared" si="190"/>
        <v>-7.7700450693419951E-2</v>
      </c>
      <c r="AD994" s="144">
        <f t="shared" si="191"/>
        <v>-5.3324531937345376E-2</v>
      </c>
      <c r="AE994" s="144">
        <f t="shared" si="192"/>
        <v>-3.9623117716486689E-2</v>
      </c>
    </row>
    <row r="995" spans="1:31">
      <c r="A995" s="88">
        <v>45414</v>
      </c>
      <c r="B995" s="78">
        <v>45778333.640000001</v>
      </c>
      <c r="D995" s="151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2">
        <f t="shared" si="193"/>
        <v>1.7857142857142857E-4</v>
      </c>
      <c r="Y995" s="139">
        <f t="shared" si="186"/>
        <v>6.3945320065467645E-2</v>
      </c>
      <c r="Z995" s="139">
        <f t="shared" si="187"/>
        <v>0</v>
      </c>
      <c r="AA995" s="139">
        <f t="shared" si="188"/>
        <v>0</v>
      </c>
      <c r="AB995" s="144">
        <f t="shared" si="189"/>
        <v>2.8214294265679145</v>
      </c>
      <c r="AC995" s="144">
        <f t="shared" si="190"/>
        <v>-7.8560679766911945E-2</v>
      </c>
      <c r="AD995" s="144">
        <f t="shared" si="191"/>
        <v>-5.3769174329535395E-2</v>
      </c>
      <c r="AE995" s="144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2">
        <f t="shared" si="193"/>
        <v>1.7857142857142857E-4</v>
      </c>
      <c r="Y996" s="139">
        <f t="shared" si="186"/>
        <v>7.0506400537568417E-2</v>
      </c>
      <c r="Z996" s="139">
        <f t="shared" si="187"/>
        <v>0</v>
      </c>
      <c r="AA996" s="139">
        <f t="shared" si="188"/>
        <v>0</v>
      </c>
      <c r="AB996" s="144">
        <f t="shared" si="189"/>
        <v>3.6650629281077882</v>
      </c>
      <c r="AC996" s="144">
        <f t="shared" si="190"/>
        <v>-7.9913023741876033E-2</v>
      </c>
      <c r="AD996" s="144">
        <f t="shared" si="191"/>
        <v>-5.4474745232662339E-2</v>
      </c>
      <c r="AE996" s="144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2">
        <f t="shared" si="193"/>
        <v>1.7857142857142857E-4</v>
      </c>
      <c r="Y997" s="139">
        <f t="shared" si="186"/>
        <v>5.2637639997660378E-2</v>
      </c>
      <c r="Z997" s="139">
        <f t="shared" si="187"/>
        <v>0</v>
      </c>
      <c r="AA997" s="139">
        <f t="shared" si="188"/>
        <v>0</v>
      </c>
      <c r="AB997" s="144">
        <f t="shared" si="189"/>
        <v>4.3877036173450632</v>
      </c>
      <c r="AC997" s="144">
        <f t="shared" si="190"/>
        <v>-7.977558069496514E-2</v>
      </c>
      <c r="AD997" s="144">
        <f t="shared" si="191"/>
        <v>-5.4515978337941036E-2</v>
      </c>
      <c r="AE997" s="144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2">
        <f t="shared" si="193"/>
        <v>1.7857142857142857E-4</v>
      </c>
      <c r="Y998" s="139">
        <f t="shared" si="186"/>
        <v>-1.3539317336360327E-2</v>
      </c>
      <c r="Z998" s="139">
        <f t="shared" si="187"/>
        <v>-1.3539317336360327E-2</v>
      </c>
      <c r="AA998" s="139">
        <f t="shared" si="188"/>
        <v>1.8331311393466731E-4</v>
      </c>
      <c r="AB998" s="144">
        <f t="shared" si="189"/>
        <v>4.0189114900697138</v>
      </c>
      <c r="AC998" s="144">
        <f t="shared" si="190"/>
        <v>-8.0144935060494582E-2</v>
      </c>
      <c r="AD998" s="144">
        <f t="shared" si="191"/>
        <v>-5.3591726319038226E-2</v>
      </c>
      <c r="AE998" s="144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2">
        <f t="shared" si="193"/>
        <v>1.7857142857142857E-4</v>
      </c>
      <c r="Y999" s="139">
        <f t="shared" si="186"/>
        <v>-1.3798621273305033E-3</v>
      </c>
      <c r="Z999" s="139">
        <f t="shared" si="187"/>
        <v>-1.3798621273305033E-3</v>
      </c>
      <c r="AA999" s="139">
        <f t="shared" si="188"/>
        <v>1.904019490441062E-6</v>
      </c>
      <c r="AB999" s="144">
        <f t="shared" si="189"/>
        <v>3.738321114021582</v>
      </c>
      <c r="AC999" s="144">
        <f t="shared" si="190"/>
        <v>-7.9829311317651655E-2</v>
      </c>
      <c r="AD999" s="144">
        <f t="shared" si="191"/>
        <v>-5.3601502945814852E-2</v>
      </c>
      <c r="AE999" s="144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2">
        <f t="shared" si="193"/>
        <v>1.7857142857142857E-4</v>
      </c>
      <c r="Y1000" s="139">
        <f t="shared" si="186"/>
        <v>7.070956302784182E-3</v>
      </c>
      <c r="Z1000" s="139">
        <f t="shared" si="187"/>
        <v>0</v>
      </c>
      <c r="AA1000" s="139">
        <f t="shared" si="188"/>
        <v>0</v>
      </c>
      <c r="AB1000" s="144">
        <f t="shared" si="189"/>
        <v>3.9031488759831916</v>
      </c>
      <c r="AC1000" s="144">
        <f t="shared" si="190"/>
        <v>-7.9913438873892823E-2</v>
      </c>
      <c r="AD1000" s="144">
        <f t="shared" si="191"/>
        <v>-5.1685641056016994E-2</v>
      </c>
      <c r="AE1000" s="144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2">
        <f t="shared" si="193"/>
        <v>1.7857142857142857E-4</v>
      </c>
      <c r="Y1001" s="139">
        <f t="shared" si="186"/>
        <v>2.5644136418594792E-2</v>
      </c>
      <c r="Z1001" s="139">
        <f t="shared" si="187"/>
        <v>0</v>
      </c>
      <c r="AA1001" s="139">
        <f t="shared" si="188"/>
        <v>0</v>
      </c>
      <c r="AB1001" s="144">
        <f t="shared" si="189"/>
        <v>4.2830455282630968</v>
      </c>
      <c r="AC1001" s="144">
        <f t="shared" si="190"/>
        <v>-7.9658353646636398E-2</v>
      </c>
      <c r="AD1001" s="144">
        <f t="shared" si="191"/>
        <v>-4.9838639258303209E-2</v>
      </c>
      <c r="AE1001" s="144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2">
        <f t="shared" si="193"/>
        <v>1.7857142857142857E-4</v>
      </c>
      <c r="Y1002" s="139">
        <f t="shared" si="186"/>
        <v>-4.8802668531192665E-3</v>
      </c>
      <c r="Z1002" s="139">
        <f t="shared" si="187"/>
        <v>-4.8802668531192665E-3</v>
      </c>
      <c r="AA1002" s="139">
        <f t="shared" si="188"/>
        <v>2.3817004557654627E-5</v>
      </c>
      <c r="AB1002" s="144">
        <f t="shared" si="189"/>
        <v>4.6198851507593277</v>
      </c>
      <c r="AC1002" s="144">
        <f t="shared" si="190"/>
        <v>-7.9653935523654587E-2</v>
      </c>
      <c r="AD1002" s="144">
        <f t="shared" si="191"/>
        <v>-4.9775450992848538E-2</v>
      </c>
      <c r="AE1002" s="144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2">
        <f t="shared" si="193"/>
        <v>1.7857142857142857E-4</v>
      </c>
      <c r="Y1003" s="139">
        <f t="shared" si="186"/>
        <v>2.3317192635821726E-2</v>
      </c>
      <c r="Z1003" s="139">
        <f t="shared" si="187"/>
        <v>0</v>
      </c>
      <c r="AA1003" s="139">
        <f t="shared" si="188"/>
        <v>0</v>
      </c>
      <c r="AB1003" s="144">
        <f t="shared" si="189"/>
        <v>5.0949947751662661</v>
      </c>
      <c r="AC1003" s="144">
        <f t="shared" si="190"/>
        <v>-7.8359000298952555E-2</v>
      </c>
      <c r="AD1003" s="144">
        <f t="shared" si="191"/>
        <v>-4.9674407322804981E-2</v>
      </c>
      <c r="AE1003" s="144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2">
        <f t="shared" si="193"/>
        <v>1.7857142857142857E-4</v>
      </c>
      <c r="Y1004" s="139">
        <f t="shared" si="186"/>
        <v>5.1201286252403305E-2</v>
      </c>
      <c r="Z1004" s="139">
        <f t="shared" si="187"/>
        <v>0</v>
      </c>
      <c r="AA1004" s="139">
        <f t="shared" si="188"/>
        <v>0</v>
      </c>
      <c r="AB1004" s="144">
        <f t="shared" si="189"/>
        <v>5.3103779657422923</v>
      </c>
      <c r="AC1004" s="144">
        <f t="shared" si="190"/>
        <v>-7.845177426916991E-2</v>
      </c>
      <c r="AD1004" s="144">
        <f t="shared" si="191"/>
        <v>-4.9945732754975346E-2</v>
      </c>
      <c r="AE1004" s="144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2">
        <f t="shared" si="193"/>
        <v>1.7857142857142857E-4</v>
      </c>
      <c r="Y1005" s="139">
        <f t="shared" si="186"/>
        <v>-1.1429432560099748E-2</v>
      </c>
      <c r="Z1005" s="139">
        <f t="shared" si="187"/>
        <v>-1.1429432560099748E-2</v>
      </c>
      <c r="AA1005" s="139">
        <f t="shared" si="188"/>
        <v>1.3063192864586827E-4</v>
      </c>
      <c r="AB1005" s="144">
        <f t="shared" si="189"/>
        <v>4.6631332883754526</v>
      </c>
      <c r="AC1005" s="144">
        <f t="shared" si="190"/>
        <v>-7.4798631978956406E-2</v>
      </c>
      <c r="AD1005" s="144">
        <f t="shared" si="191"/>
        <v>-4.9946517416222247E-2</v>
      </c>
      <c r="AE1005" s="144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2">
        <f t="shared" si="193"/>
        <v>1.7857142857142857E-4</v>
      </c>
      <c r="Y1006" s="139">
        <f t="shared" si="186"/>
        <v>3.9742288168001542E-3</v>
      </c>
      <c r="Z1006" s="139">
        <f t="shared" si="187"/>
        <v>0</v>
      </c>
      <c r="AA1006" s="139">
        <f t="shared" si="188"/>
        <v>0</v>
      </c>
      <c r="AB1006" s="144">
        <f t="shared" si="189"/>
        <v>4.6920728527897309</v>
      </c>
      <c r="AC1006" s="144">
        <f t="shared" si="190"/>
        <v>-7.5194635220387884E-2</v>
      </c>
      <c r="AD1006" s="144">
        <f t="shared" si="191"/>
        <v>-4.996039692632142E-2</v>
      </c>
      <c r="AE1006" s="144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2">
        <f t="shared" si="193"/>
        <v>1.7857142857142857E-4</v>
      </c>
      <c r="Y1007" s="139">
        <f t="shared" si="186"/>
        <v>1.6156877754983635E-2</v>
      </c>
      <c r="Z1007" s="139">
        <f t="shared" si="187"/>
        <v>0</v>
      </c>
      <c r="AA1007" s="139">
        <f t="shared" si="188"/>
        <v>0</v>
      </c>
      <c r="AB1007" s="144">
        <f t="shared" si="189"/>
        <v>4.6812202840167085</v>
      </c>
      <c r="AC1007" s="144">
        <f t="shared" si="190"/>
        <v>-7.4854379040152672E-2</v>
      </c>
      <c r="AD1007" s="144">
        <f t="shared" si="191"/>
        <v>-4.9730774356453657E-2</v>
      </c>
      <c r="AE1007" s="144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2">
        <f t="shared" si="193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2">
        <f t="shared" si="193"/>
        <v>1.7857142857142857E-4</v>
      </c>
      <c r="Y1009" s="139">
        <f t="shared" si="186"/>
        <v>-1.031137564507794E-2</v>
      </c>
      <c r="Z1009" s="139">
        <f t="shared" si="187"/>
        <v>-1.031137564507794E-2</v>
      </c>
      <c r="AA1009" s="139">
        <f t="shared" si="188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2">
        <f t="shared" si="193"/>
        <v>1.7857142857142857E-4</v>
      </c>
      <c r="Y1010" s="139">
        <f t="shared" si="186"/>
        <v>-1.1111022210820205E-2</v>
      </c>
      <c r="Z1010" s="139">
        <f t="shared" si="187"/>
        <v>-1.1111022210820205E-2</v>
      </c>
      <c r="AA1010" s="139">
        <f t="shared" si="188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2">
        <f t="shared" si="193"/>
        <v>1.7857142857142857E-4</v>
      </c>
      <c r="Y1011" s="139">
        <f t="shared" si="186"/>
        <v>2.5123347504798957E-2</v>
      </c>
      <c r="Z1011" s="139">
        <f t="shared" si="187"/>
        <v>0</v>
      </c>
      <c r="AA1011" s="139">
        <f t="shared" si="188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2">
        <f t="shared" si="193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2">
        <f t="shared" si="193"/>
        <v>1.7857142857142857E-4</v>
      </c>
      <c r="Y1013" s="139">
        <f t="shared" si="186"/>
        <v>2.6421091817274346E-2</v>
      </c>
      <c r="Z1013" s="139">
        <f t="shared" si="187"/>
        <v>0</v>
      </c>
      <c r="AA1013" s="139">
        <f t="shared" si="188"/>
        <v>0</v>
      </c>
      <c r="AB1013" s="144">
        <f t="shared" ref="AB1013:AB1023" si="207">AVERAGE(Y760:Y1013)/AVERAGE(AA760:AA1013)</f>
        <v>4.6881225975217049</v>
      </c>
      <c r="AC1013" s="144">
        <f t="shared" ref="AC1013:AC1023" si="208">AVERAGE(G982:G1013)-_xlfn.NORM.S.INV(0.95)*_xlfn.STDEV.S(G982:G1013)</f>
        <v>-6.0744525317219931E-2</v>
      </c>
      <c r="AD1013" s="144">
        <f t="shared" ref="AD1013:AD1023" si="209">AVERAGE(G922:G1013)-_xlfn.NORM.S.INV(0.95)*_xlfn.STDEV.S(G922:G1013)</f>
        <v>-4.8644977650139906E-2</v>
      </c>
      <c r="AE1013" s="144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2">
        <f t="shared" si="193"/>
        <v>1.7857142857142857E-4</v>
      </c>
      <c r="Y1014" s="139">
        <f t="shared" si="186"/>
        <v>-2.7413051582883798E-2</v>
      </c>
      <c r="Z1014" s="139">
        <f t="shared" si="187"/>
        <v>-2.7413051582883798E-2</v>
      </c>
      <c r="AA1014" s="139">
        <f t="shared" si="188"/>
        <v>7.5147539708584786E-4</v>
      </c>
      <c r="AB1014" s="144">
        <f t="shared" si="207"/>
        <v>4.3280413155253958</v>
      </c>
      <c r="AC1014" s="144">
        <f t="shared" si="208"/>
        <v>-5.8755635071662031E-2</v>
      </c>
      <c r="AD1014" s="144">
        <f t="shared" si="209"/>
        <v>-4.9253022216800071E-2</v>
      </c>
      <c r="AE1014" s="144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2">
        <f t="shared" si="193"/>
        <v>1.7857142857142857E-4</v>
      </c>
      <c r="Y1015" s="139">
        <f t="shared" si="186"/>
        <v>-2.2742092216669386E-2</v>
      </c>
      <c r="Z1015" s="139">
        <f t="shared" si="187"/>
        <v>-2.2742092216669386E-2</v>
      </c>
      <c r="AA1015" s="139">
        <f t="shared" si="188"/>
        <v>5.1720275839149427E-4</v>
      </c>
      <c r="AB1015" s="144">
        <f t="shared" si="207"/>
        <v>4.5141031537284304</v>
      </c>
      <c r="AC1015" s="144">
        <f t="shared" si="208"/>
        <v>-5.9038636358617724E-2</v>
      </c>
      <c r="AD1015" s="144">
        <f t="shared" si="209"/>
        <v>-4.9787437045010548E-2</v>
      </c>
      <c r="AE1015" s="144">
        <f t="shared" si="210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6">O1016/P1016</f>
        <v>0.11396688270301465</v>
      </c>
      <c r="X1016" s="143">
        <f t="shared" si="193"/>
        <v>1.7857142857142857E-4</v>
      </c>
      <c r="Y1016" s="140">
        <f t="shared" ref="Y1016:Y1023" si="217">G1016-X1016</f>
        <v>9.9963302999816362E-3</v>
      </c>
      <c r="Z1016" s="140">
        <f t="shared" ref="Z1016:Z1023" si="218">IF(Y1016&lt;0,Y1016,0)</f>
        <v>0</v>
      </c>
      <c r="AA1016" s="140">
        <f t="shared" ref="AA1016:AA1023" si="219">Z1016^2</f>
        <v>0</v>
      </c>
      <c r="AB1016" s="145">
        <f t="shared" si="207"/>
        <v>4.3030172534281883</v>
      </c>
      <c r="AC1016" s="145">
        <f t="shared" si="208"/>
        <v>-5.3287464209170105E-2</v>
      </c>
      <c r="AD1016" s="145">
        <f t="shared" si="209"/>
        <v>-4.9799570086898601E-2</v>
      </c>
      <c r="AE1016" s="145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2">
        <f t="shared" si="193"/>
        <v>1.7857142857142857E-4</v>
      </c>
      <c r="Y1017" s="139">
        <f t="shared" si="217"/>
        <v>1.9392349954958969E-2</v>
      </c>
      <c r="Z1017" s="139">
        <f t="shared" si="218"/>
        <v>0</v>
      </c>
      <c r="AA1017" s="139">
        <f t="shared" si="219"/>
        <v>0</v>
      </c>
      <c r="AB1017" s="144">
        <f t="shared" si="207"/>
        <v>4.4528634637067332</v>
      </c>
      <c r="AC1017" s="144">
        <f t="shared" si="208"/>
        <v>-5.145986730934083E-2</v>
      </c>
      <c r="AD1017" s="144">
        <f t="shared" si="209"/>
        <v>-4.9709712658637217E-2</v>
      </c>
      <c r="AE1017" s="144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2">
        <f t="shared" si="193"/>
        <v>1.7857142857142857E-4</v>
      </c>
      <c r="Y1018" s="139">
        <f t="shared" si="217"/>
        <v>-2.2981324573714799E-2</v>
      </c>
      <c r="Z1018" s="139">
        <f t="shared" si="218"/>
        <v>-2.2981324573714799E-2</v>
      </c>
      <c r="AA1018" s="139">
        <f t="shared" si="219"/>
        <v>5.2814127916242764E-4</v>
      </c>
      <c r="AB1018" s="144">
        <f t="shared" si="207"/>
        <v>3.899903796734721</v>
      </c>
      <c r="AC1018" s="144">
        <f t="shared" si="208"/>
        <v>-4.4671588706973395E-2</v>
      </c>
      <c r="AD1018" s="144">
        <f t="shared" si="209"/>
        <v>-5.0045696851219595E-2</v>
      </c>
      <c r="AE1018" s="144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2">
        <f t="shared" si="193"/>
        <v>1.7857142857142857E-4</v>
      </c>
      <c r="Y1019" s="139">
        <f t="shared" si="217"/>
        <v>4.6161570612449285E-2</v>
      </c>
      <c r="Z1019" s="139">
        <f t="shared" si="218"/>
        <v>0</v>
      </c>
      <c r="AA1019" s="139">
        <f t="shared" si="219"/>
        <v>0</v>
      </c>
      <c r="AB1019" s="144">
        <f t="shared" si="207"/>
        <v>4.3322423591561678</v>
      </c>
      <c r="AC1019" s="144">
        <f t="shared" si="208"/>
        <v>-4.4337272215747965E-2</v>
      </c>
      <c r="AD1019" s="144">
        <f t="shared" si="209"/>
        <v>-4.9981261082271855E-2</v>
      </c>
      <c r="AE1019" s="144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2">
        <f t="shared" si="193"/>
        <v>1.7857142857142857E-4</v>
      </c>
      <c r="Y1020" s="139">
        <f t="shared" si="217"/>
        <v>4.839438397793272E-3</v>
      </c>
      <c r="Z1020" s="139">
        <f t="shared" si="218"/>
        <v>0</v>
      </c>
      <c r="AA1020" s="139">
        <f t="shared" si="219"/>
        <v>0</v>
      </c>
      <c r="AB1020" s="144">
        <f t="shared" si="207"/>
        <v>4.256653328618099</v>
      </c>
      <c r="AC1020" s="144">
        <f t="shared" si="208"/>
        <v>-4.3648283325038388E-2</v>
      </c>
      <c r="AD1020" s="144">
        <f t="shared" si="209"/>
        <v>-4.9857859131585129E-2</v>
      </c>
      <c r="AE1020" s="144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2">
        <f t="shared" si="193"/>
        <v>1.7857142857142857E-4</v>
      </c>
      <c r="Y1021" s="139">
        <f t="shared" si="217"/>
        <v>-1.5758904816583326E-2</v>
      </c>
      <c r="Z1021" s="139">
        <f t="shared" si="218"/>
        <v>-1.5758904816583326E-2</v>
      </c>
      <c r="AA1021" s="139">
        <f t="shared" si="219"/>
        <v>2.4834308101813316E-4</v>
      </c>
      <c r="AB1021" s="144">
        <f t="shared" si="207"/>
        <v>3.8053329856018463</v>
      </c>
      <c r="AC1021" s="144">
        <f t="shared" si="208"/>
        <v>-4.4802668406280236E-2</v>
      </c>
      <c r="AD1021" s="144">
        <f t="shared" si="209"/>
        <v>-5.0220679867112684E-2</v>
      </c>
      <c r="AE1021" s="144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2">
        <f t="shared" si="193"/>
        <v>1.7857142857142857E-4</v>
      </c>
      <c r="Y1022" s="139">
        <f t="shared" si="217"/>
        <v>1.193774588283371E-2</v>
      </c>
      <c r="Z1022" s="139">
        <f t="shared" si="218"/>
        <v>0</v>
      </c>
      <c r="AA1022" s="139">
        <f t="shared" si="219"/>
        <v>0</v>
      </c>
      <c r="AB1022" s="144">
        <f t="shared" si="207"/>
        <v>4.0422670171212607</v>
      </c>
      <c r="AC1022" s="144">
        <f t="shared" si="208"/>
        <v>-4.4912466628403466E-2</v>
      </c>
      <c r="AD1022" s="144">
        <f t="shared" si="209"/>
        <v>-5.0072266084014549E-2</v>
      </c>
      <c r="AE1022" s="144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2">
        <f t="shared" si="193"/>
        <v>1.7857142857142857E-4</v>
      </c>
      <c r="Y1023" s="139">
        <f t="shared" si="217"/>
        <v>-6.4159782257423789E-3</v>
      </c>
      <c r="Z1023" s="139">
        <f t="shared" si="218"/>
        <v>-6.4159782257423789E-3</v>
      </c>
      <c r="AA1023" s="139">
        <f t="shared" si="219"/>
        <v>4.1164776593200324E-5</v>
      </c>
      <c r="AB1023" s="144">
        <f t="shared" si="207"/>
        <v>3.9742095153401973</v>
      </c>
      <c r="AC1023" s="144">
        <f t="shared" si="208"/>
        <v>-4.4174434463342467E-2</v>
      </c>
      <c r="AD1023" s="144">
        <f t="shared" si="209"/>
        <v>-4.9563912690452579E-2</v>
      </c>
      <c r="AE1023" s="144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2">
        <f t="shared" si="193"/>
        <v>1.7857142857142857E-4</v>
      </c>
      <c r="Y1024" s="139">
        <f t="shared" ref="Y1024:Y1055" si="224">G1024-X1024</f>
        <v>3.6066667015389492E-2</v>
      </c>
      <c r="Z1024" s="139">
        <f t="shared" ref="Z1024:Z1055" si="225">IF(Y1024&lt;0,Y1024,0)</f>
        <v>0</v>
      </c>
      <c r="AA1024" s="139">
        <f t="shared" ref="AA1024:AA1055" si="226">Z1024^2</f>
        <v>0</v>
      </c>
      <c r="AB1024" s="144">
        <f t="shared" ref="AB1024:AB1055" si="227">AVERAGE(Y771:Y1024)/AVERAGE(AA771:AA1024)</f>
        <v>4.5184788832327554</v>
      </c>
      <c r="AC1024" s="144">
        <f t="shared" ref="AC1024:AC1055" si="228">AVERAGE(G993:G1024)-_xlfn.NORM.S.INV(0.95)*_xlfn.STDEV.S(G993:G1024)</f>
        <v>-4.4217897737016468E-2</v>
      </c>
      <c r="AD1024" s="144">
        <f t="shared" ref="AD1024:AD1055" si="229">AVERAGE(G933:G1024)-_xlfn.NORM.S.INV(0.95)*_xlfn.STDEV.S(G933:G1024)</f>
        <v>-4.9621864237930587E-2</v>
      </c>
      <c r="AE1024" s="144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2">
        <f t="shared" si="193"/>
        <v>1.7857142857142857E-4</v>
      </c>
      <c r="Y1025" s="139">
        <f t="shared" si="224"/>
        <v>5.0247482166592486E-3</v>
      </c>
      <c r="Z1025" s="139">
        <f t="shared" si="225"/>
        <v>0</v>
      </c>
      <c r="AA1025" s="139">
        <f t="shared" si="226"/>
        <v>0</v>
      </c>
      <c r="AB1025" s="144">
        <f t="shared" si="227"/>
        <v>4.8199888981310988</v>
      </c>
      <c r="AC1025" s="144">
        <f t="shared" si="228"/>
        <v>-3.5683042109203977E-2</v>
      </c>
      <c r="AD1025" s="144">
        <f t="shared" si="229"/>
        <v>-4.9507518264733943E-2</v>
      </c>
      <c r="AE1025" s="144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2">
        <f t="shared" si="193"/>
        <v>1.7857142857142857E-4</v>
      </c>
      <c r="Y1026" s="139">
        <f t="shared" si="224"/>
        <v>-1.8816016855847549E-4</v>
      </c>
      <c r="Z1026" s="139">
        <f t="shared" si="225"/>
        <v>-1.8816016855847549E-4</v>
      </c>
      <c r="AA1026" s="139">
        <f t="shared" si="226"/>
        <v>3.5404249031953908E-8</v>
      </c>
      <c r="AB1026" s="144">
        <f t="shared" si="227"/>
        <v>4.6974978137538086</v>
      </c>
      <c r="AC1026" s="144">
        <f t="shared" si="228"/>
        <v>-3.0860405290159876E-2</v>
      </c>
      <c r="AD1026" s="144">
        <f t="shared" si="229"/>
        <v>-4.8899308502572895E-2</v>
      </c>
      <c r="AE1026" s="144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2">
        <f t="shared" si="193"/>
        <v>1.7857142857142857E-4</v>
      </c>
      <c r="Y1027" s="139">
        <f t="shared" si="224"/>
        <v>1.1463319052054858E-2</v>
      </c>
      <c r="Z1027" s="139">
        <f t="shared" si="225"/>
        <v>0</v>
      </c>
      <c r="AA1027" s="139">
        <f t="shared" si="226"/>
        <v>0</v>
      </c>
      <c r="AB1027" s="144">
        <f t="shared" si="227"/>
        <v>4.9997023658431008</v>
      </c>
      <c r="AC1027" s="144">
        <f t="shared" si="228"/>
        <v>-2.9379425998385028E-2</v>
      </c>
      <c r="AD1027" s="144">
        <f t="shared" si="229"/>
        <v>-4.890396571954389E-2</v>
      </c>
      <c r="AE1027" s="144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2">
        <f t="shared" si="193"/>
        <v>1.7857142857142857E-4</v>
      </c>
      <c r="Y1028" s="139">
        <f t="shared" si="224"/>
        <v>2.0432477808629449E-2</v>
      </c>
      <c r="Z1028" s="139">
        <f t="shared" si="225"/>
        <v>0</v>
      </c>
      <c r="AA1028" s="139">
        <f t="shared" si="226"/>
        <v>0</v>
      </c>
      <c r="AB1028" s="144">
        <f t="shared" si="227"/>
        <v>5.4822150485508976</v>
      </c>
      <c r="AC1028" s="144">
        <f t="shared" si="228"/>
        <v>-2.6545217471954069E-2</v>
      </c>
      <c r="AD1028" s="144">
        <f t="shared" si="229"/>
        <v>-4.8826139676213277E-2</v>
      </c>
      <c r="AE1028" s="144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2">
        <f t="shared" si="193"/>
        <v>1.7857142857142857E-4</v>
      </c>
      <c r="Y1029" s="139">
        <f t="shared" si="224"/>
        <v>1.4197121677734384E-2</v>
      </c>
      <c r="Z1029" s="139">
        <f t="shared" si="225"/>
        <v>0</v>
      </c>
      <c r="AA1029" s="139">
        <f t="shared" si="226"/>
        <v>0</v>
      </c>
      <c r="AB1029" s="144">
        <f t="shared" si="227"/>
        <v>5.3521077197049856</v>
      </c>
      <c r="AC1029" s="144">
        <f t="shared" si="228"/>
        <v>-2.5089684071027921E-2</v>
      </c>
      <c r="AD1029" s="144">
        <f t="shared" si="229"/>
        <v>-4.8517680133965492E-2</v>
      </c>
      <c r="AE1029" s="144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2">
        <f t="shared" si="193"/>
        <v>1.7857142857142857E-4</v>
      </c>
      <c r="Y1030" s="139">
        <f t="shared" si="224"/>
        <v>-1.6233134944247146E-2</v>
      </c>
      <c r="Z1030" s="139">
        <f t="shared" si="225"/>
        <v>-1.6233134944247146E-2</v>
      </c>
      <c r="AA1030" s="139">
        <f t="shared" si="226"/>
        <v>2.6351467011813775E-4</v>
      </c>
      <c r="AB1030" s="144">
        <f t="shared" si="227"/>
        <v>5.1152593036824374</v>
      </c>
      <c r="AC1030" s="144">
        <f t="shared" si="228"/>
        <v>-2.5331579680308969E-2</v>
      </c>
      <c r="AD1030" s="144">
        <f t="shared" si="229"/>
        <v>-4.8763263572841553E-2</v>
      </c>
      <c r="AE1030" s="144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2">
        <f t="shared" si="193"/>
        <v>1.7857142857142857E-4</v>
      </c>
      <c r="Y1031" s="139">
        <f t="shared" si="224"/>
        <v>-2.755506000021881E-2</v>
      </c>
      <c r="Z1031" s="139">
        <f t="shared" si="225"/>
        <v>-2.755506000021881E-2</v>
      </c>
      <c r="AA1031" s="139">
        <f t="shared" si="226"/>
        <v>7.5928133161565865E-4</v>
      </c>
      <c r="AB1031" s="144">
        <f t="shared" si="227"/>
        <v>4.8517727633825167</v>
      </c>
      <c r="AC1031" s="144">
        <f t="shared" si="228"/>
        <v>-2.7583956780760425E-2</v>
      </c>
      <c r="AD1031" s="144">
        <f t="shared" si="229"/>
        <v>-4.9405188987036518E-2</v>
      </c>
      <c r="AE1031" s="144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2">
        <f t="shared" si="193"/>
        <v>1.7857142857142857E-4</v>
      </c>
      <c r="Y1032" s="139">
        <f t="shared" si="224"/>
        <v>-3.1192750742768598E-2</v>
      </c>
      <c r="Z1032" s="139">
        <f t="shared" si="225"/>
        <v>-3.1192750742768598E-2</v>
      </c>
      <c r="AA1032" s="139">
        <f t="shared" si="226"/>
        <v>9.7298769890049089E-4</v>
      </c>
      <c r="AB1032" s="144">
        <f t="shared" si="227"/>
        <v>4.0635517771698613</v>
      </c>
      <c r="AC1032" s="144">
        <f t="shared" si="228"/>
        <v>-3.0448788498208285E-2</v>
      </c>
      <c r="AD1032" s="144">
        <f t="shared" si="229"/>
        <v>-4.9647465580693134E-2</v>
      </c>
      <c r="AE1032" s="144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2">
        <f t="shared" si="193"/>
        <v>1.7857142857142857E-4</v>
      </c>
      <c r="Y1033" s="139">
        <f t="shared" si="224"/>
        <v>3.3576832632170345E-2</v>
      </c>
      <c r="Z1033" s="139">
        <f t="shared" si="225"/>
        <v>0</v>
      </c>
      <c r="AA1033" s="139">
        <f t="shared" si="226"/>
        <v>0</v>
      </c>
      <c r="AB1033" s="144">
        <f t="shared" si="227"/>
        <v>4.4035650261953068</v>
      </c>
      <c r="AC1033" s="144">
        <f t="shared" si="228"/>
        <v>-3.0691216636420583E-2</v>
      </c>
      <c r="AD1033" s="144">
        <f t="shared" si="229"/>
        <v>-4.9687762671392369E-2</v>
      </c>
      <c r="AE1033" s="144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2">
        <f t="shared" si="193"/>
        <v>1.7857142857142857E-4</v>
      </c>
      <c r="Y1034" s="139">
        <f t="shared" si="224"/>
        <v>-8.3637535208453458E-3</v>
      </c>
      <c r="Z1034" s="139">
        <f t="shared" si="225"/>
        <v>-8.3637535208453458E-3</v>
      </c>
      <c r="AA1034" s="139">
        <f t="shared" si="226"/>
        <v>6.9952372957452923E-5</v>
      </c>
      <c r="AB1034" s="144">
        <f t="shared" si="227"/>
        <v>4.3288714239477093</v>
      </c>
      <c r="AC1034" s="144">
        <f t="shared" si="228"/>
        <v>-3.0896309213307223E-2</v>
      </c>
      <c r="AD1034" s="144">
        <f t="shared" si="229"/>
        <v>-4.9911791265889273E-2</v>
      </c>
      <c r="AE1034" s="144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2">
        <f t="shared" si="193"/>
        <v>1.7857142857142857E-4</v>
      </c>
      <c r="Y1035" s="139">
        <f t="shared" si="224"/>
        <v>-1.3339495877212946E-2</v>
      </c>
      <c r="Z1035" s="139">
        <f t="shared" si="225"/>
        <v>-1.3339495877212946E-2</v>
      </c>
      <c r="AA1035" s="139">
        <f t="shared" si="226"/>
        <v>1.7794215025818119E-4</v>
      </c>
      <c r="AB1035" s="144">
        <f t="shared" si="227"/>
        <v>4.287867926125271</v>
      </c>
      <c r="AC1035" s="144">
        <f t="shared" si="228"/>
        <v>-3.1955576482478786E-2</v>
      </c>
      <c r="AD1035" s="144">
        <f t="shared" si="229"/>
        <v>-5.0136646312727469E-2</v>
      </c>
      <c r="AE1035" s="144">
        <f t="shared" si="230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3"/>
        <v>0.42330763486571055</v>
      </c>
      <c r="X1036" s="143">
        <f t="shared" si="193"/>
        <v>1.7857142857142857E-4</v>
      </c>
      <c r="Y1036" s="140">
        <f t="shared" si="224"/>
        <v>1.1236670560981273E-2</v>
      </c>
      <c r="Z1036" s="140">
        <f t="shared" si="225"/>
        <v>0</v>
      </c>
      <c r="AA1036" s="140">
        <f t="shared" si="226"/>
        <v>0</v>
      </c>
      <c r="AB1036" s="145">
        <f t="shared" si="227"/>
        <v>4.9041985588739401</v>
      </c>
      <c r="AC1036" s="145">
        <f t="shared" si="228"/>
        <v>-3.0304136490358687E-2</v>
      </c>
      <c r="AD1036" s="145">
        <f t="shared" si="229"/>
        <v>-4.9949627576061889E-2</v>
      </c>
      <c r="AE1036" s="145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2">
        <f t="shared" si="193"/>
        <v>1.7857142857142857E-4</v>
      </c>
      <c r="Y1037" s="139">
        <f t="shared" si="224"/>
        <v>4.3357374978571037E-3</v>
      </c>
      <c r="Z1037" s="139">
        <f t="shared" si="225"/>
        <v>0</v>
      </c>
      <c r="AA1037" s="139">
        <f t="shared" si="226"/>
        <v>0</v>
      </c>
      <c r="AB1037" s="144">
        <f t="shared" si="227"/>
        <v>5.021229363998704</v>
      </c>
      <c r="AC1037" s="144">
        <f t="shared" si="228"/>
        <v>-2.9557960535826329E-2</v>
      </c>
      <c r="AD1037" s="144">
        <f t="shared" si="229"/>
        <v>-4.9732835991934059E-2</v>
      </c>
      <c r="AE1037" s="144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2">
        <f t="shared" si="193"/>
        <v>1.7857142857142857E-4</v>
      </c>
      <c r="Y1038" s="139">
        <f t="shared" si="224"/>
        <v>2.128575480308138E-2</v>
      </c>
      <c r="Z1038" s="139">
        <f t="shared" si="225"/>
        <v>0</v>
      </c>
      <c r="AA1038" s="139">
        <f t="shared" si="226"/>
        <v>0</v>
      </c>
      <c r="AB1038" s="144">
        <f t="shared" si="227"/>
        <v>5.2213477235305579</v>
      </c>
      <c r="AC1038" s="144">
        <f t="shared" si="228"/>
        <v>-2.9463880541429781E-2</v>
      </c>
      <c r="AD1038" s="144">
        <f t="shared" si="229"/>
        <v>-4.9732768405414927E-2</v>
      </c>
      <c r="AE1038" s="144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2">
        <f t="shared" si="193"/>
        <v>1.7857142857142857E-4</v>
      </c>
      <c r="Y1039" s="139">
        <f t="shared" si="224"/>
        <v>4.7704060234334607E-2</v>
      </c>
      <c r="Z1039" s="139">
        <f t="shared" si="225"/>
        <v>0</v>
      </c>
      <c r="AA1039" s="139">
        <f t="shared" si="226"/>
        <v>0</v>
      </c>
      <c r="AB1039" s="144">
        <f t="shared" si="227"/>
        <v>5.6342215004473752</v>
      </c>
      <c r="AC1039" s="144">
        <f t="shared" si="228"/>
        <v>-3.0759860350514208E-2</v>
      </c>
      <c r="AD1039" s="144">
        <f t="shared" si="229"/>
        <v>-4.9767465713307056E-2</v>
      </c>
      <c r="AE1039" s="144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2">
        <f t="shared" si="193"/>
        <v>1.7857142857142857E-4</v>
      </c>
      <c r="Y1040" s="139">
        <f t="shared" si="224"/>
        <v>2.6838473860758927E-3</v>
      </c>
      <c r="Z1040" s="139">
        <f t="shared" si="225"/>
        <v>0</v>
      </c>
      <c r="AA1040" s="139">
        <f t="shared" si="226"/>
        <v>0</v>
      </c>
      <c r="AB1040" s="144">
        <f t="shared" si="227"/>
        <v>5.2737523090605452</v>
      </c>
      <c r="AC1040" s="144">
        <f t="shared" si="228"/>
        <v>-3.0648961766183223E-2</v>
      </c>
      <c r="AD1040" s="144">
        <f t="shared" si="229"/>
        <v>-4.9568478429387386E-2</v>
      </c>
      <c r="AE1040" s="144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2">
        <f t="shared" si="193"/>
        <v>1.7857142857142857E-4</v>
      </c>
      <c r="Y1041" s="139">
        <f t="shared" si="224"/>
        <v>3.5521024009600118E-3</v>
      </c>
      <c r="Z1041" s="139">
        <f t="shared" si="225"/>
        <v>0</v>
      </c>
      <c r="AA1041" s="139">
        <f t="shared" si="226"/>
        <v>0</v>
      </c>
      <c r="AB1041" s="144">
        <f t="shared" si="227"/>
        <v>4.8559194287112399</v>
      </c>
      <c r="AC1041" s="144">
        <f t="shared" si="228"/>
        <v>-2.9942270840895714E-2</v>
      </c>
      <c r="AD1041" s="144">
        <f t="shared" si="229"/>
        <v>-4.9495637189965372E-2</v>
      </c>
      <c r="AE1041" s="144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2">
        <f t="shared" si="193"/>
        <v>1.7857142857142857E-4</v>
      </c>
      <c r="Y1042" s="139">
        <f t="shared" si="224"/>
        <v>5.6524146799457504E-3</v>
      </c>
      <c r="Z1042" s="139">
        <f t="shared" si="225"/>
        <v>0</v>
      </c>
      <c r="AA1042" s="139">
        <f t="shared" si="226"/>
        <v>0</v>
      </c>
      <c r="AB1042" s="144">
        <f t="shared" si="227"/>
        <v>4.9464288480531122</v>
      </c>
      <c r="AC1042" s="144">
        <f t="shared" si="228"/>
        <v>-2.9092139218424941E-2</v>
      </c>
      <c r="AD1042" s="144">
        <f t="shared" si="229"/>
        <v>-4.9324924324236831E-2</v>
      </c>
      <c r="AE1042" s="144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2">
        <f t="shared" si="193"/>
        <v>1.7857142857142857E-4</v>
      </c>
      <c r="Y1043" s="139">
        <f t="shared" si="224"/>
        <v>9.0723778613035415E-4</v>
      </c>
      <c r="Z1043" s="139">
        <f t="shared" si="225"/>
        <v>0</v>
      </c>
      <c r="AA1043" s="139">
        <f t="shared" si="226"/>
        <v>0</v>
      </c>
      <c r="AB1043" s="144">
        <f t="shared" si="227"/>
        <v>4.7949668092228981</v>
      </c>
      <c r="AC1043" s="144">
        <f t="shared" si="228"/>
        <v>-2.9348388109228879E-2</v>
      </c>
      <c r="AD1043" s="144">
        <f t="shared" si="229"/>
        <v>-4.9377291427549513E-2</v>
      </c>
      <c r="AE1043" s="144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2">
        <f t="shared" si="193"/>
        <v>1.7857142857142857E-4</v>
      </c>
      <c r="Y1044" s="139">
        <f t="shared" si="224"/>
        <v>3.5343414201902214E-2</v>
      </c>
      <c r="Z1044" s="139">
        <f t="shared" si="225"/>
        <v>0</v>
      </c>
      <c r="AA1044" s="139">
        <f t="shared" si="226"/>
        <v>0</v>
      </c>
      <c r="AB1044" s="144">
        <f t="shared" si="227"/>
        <v>4.9543689874453207</v>
      </c>
      <c r="AC1044" s="144">
        <f t="shared" si="228"/>
        <v>-2.9359276474642881E-2</v>
      </c>
      <c r="AD1044" s="144">
        <f t="shared" si="229"/>
        <v>-4.9367623195023073E-2</v>
      </c>
      <c r="AE1044" s="144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2">
        <f t="shared" si="193"/>
        <v>1.7857142857142857E-4</v>
      </c>
      <c r="Y1045" s="139">
        <f t="shared" si="224"/>
        <v>-2.9240917115930288E-2</v>
      </c>
      <c r="Z1045" s="139">
        <f t="shared" si="225"/>
        <v>-2.9240917115930288E-2</v>
      </c>
      <c r="AA1045" s="139">
        <f t="shared" si="226"/>
        <v>8.5503123378070488E-4</v>
      </c>
      <c r="AB1045" s="144">
        <f t="shared" si="227"/>
        <v>4.6139752507713014</v>
      </c>
      <c r="AC1045" s="144">
        <f t="shared" si="228"/>
        <v>-3.1940490045132101E-2</v>
      </c>
      <c r="AD1045" s="144">
        <f t="shared" si="229"/>
        <v>-5.0071060814602733E-2</v>
      </c>
      <c r="AE1045" s="144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2">
        <f t="shared" si="193"/>
        <v>1.7857142857142857E-4</v>
      </c>
      <c r="Y1046" s="139">
        <f t="shared" si="224"/>
        <v>2.5927564834401402E-2</v>
      </c>
      <c r="Z1046" s="139">
        <f t="shared" si="225"/>
        <v>0</v>
      </c>
      <c r="AA1046" s="139">
        <f t="shared" si="226"/>
        <v>0</v>
      </c>
      <c r="AB1046" s="144">
        <f t="shared" si="227"/>
        <v>5.593145699016068</v>
      </c>
      <c r="AC1046" s="144">
        <f t="shared" si="228"/>
        <v>-2.9560240875449111E-2</v>
      </c>
      <c r="AD1046" s="144">
        <f t="shared" si="229"/>
        <v>-4.9606050004516296E-2</v>
      </c>
      <c r="AE1046" s="144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2">
        <f t="shared" si="193"/>
        <v>1.7857142857142857E-4</v>
      </c>
      <c r="Y1047" s="139">
        <f t="shared" si="224"/>
        <v>-1.3150837861755234E-3</v>
      </c>
      <c r="Z1047" s="139">
        <f t="shared" si="225"/>
        <v>-1.3150837861755234E-3</v>
      </c>
      <c r="AA1047" s="139">
        <f t="shared" si="226"/>
        <v>1.7294453646617499E-6</v>
      </c>
      <c r="AB1047" s="144">
        <f t="shared" si="227"/>
        <v>5.6103772165594226</v>
      </c>
      <c r="AC1047" s="144">
        <f t="shared" si="228"/>
        <v>-2.7928154536373002E-2</v>
      </c>
      <c r="AD1047" s="144">
        <f t="shared" si="229"/>
        <v>-4.9762299391119598E-2</v>
      </c>
      <c r="AE1047" s="144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2">
        <f t="shared" si="193"/>
        <v>1.7857142857142857E-4</v>
      </c>
      <c r="Y1048" s="139">
        <f t="shared" si="224"/>
        <v>1.3571189346570811E-2</v>
      </c>
      <c r="Z1048" s="139">
        <f t="shared" si="225"/>
        <v>0</v>
      </c>
      <c r="AA1048" s="139">
        <f t="shared" si="226"/>
        <v>0</v>
      </c>
      <c r="AB1048" s="144">
        <f t="shared" si="227"/>
        <v>5.7716640540944315</v>
      </c>
      <c r="AC1048" s="144">
        <f t="shared" si="228"/>
        <v>-2.7866434890763927E-2</v>
      </c>
      <c r="AD1048" s="144">
        <f t="shared" si="229"/>
        <v>-4.9778593149535658E-2</v>
      </c>
      <c r="AE1048" s="144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2">
        <f t="shared" si="193"/>
        <v>1.7857142857142857E-4</v>
      </c>
      <c r="Y1049" s="139">
        <f t="shared" si="224"/>
        <v>-9.6519644516861597E-2</v>
      </c>
      <c r="Z1049" s="139">
        <f t="shared" si="225"/>
        <v>-9.6519644516861597E-2</v>
      </c>
      <c r="AA1049" s="139">
        <f t="shared" si="226"/>
        <v>9.3160417776613318E-3</v>
      </c>
      <c r="AB1049" s="144">
        <f t="shared" si="227"/>
        <v>4.0866096063681416</v>
      </c>
      <c r="AC1049" s="144">
        <f t="shared" si="228"/>
        <v>-4.2427074938043492E-2</v>
      </c>
      <c r="AD1049" s="144">
        <f t="shared" si="229"/>
        <v>-5.3211700426889746E-2</v>
      </c>
      <c r="AE1049" s="144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2">
        <f t="shared" si="193"/>
        <v>1.7857142857142857E-4</v>
      </c>
      <c r="Y1050" s="139">
        <f t="shared" si="224"/>
        <v>-1.4631352031732364E-2</v>
      </c>
      <c r="Z1050" s="139">
        <f t="shared" si="225"/>
        <v>-1.4631352031732364E-2</v>
      </c>
      <c r="AA1050" s="139">
        <f t="shared" si="226"/>
        <v>2.1407646227647876E-4</v>
      </c>
      <c r="AB1050" s="144">
        <f t="shared" si="227"/>
        <v>3.9278060541969588</v>
      </c>
      <c r="AC1050" s="144">
        <f t="shared" si="228"/>
        <v>-4.1816655222685635E-2</v>
      </c>
      <c r="AD1050" s="144">
        <f t="shared" si="229"/>
        <v>-5.2933006656523993E-2</v>
      </c>
      <c r="AE1050" s="144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2">
        <f t="shared" si="193"/>
        <v>1.7857142857142857E-4</v>
      </c>
      <c r="Y1051" s="139">
        <f t="shared" si="224"/>
        <v>-4.7596476322140722E-2</v>
      </c>
      <c r="Z1051" s="139">
        <f t="shared" si="225"/>
        <v>-4.7596476322140722E-2</v>
      </c>
      <c r="AA1051" s="139">
        <f t="shared" si="226"/>
        <v>2.2654245582841024E-3</v>
      </c>
      <c r="AB1051" s="144">
        <f t="shared" si="227"/>
        <v>3.5825235823518407</v>
      </c>
      <c r="AC1051" s="144">
        <f t="shared" si="228"/>
        <v>-4.5149806106453916E-2</v>
      </c>
      <c r="AD1051" s="144">
        <f t="shared" si="229"/>
        <v>-5.4212045167911629E-2</v>
      </c>
      <c r="AE1051" s="144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2">
        <f t="shared" si="193"/>
        <v>1.7857142857142857E-4</v>
      </c>
      <c r="Y1052" s="139">
        <f t="shared" si="224"/>
        <v>4.1916646980102383E-2</v>
      </c>
      <c r="Z1052" s="139">
        <f t="shared" si="225"/>
        <v>0</v>
      </c>
      <c r="AA1052" s="139">
        <f t="shared" si="226"/>
        <v>0</v>
      </c>
      <c r="AB1052" s="144">
        <f t="shared" si="227"/>
        <v>3.6995777660940035</v>
      </c>
      <c r="AC1052" s="144">
        <f t="shared" si="228"/>
        <v>-4.5586034690071081E-2</v>
      </c>
      <c r="AD1052" s="144">
        <f t="shared" si="229"/>
        <v>-5.3775383950557996E-2</v>
      </c>
      <c r="AE1052" s="144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2">
        <f t="shared" si="193"/>
        <v>1.7857142857142857E-4</v>
      </c>
      <c r="Y1053" s="139">
        <f t="shared" si="224"/>
        <v>-1.3196422842870509E-2</v>
      </c>
      <c r="Z1053" s="139">
        <f t="shared" si="225"/>
        <v>-1.3196422842870509E-2</v>
      </c>
      <c r="AA1053" s="139">
        <f t="shared" si="226"/>
        <v>1.7414557584783457E-4</v>
      </c>
      <c r="AB1053" s="144">
        <f t="shared" si="227"/>
        <v>3.5457925182338226</v>
      </c>
      <c r="AC1053" s="144">
        <f t="shared" si="228"/>
        <v>-4.5431044374702467E-2</v>
      </c>
      <c r="AD1053" s="144">
        <f t="shared" si="229"/>
        <v>-5.3697125455768387E-2</v>
      </c>
      <c r="AE1053" s="144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2">
        <f t="shared" si="193"/>
        <v>1.7857142857142857E-4</v>
      </c>
      <c r="Y1054" s="139">
        <f t="shared" si="224"/>
        <v>-6.3328618353724178E-2</v>
      </c>
      <c r="Z1054" s="139">
        <f t="shared" si="225"/>
        <v>-6.3328618353724178E-2</v>
      </c>
      <c r="AA1054" s="139">
        <f t="shared" si="226"/>
        <v>4.010513902591651E-3</v>
      </c>
      <c r="AB1054" s="144">
        <f t="shared" si="227"/>
        <v>2.9490289532673524</v>
      </c>
      <c r="AC1054" s="144">
        <f t="shared" si="228"/>
        <v>-5.1268072015722921E-2</v>
      </c>
      <c r="AD1054" s="144">
        <f t="shared" si="229"/>
        <v>-5.5219135792100499E-2</v>
      </c>
      <c r="AE1054" s="144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2">
        <f t="shared" si="193"/>
        <v>1.7857142857142857E-4</v>
      </c>
      <c r="Y1055" s="139">
        <f t="shared" si="224"/>
        <v>-1.4811868055181466E-2</v>
      </c>
      <c r="Z1055" s="139">
        <f t="shared" si="225"/>
        <v>-1.4811868055181466E-2</v>
      </c>
      <c r="AA1055" s="139">
        <f t="shared" si="226"/>
        <v>2.1939143528410519E-4</v>
      </c>
      <c r="AB1055" s="144">
        <f t="shared" si="227"/>
        <v>3.3205488503941916</v>
      </c>
      <c r="AC1055" s="144">
        <f t="shared" si="228"/>
        <v>-5.1667171876162737E-2</v>
      </c>
      <c r="AD1055" s="144">
        <f t="shared" si="229"/>
        <v>-5.555410704773911E-2</v>
      </c>
      <c r="AE1055" s="144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2">
        <f t="shared" si="193"/>
        <v>1.7857142857142857E-4</v>
      </c>
      <c r="Y1056" s="139">
        <f t="shared" ref="Y1056:Y1087" si="245">G1056-X1056</f>
        <v>3.5987633290215183E-2</v>
      </c>
      <c r="Z1056" s="139">
        <f t="shared" ref="Z1056:Z1087" si="246">IF(Y1056&lt;0,Y1056,0)</f>
        <v>0</v>
      </c>
      <c r="AA1056" s="139">
        <f t="shared" ref="AA1056:AA1087" si="247">Z1056^2</f>
        <v>0</v>
      </c>
      <c r="AB1056" s="144">
        <f t="shared" ref="AB1056:AB1087" si="248">AVERAGE(Y803:Y1056)/AVERAGE(AA803:AA1056)</f>
        <v>3.847634070393533</v>
      </c>
      <c r="AC1056" s="144">
        <f t="shared" ref="AC1056:AC1087" si="249">AVERAGE(G1025:G1056)-_xlfn.NORM.S.INV(0.95)*_xlfn.STDEV.S(G1025:G1056)</f>
        <v>-5.1664539733535506E-2</v>
      </c>
      <c r="AD1056" s="144">
        <f t="shared" ref="AD1056:AD1087" si="250">AVERAGE(G965:G1056)-_xlfn.NORM.S.INV(0.95)*_xlfn.STDEV.S(G965:G1056)</f>
        <v>-5.5539415913611771E-2</v>
      </c>
      <c r="AE1056" s="144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2">
        <f t="shared" si="193"/>
        <v>1.7857142857142857E-4</v>
      </c>
      <c r="Y1057" s="139">
        <f t="shared" si="245"/>
        <v>-8.8848429120723937E-3</v>
      </c>
      <c r="Z1057" s="139">
        <f t="shared" si="246"/>
        <v>-8.8848429120723937E-3</v>
      </c>
      <c r="AA1057" s="139">
        <f t="shared" si="247"/>
        <v>7.8940433572203056E-5</v>
      </c>
      <c r="AB1057" s="144">
        <f t="shared" si="248"/>
        <v>3.7429269437450881</v>
      </c>
      <c r="AC1057" s="144">
        <f t="shared" si="249"/>
        <v>-5.2108296438685121E-2</v>
      </c>
      <c r="AD1057" s="144">
        <f t="shared" si="250"/>
        <v>-5.5684862978777588E-2</v>
      </c>
      <c r="AE1057" s="144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2">
        <f t="shared" si="193"/>
        <v>1.7857142857142857E-4</v>
      </c>
      <c r="Y1058" s="139">
        <f t="shared" si="245"/>
        <v>-3.8981025136926875E-2</v>
      </c>
      <c r="Z1058" s="139">
        <f t="shared" si="246"/>
        <v>-3.8981025136926875E-2</v>
      </c>
      <c r="AA1058" s="139">
        <f t="shared" si="247"/>
        <v>1.519520320725725E-3</v>
      </c>
      <c r="AB1058" s="144">
        <f t="shared" si="248"/>
        <v>3.2484248378611928</v>
      </c>
      <c r="AC1058" s="144">
        <f t="shared" si="249"/>
        <v>-5.4461043450737386E-2</v>
      </c>
      <c r="AD1058" s="144">
        <f t="shared" si="250"/>
        <v>-5.6629183300667713E-2</v>
      </c>
      <c r="AE1058" s="144">
        <f t="shared" si="251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6">
        <f t="shared" si="244"/>
        <v>0.40279481202642103</v>
      </c>
      <c r="X1059" s="143">
        <f t="shared" si="193"/>
        <v>1.7857142857142857E-4</v>
      </c>
      <c r="Y1059" s="140">
        <f t="shared" si="245"/>
        <v>0.10542655372467835</v>
      </c>
      <c r="Z1059" s="140">
        <f t="shared" si="246"/>
        <v>0</v>
      </c>
      <c r="AA1059" s="140">
        <f t="shared" si="247"/>
        <v>0</v>
      </c>
      <c r="AB1059" s="145">
        <f t="shared" si="248"/>
        <v>4.3625771854468187</v>
      </c>
      <c r="AC1059" s="145">
        <f t="shared" si="249"/>
        <v>-6.0298099521045707E-2</v>
      </c>
      <c r="AD1059" s="145">
        <f t="shared" si="250"/>
        <v>-5.819336865464099E-2</v>
      </c>
      <c r="AE1059" s="145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2">
        <f t="shared" si="193"/>
        <v>1.7857142857142857E-4</v>
      </c>
      <c r="Y1060" s="139">
        <f t="shared" si="245"/>
        <v>-7.7371915577341688E-2</v>
      </c>
      <c r="Z1060" s="139">
        <f t="shared" si="246"/>
        <v>-7.7371915577341688E-2</v>
      </c>
      <c r="AA1060" s="139">
        <f t="shared" si="247"/>
        <v>5.9864133201072891E-3</v>
      </c>
      <c r="AB1060" s="144">
        <f t="shared" si="248"/>
        <v>3.5562124083331792</v>
      </c>
      <c r="AC1060" s="144">
        <f t="shared" si="249"/>
        <v>-6.7041120026474874E-2</v>
      </c>
      <c r="AD1060" s="144">
        <f t="shared" si="250"/>
        <v>-6.0482795322080896E-2</v>
      </c>
      <c r="AE1060" s="144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2">
        <f t="shared" si="193"/>
        <v>1.7857142857142857E-4</v>
      </c>
      <c r="Y1061" s="139">
        <f t="shared" si="245"/>
        <v>-5.733872461040964E-2</v>
      </c>
      <c r="Z1061" s="139">
        <f t="shared" si="246"/>
        <v>-5.733872461040964E-2</v>
      </c>
      <c r="AA1061" s="139">
        <f t="shared" si="247"/>
        <v>3.2877293399483963E-3</v>
      </c>
      <c r="AB1061" s="144">
        <f t="shared" si="248"/>
        <v>2.9452781463220226</v>
      </c>
      <c r="AC1061" s="144">
        <f t="shared" si="249"/>
        <v>-7.0944461902771705E-2</v>
      </c>
      <c r="AD1061" s="144">
        <f t="shared" si="250"/>
        <v>-6.1781817094156637E-2</v>
      </c>
      <c r="AE1061" s="144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2">
        <f t="shared" si="193"/>
        <v>1.7857142857142857E-4</v>
      </c>
      <c r="Y1062" s="139">
        <f t="shared" si="245"/>
        <v>-0.10273499428939145</v>
      </c>
      <c r="Z1062" s="139">
        <f t="shared" si="246"/>
        <v>-0.10273499428939145</v>
      </c>
      <c r="AA1062" s="139">
        <f t="shared" si="247"/>
        <v>1.0554479051641294E-2</v>
      </c>
      <c r="AB1062" s="144">
        <f t="shared" si="248"/>
        <v>1.9565195456369262</v>
      </c>
      <c r="AC1062" s="144">
        <f t="shared" si="249"/>
        <v>-7.9450438556777123E-2</v>
      </c>
      <c r="AD1062" s="144">
        <f t="shared" si="250"/>
        <v>-6.5443924057929995E-2</v>
      </c>
      <c r="AE1062" s="144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2">
        <f t="shared" si="193"/>
        <v>1.7857142857142857E-4</v>
      </c>
      <c r="Y1063" s="139">
        <f t="shared" si="245"/>
        <v>2.9072007286715853E-2</v>
      </c>
      <c r="Z1063" s="139">
        <f t="shared" si="246"/>
        <v>0</v>
      </c>
      <c r="AA1063" s="139">
        <f t="shared" si="247"/>
        <v>0</v>
      </c>
      <c r="AB1063" s="144">
        <f t="shared" si="248"/>
        <v>2.0716872076254882</v>
      </c>
      <c r="AC1063" s="144">
        <f t="shared" si="249"/>
        <v>-7.8225132318648694E-2</v>
      </c>
      <c r="AD1063" s="144">
        <f t="shared" si="250"/>
        <v>-6.5392192317157025E-2</v>
      </c>
      <c r="AE1063" s="144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2">
        <f t="shared" si="193"/>
        <v>1.7857142857142857E-4</v>
      </c>
      <c r="Y1064" s="139">
        <f t="shared" si="245"/>
        <v>-2.9797704522692963E-2</v>
      </c>
      <c r="Z1064" s="139">
        <f t="shared" si="246"/>
        <v>-2.9797704522692963E-2</v>
      </c>
      <c r="AA1064" s="139">
        <f t="shared" si="247"/>
        <v>8.879031948217167E-4</v>
      </c>
      <c r="AB1064" s="144">
        <f t="shared" si="248"/>
        <v>1.992514542194338</v>
      </c>
      <c r="AC1064" s="144">
        <f t="shared" si="249"/>
        <v>-7.8140600274760857E-2</v>
      </c>
      <c r="AD1064" s="144">
        <f t="shared" si="250"/>
        <v>-6.5849383425390415E-2</v>
      </c>
      <c r="AE1064" s="144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2">
        <f t="shared" si="193"/>
        <v>1.7857142857142857E-4</v>
      </c>
      <c r="Y1065" s="139">
        <f t="shared" si="245"/>
        <v>9.3878662861147516E-2</v>
      </c>
      <c r="Z1065" s="139">
        <f t="shared" si="246"/>
        <v>0</v>
      </c>
      <c r="AA1065" s="139">
        <f t="shared" si="247"/>
        <v>0</v>
      </c>
      <c r="AB1065" s="144">
        <f t="shared" si="248"/>
        <v>2.9630792513487707</v>
      </c>
      <c r="AC1065" s="144">
        <f t="shared" si="249"/>
        <v>-8.1129547881972672E-2</v>
      </c>
      <c r="AD1065" s="144">
        <f t="shared" si="250"/>
        <v>-6.6553027926578898E-2</v>
      </c>
      <c r="AE1065" s="144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2">
        <f t="shared" si="193"/>
        <v>1.7857142857142857E-4</v>
      </c>
      <c r="Y1066" s="139">
        <f t="shared" si="245"/>
        <v>1.4481841220575558E-2</v>
      </c>
      <c r="Z1066" s="139">
        <f t="shared" si="246"/>
        <v>0</v>
      </c>
      <c r="AA1066" s="139">
        <f t="shared" si="247"/>
        <v>0</v>
      </c>
      <c r="AB1066" s="144">
        <f t="shared" si="248"/>
        <v>3.3382773825840899</v>
      </c>
      <c r="AC1066" s="144">
        <f t="shared" si="249"/>
        <v>-8.0597913346316635E-2</v>
      </c>
      <c r="AD1066" s="144">
        <f t="shared" si="250"/>
        <v>-6.6546840225213774E-2</v>
      </c>
      <c r="AE1066" s="144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2">
        <f t="shared" si="193"/>
        <v>1.7857142857142857E-4</v>
      </c>
      <c r="Y1067" s="139">
        <f t="shared" si="245"/>
        <v>1.6556935624663132E-2</v>
      </c>
      <c r="Z1067" s="139">
        <f t="shared" si="246"/>
        <v>0</v>
      </c>
      <c r="AA1067" s="139">
        <f t="shared" si="247"/>
        <v>0</v>
      </c>
      <c r="AB1067" s="144">
        <f t="shared" si="248"/>
        <v>3.4828855207605875</v>
      </c>
      <c r="AC1067" s="144">
        <f t="shared" si="249"/>
        <v>-7.982482649947141E-2</v>
      </c>
      <c r="AD1067" s="144">
        <f t="shared" si="250"/>
        <v>-6.500792880552704E-2</v>
      </c>
      <c r="AE1067" s="144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2">
        <f t="shared" si="193"/>
        <v>1.7857142857142857E-4</v>
      </c>
      <c r="Y1068" s="139">
        <f t="shared" si="245"/>
        <v>5.8705735768973449E-2</v>
      </c>
      <c r="Z1068" s="139">
        <f t="shared" si="246"/>
        <v>0</v>
      </c>
      <c r="AA1068" s="139">
        <f t="shared" si="247"/>
        <v>0</v>
      </c>
      <c r="AB1068" s="144">
        <f t="shared" si="248"/>
        <v>3.7972404316124515</v>
      </c>
      <c r="AC1068" s="144">
        <f t="shared" si="249"/>
        <v>-8.0295449356181714E-2</v>
      </c>
      <c r="AD1068" s="144">
        <f t="shared" si="250"/>
        <v>-6.5211889589931432E-2</v>
      </c>
      <c r="AE1068" s="144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2">
        <f t="shared" si="193"/>
        <v>1.7857142857142857E-4</v>
      </c>
      <c r="Y1069" s="139">
        <f t="shared" si="245"/>
        <v>2.4279269620333132E-3</v>
      </c>
      <c r="Z1069" s="139">
        <f t="shared" si="246"/>
        <v>0</v>
      </c>
      <c r="AA1069" s="139">
        <f t="shared" si="247"/>
        <v>0</v>
      </c>
      <c r="AB1069" s="144">
        <f t="shared" si="248"/>
        <v>3.8279142658956222</v>
      </c>
      <c r="AC1069" s="144">
        <f t="shared" si="249"/>
        <v>-8.0345356631114709E-2</v>
      </c>
      <c r="AD1069" s="144">
        <f t="shared" si="250"/>
        <v>-6.5214847390028127E-2</v>
      </c>
      <c r="AE1069" s="144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2">
        <f t="shared" si="193"/>
        <v>1.7857142857142857E-4</v>
      </c>
      <c r="Y1070" s="139">
        <f t="shared" si="245"/>
        <v>5.474060731744361E-2</v>
      </c>
      <c r="Z1070" s="139">
        <f t="shared" si="246"/>
        <v>0</v>
      </c>
      <c r="AA1070" s="139">
        <f t="shared" si="247"/>
        <v>0</v>
      </c>
      <c r="AB1070" s="144">
        <f t="shared" si="248"/>
        <v>4.0221459644508366</v>
      </c>
      <c r="AC1070" s="144">
        <f t="shared" si="249"/>
        <v>-8.0715274745450385E-2</v>
      </c>
      <c r="AD1070" s="144">
        <f t="shared" si="250"/>
        <v>-6.5282294465200175E-2</v>
      </c>
      <c r="AE1070" s="144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2">
        <f t="shared" si="193"/>
        <v>1.7857142857142857E-4</v>
      </c>
      <c r="Y1071" s="139">
        <f t="shared" si="245"/>
        <v>2.2076769011564037E-2</v>
      </c>
      <c r="Z1071" s="139">
        <f t="shared" si="246"/>
        <v>0</v>
      </c>
      <c r="AA1071" s="139">
        <f t="shared" si="247"/>
        <v>0</v>
      </c>
      <c r="AB1071" s="144">
        <f t="shared" si="248"/>
        <v>4.5944340438539024</v>
      </c>
      <c r="AC1071" s="144">
        <f t="shared" si="249"/>
        <v>-8.0525308402567289E-2</v>
      </c>
      <c r="AD1071" s="144">
        <f t="shared" si="250"/>
        <v>-6.4047694801402419E-2</v>
      </c>
      <c r="AE1071" s="144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2">
        <f t="shared" si="193"/>
        <v>1.7857142857142857E-4</v>
      </c>
      <c r="Y1072" s="139">
        <f t="shared" si="245"/>
        <v>3.3551800224288171E-2</v>
      </c>
      <c r="Z1072" s="139">
        <f t="shared" si="246"/>
        <v>0</v>
      </c>
      <c r="AA1072" s="139">
        <f t="shared" si="247"/>
        <v>0</v>
      </c>
      <c r="AB1072" s="144">
        <f t="shared" si="248"/>
        <v>4.7704845971016443</v>
      </c>
      <c r="AC1072" s="144">
        <f t="shared" si="249"/>
        <v>-8.0189188563951422E-2</v>
      </c>
      <c r="AD1072" s="144">
        <f t="shared" si="250"/>
        <v>-6.3812979448044857E-2</v>
      </c>
      <c r="AE1072" s="144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2">
        <f t="shared" ref="X1073:X1168" si="254">4.5%/252</f>
        <v>1.7857142857142857E-4</v>
      </c>
      <c r="Y1073" s="139">
        <f t="shared" si="245"/>
        <v>-2.2661055011005092E-2</v>
      </c>
      <c r="Z1073" s="139">
        <f t="shared" si="246"/>
        <v>-2.2661055011005092E-2</v>
      </c>
      <c r="AA1073" s="139">
        <f t="shared" si="247"/>
        <v>5.1352341421179897E-4</v>
      </c>
      <c r="AB1073" s="144">
        <f t="shared" si="248"/>
        <v>4.4622341284670526</v>
      </c>
      <c r="AC1073" s="144">
        <f t="shared" si="249"/>
        <v>-8.1266698832261078E-2</v>
      </c>
      <c r="AD1073" s="144">
        <f t="shared" si="250"/>
        <v>-6.1173075071309119E-2</v>
      </c>
      <c r="AE1073" s="144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2">
        <f t="shared" si="254"/>
        <v>1.7857142857142857E-4</v>
      </c>
      <c r="Y1074" s="139">
        <f t="shared" si="245"/>
        <v>1.407637857403521E-2</v>
      </c>
      <c r="Z1074" s="139">
        <f t="shared" si="246"/>
        <v>0</v>
      </c>
      <c r="AA1074" s="139">
        <f t="shared" si="247"/>
        <v>0</v>
      </c>
      <c r="AB1074" s="144">
        <f t="shared" si="248"/>
        <v>4.2900569120052872</v>
      </c>
      <c r="AC1074" s="144">
        <f t="shared" si="249"/>
        <v>-8.1100248023314891E-2</v>
      </c>
      <c r="AD1074" s="144">
        <f t="shared" si="250"/>
        <v>-5.986171041713944E-2</v>
      </c>
      <c r="AE1074" s="144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2">
        <f t="shared" si="254"/>
        <v>1.7857142857142857E-4</v>
      </c>
      <c r="Y1075" s="139">
        <f t="shared" si="245"/>
        <v>-3.8420754244126935E-2</v>
      </c>
      <c r="Z1075" s="139">
        <f t="shared" si="246"/>
        <v>-3.8420754244126935E-2</v>
      </c>
      <c r="AA1075" s="139">
        <f t="shared" si="247"/>
        <v>1.476154356687598E-3</v>
      </c>
      <c r="AB1075" s="144">
        <f t="shared" si="248"/>
        <v>3.86741166014298</v>
      </c>
      <c r="AC1075" s="144">
        <f t="shared" si="249"/>
        <v>-8.3071559752930249E-2</v>
      </c>
      <c r="AD1075" s="144">
        <f t="shared" si="250"/>
        <v>-6.0374355797443068E-2</v>
      </c>
      <c r="AE1075" s="144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2">
        <f t="shared" si="254"/>
        <v>1.7857142857142857E-4</v>
      </c>
      <c r="Y1076" s="139">
        <f t="shared" si="245"/>
        <v>5.3638149474892823E-2</v>
      </c>
      <c r="Z1076" s="139">
        <f t="shared" si="246"/>
        <v>0</v>
      </c>
      <c r="AA1076" s="139">
        <f t="shared" si="247"/>
        <v>0</v>
      </c>
      <c r="AB1076" s="144">
        <f t="shared" si="248"/>
        <v>4.286995195524069</v>
      </c>
      <c r="AC1076" s="144">
        <f t="shared" si="249"/>
        <v>-8.3398165723333223E-2</v>
      </c>
      <c r="AD1076" s="144">
        <f t="shared" si="250"/>
        <v>-5.8606381742151187E-2</v>
      </c>
      <c r="AE1076" s="144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2">
        <f t="shared" si="254"/>
        <v>1.7857142857142857E-4</v>
      </c>
      <c r="Y1077" s="139">
        <f t="shared" si="245"/>
        <v>-1.7854743691097418E-2</v>
      </c>
      <c r="Z1077" s="139">
        <f t="shared" si="246"/>
        <v>-1.7854743691097418E-2</v>
      </c>
      <c r="AA1077" s="139">
        <f t="shared" si="247"/>
        <v>3.1879187227478307E-4</v>
      </c>
      <c r="AB1077" s="144">
        <f t="shared" si="248"/>
        <v>4.1310645686509968</v>
      </c>
      <c r="AC1077" s="144">
        <f t="shared" si="249"/>
        <v>-8.2770821785131343E-2</v>
      </c>
      <c r="AD1077" s="144">
        <f t="shared" si="250"/>
        <v>-5.8544059749753012E-2</v>
      </c>
      <c r="AE1077" s="144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2">
        <f t="shared" si="254"/>
        <v>1.7857142857142857E-4</v>
      </c>
      <c r="Y1078" s="139">
        <f t="shared" si="245"/>
        <v>1.2766534362774322E-2</v>
      </c>
      <c r="Z1078" s="139">
        <f t="shared" si="246"/>
        <v>0</v>
      </c>
      <c r="AA1078" s="139">
        <f t="shared" si="247"/>
        <v>0</v>
      </c>
      <c r="AB1078" s="144">
        <f t="shared" si="248"/>
        <v>4.2477540392593589</v>
      </c>
      <c r="AC1078" s="144">
        <f t="shared" si="249"/>
        <v>-8.2894944521658714E-2</v>
      </c>
      <c r="AD1078" s="144">
        <f t="shared" si="250"/>
        <v>-5.5898920337308589E-2</v>
      </c>
      <c r="AE1078" s="144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2">
        <f t="shared" si="254"/>
        <v>1.7857142857142857E-4</v>
      </c>
      <c r="Y1079" s="139">
        <f t="shared" si="245"/>
        <v>-2.8693192920697119E-2</v>
      </c>
      <c r="Z1079" s="139">
        <f t="shared" si="246"/>
        <v>-2.8693192920697119E-2</v>
      </c>
      <c r="AA1079" s="139">
        <f t="shared" si="247"/>
        <v>8.2329931998434327E-4</v>
      </c>
      <c r="AB1079" s="144">
        <f t="shared" si="248"/>
        <v>4.0049980156915082</v>
      </c>
      <c r="AC1079" s="144">
        <f t="shared" si="249"/>
        <v>-8.4136793760729717E-2</v>
      </c>
      <c r="AD1079" s="144">
        <f t="shared" si="250"/>
        <v>-5.6464036163213244E-2</v>
      </c>
      <c r="AE1079" s="144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2">
        <f t="shared" si="254"/>
        <v>1.7857142857142857E-4</v>
      </c>
      <c r="Y1080" s="139">
        <f t="shared" si="245"/>
        <v>-1.8499090440148573E-2</v>
      </c>
      <c r="Z1080" s="139">
        <f t="shared" si="246"/>
        <v>-1.8499090440148573E-2</v>
      </c>
      <c r="AA1080" s="139">
        <f t="shared" si="247"/>
        <v>3.4221634711279636E-4</v>
      </c>
      <c r="AB1080" s="144">
        <f t="shared" si="248"/>
        <v>3.9736304195889498</v>
      </c>
      <c r="AC1080" s="144">
        <f t="shared" si="249"/>
        <v>-8.5131389137528851E-2</v>
      </c>
      <c r="AD1080" s="144">
        <f t="shared" si="250"/>
        <v>-5.6525372787213743E-2</v>
      </c>
      <c r="AE1080" s="144">
        <f t="shared" si="251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6">
        <f t="shared" si="244"/>
        <v>0.46097322231554289</v>
      </c>
      <c r="X1081" s="143">
        <f t="shared" si="254"/>
        <v>1.7857142857142857E-4</v>
      </c>
      <c r="Y1081" s="140">
        <f t="shared" si="245"/>
        <v>3.2032140760256463E-2</v>
      </c>
      <c r="Z1081" s="140">
        <f t="shared" si="246"/>
        <v>0</v>
      </c>
      <c r="AA1081" s="140">
        <f t="shared" si="247"/>
        <v>0</v>
      </c>
      <c r="AB1081" s="145">
        <f t="shared" si="248"/>
        <v>4.3066337243811654</v>
      </c>
      <c r="AC1081" s="145">
        <f t="shared" si="249"/>
        <v>-7.6754438447849016E-2</v>
      </c>
      <c r="AD1081" s="145">
        <f t="shared" si="250"/>
        <v>-5.6425872321953278E-2</v>
      </c>
      <c r="AE1081" s="145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2">
        <f t="shared" si="254"/>
        <v>1.7857142857142857E-4</v>
      </c>
      <c r="Y1082" s="139">
        <f t="shared" si="245"/>
        <v>-4.0949517217354625E-3</v>
      </c>
      <c r="Z1082" s="139">
        <f t="shared" si="246"/>
        <v>-4.0949517217354625E-3</v>
      </c>
      <c r="AA1082" s="139">
        <f t="shared" si="247"/>
        <v>1.6768629603344228E-5</v>
      </c>
      <c r="AB1082" s="144">
        <f t="shared" si="248"/>
        <v>4.235506051015248</v>
      </c>
      <c r="AC1082" s="144">
        <f t="shared" si="249"/>
        <v>-7.6302603960186691E-2</v>
      </c>
      <c r="AD1082" s="144">
        <f t="shared" si="250"/>
        <v>-5.6630225931091564E-2</v>
      </c>
      <c r="AE1082" s="144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2">
        <f t="shared" si="254"/>
        <v>1.7857142857142857E-4</v>
      </c>
      <c r="Y1083" s="139">
        <f t="shared" si="245"/>
        <v>-0.1012537186838116</v>
      </c>
      <c r="Z1083" s="139">
        <f t="shared" si="246"/>
        <v>-0.1012537186838116</v>
      </c>
      <c r="AA1083" s="139">
        <f t="shared" si="247"/>
        <v>1.0252315547300458E-2</v>
      </c>
      <c r="AB1083" s="144">
        <f t="shared" si="248"/>
        <v>2.9811252616253552</v>
      </c>
      <c r="AC1083" s="144">
        <f t="shared" si="249"/>
        <v>-8.2363969357801506E-2</v>
      </c>
      <c r="AD1083" s="144">
        <f t="shared" si="250"/>
        <v>-6.0024640163128813E-2</v>
      </c>
      <c r="AE1083" s="144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2">
        <f t="shared" si="254"/>
        <v>1.7857142857142857E-4</v>
      </c>
      <c r="Y1084" s="139">
        <f t="shared" si="245"/>
        <v>-2.3825879587469855E-2</v>
      </c>
      <c r="Z1084" s="139">
        <f t="shared" si="246"/>
        <v>-2.3825879587469855E-2</v>
      </c>
      <c r="AA1084" s="139">
        <f t="shared" si="247"/>
        <v>5.6767253811661276E-4</v>
      </c>
      <c r="AB1084" s="144">
        <f t="shared" si="248"/>
        <v>2.9430603855614845</v>
      </c>
      <c r="AC1084" s="144">
        <f t="shared" si="249"/>
        <v>-8.3674192783888685E-2</v>
      </c>
      <c r="AD1084" s="144">
        <f t="shared" si="250"/>
        <v>-6.056972532721696E-2</v>
      </c>
      <c r="AE1084" s="144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2">
        <f t="shared" si="254"/>
        <v>1.7857142857142857E-4</v>
      </c>
      <c r="Y1085" s="139">
        <f t="shared" si="245"/>
        <v>7.9779188570883338E-4</v>
      </c>
      <c r="Z1085" s="139">
        <f t="shared" si="246"/>
        <v>0</v>
      </c>
      <c r="AA1085" s="139">
        <f t="shared" si="247"/>
        <v>0</v>
      </c>
      <c r="AB1085" s="144">
        <f t="shared" si="248"/>
        <v>2.9081271882097686</v>
      </c>
      <c r="AC1085" s="144">
        <f t="shared" si="249"/>
        <v>-8.3179073598131301E-2</v>
      </c>
      <c r="AD1085" s="144">
        <f t="shared" si="250"/>
        <v>-5.8370301321395528E-2</v>
      </c>
      <c r="AE1085" s="144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2">
        <f t="shared" si="254"/>
        <v>1.7857142857142857E-4</v>
      </c>
      <c r="Y1086" s="139">
        <f t="shared" si="245"/>
        <v>-6.3723673568229985E-2</v>
      </c>
      <c r="Z1086" s="139">
        <f t="shared" si="246"/>
        <v>-6.3723673568229985E-2</v>
      </c>
      <c r="AA1086" s="139">
        <f t="shared" si="247"/>
        <v>4.0607065730303331E-3</v>
      </c>
      <c r="AB1086" s="144">
        <f t="shared" si="248"/>
        <v>2.2084904948426916</v>
      </c>
      <c r="AC1086" s="144">
        <f t="shared" si="249"/>
        <v>-8.3217472513318513E-2</v>
      </c>
      <c r="AD1086" s="144">
        <f t="shared" si="250"/>
        <v>-5.8973951004408713E-2</v>
      </c>
      <c r="AE1086" s="144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2">
        <f t="shared" si="254"/>
        <v>1.7857142857142857E-4</v>
      </c>
      <c r="Y1087" s="139">
        <f t="shared" si="245"/>
        <v>3.7027281548401299E-2</v>
      </c>
      <c r="Z1087" s="139">
        <f t="shared" si="246"/>
        <v>0</v>
      </c>
      <c r="AA1087" s="139">
        <f t="shared" si="247"/>
        <v>0</v>
      </c>
      <c r="AB1087" s="144">
        <f t="shared" si="248"/>
        <v>2.7505290520424097</v>
      </c>
      <c r="AC1087" s="144">
        <f t="shared" si="249"/>
        <v>-8.228759684703274E-2</v>
      </c>
      <c r="AD1087" s="144">
        <f t="shared" si="250"/>
        <v>-5.8634311809341158E-2</v>
      </c>
      <c r="AE1087" s="144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2">
        <f t="shared" si="254"/>
        <v>1.7857142857142857E-4</v>
      </c>
      <c r="Y1088" s="139">
        <f t="shared" ref="Y1088:Y1119" si="267">G1088-X1088</f>
        <v>1.246838400860863E-2</v>
      </c>
      <c r="Z1088" s="139">
        <f t="shared" ref="Z1088:Z1119" si="268">IF(Y1088&lt;0,Y1088,0)</f>
        <v>0</v>
      </c>
      <c r="AA1088" s="139">
        <f t="shared" ref="AA1088:AA1119" si="269">Z1088^2</f>
        <v>0</v>
      </c>
      <c r="AB1088" s="144">
        <f t="shared" ref="AB1088:AB1119" si="270">AVERAGE(Y835:Y1088)/AVERAGE(AA835:AA1088)</f>
        <v>2.8731724294488714</v>
      </c>
      <c r="AC1088" s="144">
        <f t="shared" ref="AC1088:AC1119" si="271">AVERAGE(G1057:G1088)-_xlfn.NORM.S.INV(0.95)*_xlfn.STDEV.S(G1057:G1088)</f>
        <v>-8.2390766208945018E-2</v>
      </c>
      <c r="AD1088" s="144">
        <f t="shared" ref="AD1088:AD1119" si="272">AVERAGE(G997:G1088)-_xlfn.NORM.S.INV(0.95)*_xlfn.STDEV.S(G997:G1088)</f>
        <v>-5.8126405536086966E-2</v>
      </c>
      <c r="AE1088" s="144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2">
        <f t="shared" si="254"/>
        <v>1.7857142857142857E-4</v>
      </c>
      <c r="Y1089" s="139">
        <f t="shared" si="267"/>
        <v>6.103786737637084E-2</v>
      </c>
      <c r="Z1089" s="139">
        <f t="shared" si="268"/>
        <v>0</v>
      </c>
      <c r="AA1089" s="139">
        <f t="shared" si="269"/>
        <v>0</v>
      </c>
      <c r="AB1089" s="144">
        <f t="shared" si="270"/>
        <v>3.3674941956647397</v>
      </c>
      <c r="AC1089" s="144">
        <f t="shared" si="271"/>
        <v>-8.2152359423227614E-2</v>
      </c>
      <c r="AD1089" s="144">
        <f t="shared" si="272"/>
        <v>-5.8266385555767318E-2</v>
      </c>
      <c r="AE1089" s="144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2">
        <f t="shared" si="254"/>
        <v>1.7857142857142857E-4</v>
      </c>
      <c r="Y1090" s="139">
        <f t="shared" si="267"/>
        <v>3.183722203879194E-2</v>
      </c>
      <c r="Z1090" s="139">
        <f t="shared" si="268"/>
        <v>0</v>
      </c>
      <c r="AA1090" s="139">
        <f t="shared" si="269"/>
        <v>0</v>
      </c>
      <c r="AB1090" s="144">
        <f t="shared" si="270"/>
        <v>3.8172731082248061</v>
      </c>
      <c r="AC1090" s="144">
        <f t="shared" si="271"/>
        <v>-7.9522451588577042E-2</v>
      </c>
      <c r="AD1090" s="144">
        <f t="shared" si="272"/>
        <v>-5.7939828476748681E-2</v>
      </c>
      <c r="AE1090" s="144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2">
        <f t="shared" si="254"/>
        <v>1.7857142857142857E-4</v>
      </c>
      <c r="Y1091" s="139">
        <f t="shared" si="267"/>
        <v>2.2567061479959554E-2</v>
      </c>
      <c r="Z1091" s="139">
        <f t="shared" si="268"/>
        <v>0</v>
      </c>
      <c r="AA1091" s="139">
        <f t="shared" si="269"/>
        <v>0</v>
      </c>
      <c r="AB1091" s="144">
        <f t="shared" si="270"/>
        <v>4.3283717963692654</v>
      </c>
      <c r="AC1091" s="144">
        <f t="shared" si="271"/>
        <v>-7.6495161935793948E-2</v>
      </c>
      <c r="AD1091" s="144">
        <f t="shared" si="272"/>
        <v>-5.7779936859146487E-2</v>
      </c>
      <c r="AE1091" s="144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2">
        <f t="shared" si="254"/>
        <v>1.7857142857142857E-4</v>
      </c>
      <c r="Y1092" s="139">
        <f t="shared" si="267"/>
        <v>-8.2670238515826951E-3</v>
      </c>
      <c r="Z1092" s="139">
        <f t="shared" si="268"/>
        <v>-8.2670238515826951E-3</v>
      </c>
      <c r="AA1092" s="139">
        <f t="shared" si="269"/>
        <v>6.8343683362637181E-5</v>
      </c>
      <c r="AB1092" s="144">
        <f t="shared" si="270"/>
        <v>4.2288779858739636</v>
      </c>
      <c r="AC1092" s="144">
        <f t="shared" si="271"/>
        <v>-7.0782540730774418E-2</v>
      </c>
      <c r="AD1092" s="144">
        <f t="shared" si="272"/>
        <v>-5.7967528704642814E-2</v>
      </c>
      <c r="AE1092" s="144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2">
        <f t="shared" si="254"/>
        <v>1.7857142857142857E-4</v>
      </c>
      <c r="Y1093" s="139">
        <f t="shared" si="267"/>
        <v>1.4108974177808003E-3</v>
      </c>
      <c r="Z1093" s="139">
        <f t="shared" si="268"/>
        <v>0</v>
      </c>
      <c r="AA1093" s="139">
        <f t="shared" si="269"/>
        <v>0</v>
      </c>
      <c r="AB1093" s="144">
        <f t="shared" si="270"/>
        <v>4.2251416557878931</v>
      </c>
      <c r="AC1093" s="144">
        <f t="shared" si="271"/>
        <v>-6.67142178846033E-2</v>
      </c>
      <c r="AD1093" s="144">
        <f t="shared" si="272"/>
        <v>-5.8092177401258348E-2</v>
      </c>
      <c r="AE1093" s="144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2">
        <f t="shared" si="254"/>
        <v>1.7857142857142857E-4</v>
      </c>
      <c r="Y1094" s="139">
        <f t="shared" si="267"/>
        <v>-1.7196355882904416E-2</v>
      </c>
      <c r="Z1094" s="139">
        <f t="shared" si="268"/>
        <v>-1.7196355882904416E-2</v>
      </c>
      <c r="AA1094" s="139">
        <f t="shared" si="269"/>
        <v>2.9571465565150133E-4</v>
      </c>
      <c r="AB1094" s="144">
        <f t="shared" si="270"/>
        <v>4.2909859414325009</v>
      </c>
      <c r="AC1094" s="144">
        <f t="shared" si="271"/>
        <v>-5.679215348559126E-2</v>
      </c>
      <c r="AD1094" s="144">
        <f t="shared" si="272"/>
        <v>-5.8303902553533841E-2</v>
      </c>
      <c r="AE1094" s="144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2">
        <f t="shared" si="254"/>
        <v>1.7857142857142857E-4</v>
      </c>
      <c r="Y1095" s="139">
        <f t="shared" si="267"/>
        <v>7.4000989449859389E-2</v>
      </c>
      <c r="Z1095" s="139">
        <f t="shared" si="268"/>
        <v>0</v>
      </c>
      <c r="AA1095" s="139">
        <f t="shared" si="269"/>
        <v>0</v>
      </c>
      <c r="AB1095" s="144">
        <f t="shared" si="270"/>
        <v>4.8036543029604974</v>
      </c>
      <c r="AC1095" s="144">
        <f t="shared" si="271"/>
        <v>-5.7999820207665705E-2</v>
      </c>
      <c r="AD1095" s="144">
        <f t="shared" si="272"/>
        <v>-5.8911730694688746E-2</v>
      </c>
      <c r="AE1095" s="144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2">
        <f t="shared" si="254"/>
        <v>1.7857142857142857E-4</v>
      </c>
      <c r="Y1096" s="139">
        <f t="shared" si="267"/>
        <v>-8.2538024985181653E-3</v>
      </c>
      <c r="Z1096" s="139">
        <f t="shared" si="268"/>
        <v>-8.2538024985181653E-3</v>
      </c>
      <c r="AA1096" s="139">
        <f t="shared" si="269"/>
        <v>6.8125255684544706E-5</v>
      </c>
      <c r="AB1096" s="144">
        <f t="shared" si="270"/>
        <v>4.6764978479011159</v>
      </c>
      <c r="AC1096" s="144">
        <f t="shared" si="271"/>
        <v>-5.6534243619731105E-2</v>
      </c>
      <c r="AD1096" s="144">
        <f t="shared" si="272"/>
        <v>-5.8991251365173317E-2</v>
      </c>
      <c r="AE1096" s="144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2">
        <f t="shared" si="254"/>
        <v>1.7857142857142857E-4</v>
      </c>
      <c r="Y1097" s="139">
        <f t="shared" si="267"/>
        <v>6.3523173640444809E-3</v>
      </c>
      <c r="Z1097" s="139">
        <f t="shared" si="268"/>
        <v>0</v>
      </c>
      <c r="AA1097" s="139">
        <f t="shared" si="269"/>
        <v>0</v>
      </c>
      <c r="AB1097" s="144">
        <f t="shared" si="270"/>
        <v>4.7514183033382134</v>
      </c>
      <c r="AC1097" s="144">
        <f t="shared" si="271"/>
        <v>-5.4191153425565228E-2</v>
      </c>
      <c r="AD1097" s="144">
        <f t="shared" si="272"/>
        <v>-5.8761260014071795E-2</v>
      </c>
      <c r="AE1097" s="144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2">
        <f t="shared" si="254"/>
        <v>1.7857142857142857E-4</v>
      </c>
      <c r="Y1098" s="139">
        <f t="shared" si="267"/>
        <v>3.9828597900784204E-2</v>
      </c>
      <c r="Z1098" s="139">
        <f t="shared" si="268"/>
        <v>0</v>
      </c>
      <c r="AA1098" s="139">
        <f t="shared" si="269"/>
        <v>0</v>
      </c>
      <c r="AB1098" s="144">
        <f t="shared" si="270"/>
        <v>5.0280125416574926</v>
      </c>
      <c r="AC1098" s="144">
        <f t="shared" si="271"/>
        <v>-5.4128233671137303E-2</v>
      </c>
      <c r="AD1098" s="144">
        <f t="shared" si="272"/>
        <v>-5.872047140774958E-2</v>
      </c>
      <c r="AE1098" s="144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2">
        <f t="shared" si="254"/>
        <v>1.7857142857142857E-4</v>
      </c>
      <c r="Y1099" s="139">
        <f t="shared" si="267"/>
        <v>5.2366626546311091E-4</v>
      </c>
      <c r="Z1099" s="139">
        <f t="shared" si="268"/>
        <v>0</v>
      </c>
      <c r="AA1099" s="139">
        <f t="shared" si="269"/>
        <v>0</v>
      </c>
      <c r="AB1099" s="144">
        <f t="shared" si="270"/>
        <v>5.346823166001224</v>
      </c>
      <c r="AC1099" s="144">
        <f t="shared" si="271"/>
        <v>-5.45965338359456E-2</v>
      </c>
      <c r="AD1099" s="144">
        <f t="shared" si="272"/>
        <v>-5.8842730232043679E-2</v>
      </c>
      <c r="AE1099" s="144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2">
        <f t="shared" si="254"/>
        <v>1.7857142857142857E-4</v>
      </c>
      <c r="Y1100" s="139">
        <f t="shared" si="267"/>
        <v>2.8572355043384973E-2</v>
      </c>
      <c r="Z1100" s="139">
        <f t="shared" si="268"/>
        <v>0</v>
      </c>
      <c r="AA1100" s="139">
        <f t="shared" si="269"/>
        <v>0</v>
      </c>
      <c r="AB1100" s="144">
        <f t="shared" si="270"/>
        <v>5.3699481860987026</v>
      </c>
      <c r="AC1100" s="144">
        <f t="shared" si="271"/>
        <v>-5.3926872262150913E-2</v>
      </c>
      <c r="AD1100" s="144">
        <f t="shared" si="272"/>
        <v>-5.8698734988345616E-2</v>
      </c>
      <c r="AE1100" s="144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2">
        <f t="shared" si="254"/>
        <v>1.7857142857142857E-4</v>
      </c>
      <c r="Y1101" s="139">
        <f t="shared" si="267"/>
        <v>-2.0172030608911949E-2</v>
      </c>
      <c r="Z1101" s="139">
        <f t="shared" si="268"/>
        <v>-2.0172030608911949E-2</v>
      </c>
      <c r="AA1101" s="139">
        <f t="shared" si="269"/>
        <v>4.0691081888688058E-4</v>
      </c>
      <c r="AB1101" s="144">
        <f t="shared" si="270"/>
        <v>5.2787057323811561</v>
      </c>
      <c r="AC1101" s="144">
        <f t="shared" si="271"/>
        <v>-5.5105372576266798E-2</v>
      </c>
      <c r="AD1101" s="144">
        <f t="shared" si="272"/>
        <v>-5.8889690570283842E-2</v>
      </c>
      <c r="AE1101" s="144">
        <f t="shared" si="273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6">
        <f t="shared" si="266"/>
        <v>0.57619045322594442</v>
      </c>
      <c r="X1102" s="143">
        <f t="shared" si="254"/>
        <v>1.7857142857142857E-4</v>
      </c>
      <c r="Y1102" s="140">
        <f t="shared" si="267"/>
        <v>-2.2276471477746793E-3</v>
      </c>
      <c r="Z1102" s="140">
        <f t="shared" si="268"/>
        <v>-2.2276471477746793E-3</v>
      </c>
      <c r="AA1102" s="140">
        <f t="shared" si="269"/>
        <v>4.9624118149886645E-6</v>
      </c>
      <c r="AB1102" s="145">
        <f t="shared" si="270"/>
        <v>4.9776022157848185</v>
      </c>
      <c r="AC1102" s="145">
        <f t="shared" si="271"/>
        <v>-5.505378866745711E-2</v>
      </c>
      <c r="AD1102" s="145">
        <f t="shared" si="272"/>
        <v>-5.8754676044897869E-2</v>
      </c>
      <c r="AE1102" s="145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2">
        <f t="shared" si="254"/>
        <v>1.7857142857142857E-4</v>
      </c>
      <c r="Y1103" s="139">
        <f t="shared" si="267"/>
        <v>-3.4275949091056974E-2</v>
      </c>
      <c r="Z1103" s="139">
        <f t="shared" si="268"/>
        <v>-3.4275949091056974E-2</v>
      </c>
      <c r="AA1103" s="139">
        <f t="shared" si="269"/>
        <v>1.1748406860927294E-3</v>
      </c>
      <c r="AB1103" s="144">
        <f t="shared" si="270"/>
        <v>4.6295307561400385</v>
      </c>
      <c r="AC1103" s="144">
        <f t="shared" si="271"/>
        <v>-5.7534771375697506E-2</v>
      </c>
      <c r="AD1103" s="144">
        <f t="shared" si="272"/>
        <v>-5.9588964121511129E-2</v>
      </c>
      <c r="AE1103" s="144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2">
        <f t="shared" si="254"/>
        <v>1.7857142857142857E-4</v>
      </c>
      <c r="Y1104" s="139">
        <f t="shared" si="267"/>
        <v>2.7659651798847041E-2</v>
      </c>
      <c r="Z1104" s="139">
        <f t="shared" si="268"/>
        <v>0</v>
      </c>
      <c r="AA1104" s="139">
        <f t="shared" si="269"/>
        <v>0</v>
      </c>
      <c r="AB1104" s="144">
        <f t="shared" si="270"/>
        <v>4.7762178791516501</v>
      </c>
      <c r="AC1104" s="144">
        <f t="shared" si="271"/>
        <v>-5.746684531487932E-2</v>
      </c>
      <c r="AD1104" s="144">
        <f t="shared" si="272"/>
        <v>-5.9447034080586936E-2</v>
      </c>
      <c r="AE1104" s="144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2">
        <f t="shared" si="254"/>
        <v>1.7857142857142857E-4</v>
      </c>
      <c r="Y1105" s="139">
        <f t="shared" si="267"/>
        <v>1.1733907224482648E-2</v>
      </c>
      <c r="Z1105" s="139">
        <f t="shared" si="268"/>
        <v>0</v>
      </c>
      <c r="AA1105" s="139">
        <f t="shared" si="269"/>
        <v>0</v>
      </c>
      <c r="AB1105" s="144">
        <f t="shared" si="270"/>
        <v>4.7845070956235585</v>
      </c>
      <c r="AC1105" s="144">
        <f t="shared" si="271"/>
        <v>-5.6011213856053989E-2</v>
      </c>
      <c r="AD1105" s="144">
        <f t="shared" si="272"/>
        <v>-5.9484566403070538E-2</v>
      </c>
      <c r="AE1105" s="144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2">
        <f t="shared" si="254"/>
        <v>1.7857142857142857E-4</v>
      </c>
      <c r="Y1106" s="139">
        <f t="shared" si="267"/>
        <v>3.456242666469396E-2</v>
      </c>
      <c r="Z1106" s="139">
        <f t="shared" si="268"/>
        <v>0</v>
      </c>
      <c r="AA1106" s="139">
        <f t="shared" si="269"/>
        <v>0</v>
      </c>
      <c r="AB1106" s="144">
        <f t="shared" si="270"/>
        <v>5.1004633118759788</v>
      </c>
      <c r="AC1106" s="144">
        <f t="shared" si="271"/>
        <v>-5.6020349623658101E-2</v>
      </c>
      <c r="AD1106" s="144">
        <f t="shared" si="272"/>
        <v>-5.8854180697872495E-2</v>
      </c>
      <c r="AE1106" s="144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2">
        <f t="shared" si="254"/>
        <v>1.7857142857142857E-4</v>
      </c>
      <c r="Y1107" s="139">
        <f t="shared" si="267"/>
        <v>-6.17531951290005E-3</v>
      </c>
      <c r="Z1107" s="139">
        <f t="shared" si="268"/>
        <v>-6.17531951290005E-3</v>
      </c>
      <c r="AA1107" s="139">
        <f t="shared" si="269"/>
        <v>3.813457108640411E-5</v>
      </c>
      <c r="AB1107" s="144">
        <f t="shared" si="270"/>
        <v>5.2116288106140276</v>
      </c>
      <c r="AC1107" s="144">
        <f t="shared" si="271"/>
        <v>-5.3767987638832365E-2</v>
      </c>
      <c r="AD1107" s="144">
        <f t="shared" si="272"/>
        <v>-5.8537670481695656E-2</v>
      </c>
      <c r="AE1107" s="144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2">
        <f t="shared" si="254"/>
        <v>1.7857142857142857E-4</v>
      </c>
      <c r="Y1108" s="139">
        <f t="shared" si="267"/>
        <v>1.4566035808116108E-2</v>
      </c>
      <c r="Z1108" s="139">
        <f t="shared" si="268"/>
        <v>0</v>
      </c>
      <c r="AA1108" s="139">
        <f t="shared" si="269"/>
        <v>0</v>
      </c>
      <c r="AB1108" s="144">
        <f t="shared" si="270"/>
        <v>5.1985545153934183</v>
      </c>
      <c r="AC1108" s="144">
        <f t="shared" si="271"/>
        <v>-5.3170865989728991E-2</v>
      </c>
      <c r="AD1108" s="144">
        <f t="shared" si="272"/>
        <v>-5.8509268929009525E-2</v>
      </c>
      <c r="AE1108" s="144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2">
        <f t="shared" si="254"/>
        <v>1.7857142857142857E-4</v>
      </c>
      <c r="Y1109" s="139">
        <f t="shared" si="267"/>
        <v>9.4434791510355272E-3</v>
      </c>
      <c r="Z1109" s="139">
        <f t="shared" si="268"/>
        <v>0</v>
      </c>
      <c r="AA1109" s="139">
        <f t="shared" si="269"/>
        <v>0</v>
      </c>
      <c r="AB1109" s="144">
        <f t="shared" si="270"/>
        <v>5.3231629984918394</v>
      </c>
      <c r="AC1109" s="144">
        <f t="shared" si="271"/>
        <v>-5.1995059881175802E-2</v>
      </c>
      <c r="AD1109" s="144">
        <f t="shared" si="272"/>
        <v>-5.8560647855781668E-2</v>
      </c>
      <c r="AE1109" s="144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2">
        <f t="shared" si="254"/>
        <v>1.7857142857142857E-4</v>
      </c>
      <c r="Y1110" s="139">
        <f t="shared" si="267"/>
        <v>8.5228126999483955E-3</v>
      </c>
      <c r="Z1110" s="139">
        <f t="shared" si="268"/>
        <v>0</v>
      </c>
      <c r="AA1110" s="139">
        <f t="shared" si="269"/>
        <v>0</v>
      </c>
      <c r="AB1110" s="144">
        <f t="shared" si="270"/>
        <v>5.5959688701542865</v>
      </c>
      <c r="AC1110" s="144">
        <f t="shared" si="271"/>
        <v>-5.208214415374228E-2</v>
      </c>
      <c r="AD1110" s="144">
        <f t="shared" si="272"/>
        <v>-5.8065444470089704E-2</v>
      </c>
      <c r="AE1110" s="144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2">
        <f t="shared" si="254"/>
        <v>1.7857142857142857E-4</v>
      </c>
      <c r="Y1111" s="139">
        <f t="shared" si="267"/>
        <v>2.3595937738905587E-2</v>
      </c>
      <c r="Z1111" s="139">
        <f t="shared" si="268"/>
        <v>0</v>
      </c>
      <c r="AA1111" s="139">
        <f t="shared" si="269"/>
        <v>0</v>
      </c>
      <c r="AB1111" s="144">
        <f t="shared" si="270"/>
        <v>5.9337590683642718</v>
      </c>
      <c r="AC1111" s="144">
        <f t="shared" si="271"/>
        <v>-4.9869167800886141E-2</v>
      </c>
      <c r="AD1111" s="144">
        <f t="shared" si="272"/>
        <v>-5.7958010416694503E-2</v>
      </c>
      <c r="AE1111" s="144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2">
        <f t="shared" si="254"/>
        <v>1.7857142857142857E-4</v>
      </c>
      <c r="Y1112" s="139">
        <f t="shared" si="267"/>
        <v>2.4273783411366805E-2</v>
      </c>
      <c r="Z1112" s="139">
        <f t="shared" si="268"/>
        <v>0</v>
      </c>
      <c r="AA1112" s="139">
        <f t="shared" si="269"/>
        <v>0</v>
      </c>
      <c r="AB1112" s="144">
        <f t="shared" si="270"/>
        <v>6.3974908566887541</v>
      </c>
      <c r="AC1112" s="144">
        <f t="shared" si="271"/>
        <v>-4.8322374244380746E-2</v>
      </c>
      <c r="AD1112" s="144">
        <f t="shared" si="272"/>
        <v>-5.7858421281386178E-2</v>
      </c>
      <c r="AE1112" s="144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2">
        <f t="shared" si="254"/>
        <v>1.7857142857142857E-4</v>
      </c>
      <c r="Y1113" s="139">
        <f t="shared" si="267"/>
        <v>-4.8343373223624288E-2</v>
      </c>
      <c r="Z1113" s="139">
        <f t="shared" si="268"/>
        <v>-4.8343373223624288E-2</v>
      </c>
      <c r="AA1113" s="139">
        <f t="shared" si="269"/>
        <v>2.3370817346386337E-3</v>
      </c>
      <c r="AB1113" s="144">
        <f t="shared" si="270"/>
        <v>5.8945048661787443</v>
      </c>
      <c r="AC1113" s="144">
        <f t="shared" si="271"/>
        <v>-5.2533027794491968E-2</v>
      </c>
      <c r="AD1113" s="144">
        <f t="shared" si="272"/>
        <v>-5.8762940292062901E-2</v>
      </c>
      <c r="AE1113" s="144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2">
        <f t="shared" si="254"/>
        <v>1.7857142857142857E-4</v>
      </c>
      <c r="Y1114" s="139">
        <f t="shared" si="267"/>
        <v>2.3015152920266489E-2</v>
      </c>
      <c r="Z1114" s="139">
        <f t="shared" si="268"/>
        <v>0</v>
      </c>
      <c r="AA1114" s="139">
        <f t="shared" si="269"/>
        <v>0</v>
      </c>
      <c r="AB1114" s="144">
        <f t="shared" si="270"/>
        <v>5.9267549125224193</v>
      </c>
      <c r="AC1114" s="144">
        <f t="shared" si="271"/>
        <v>-5.1888562640337872E-2</v>
      </c>
      <c r="AD1114" s="144">
        <f t="shared" si="272"/>
        <v>-5.8722145341238E-2</v>
      </c>
      <c r="AE1114" s="144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2">
        <f t="shared" si="254"/>
        <v>1.7857142857142857E-4</v>
      </c>
      <c r="Y1115" s="139">
        <f t="shared" si="267"/>
        <v>2.5428359891867848E-2</v>
      </c>
      <c r="Z1115" s="139">
        <f t="shared" si="268"/>
        <v>0</v>
      </c>
      <c r="AA1115" s="139">
        <f t="shared" si="269"/>
        <v>0</v>
      </c>
      <c r="AB1115" s="144">
        <f t="shared" si="270"/>
        <v>6.5646070664335952</v>
      </c>
      <c r="AC1115" s="144">
        <f t="shared" si="271"/>
        <v>-3.8443839386172157E-2</v>
      </c>
      <c r="AD1115" s="144">
        <f t="shared" si="272"/>
        <v>-5.8478481280774854E-2</v>
      </c>
      <c r="AE1115" s="144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2">
        <f t="shared" si="254"/>
        <v>1.7857142857142857E-4</v>
      </c>
      <c r="Y1116" s="139">
        <f t="shared" si="267"/>
        <v>1.3039542559721052E-2</v>
      </c>
      <c r="Z1116" s="139">
        <f t="shared" si="268"/>
        <v>0</v>
      </c>
      <c r="AA1116" s="139">
        <f t="shared" si="269"/>
        <v>0</v>
      </c>
      <c r="AB1116" s="144">
        <f t="shared" si="270"/>
        <v>7.0527109152391496</v>
      </c>
      <c r="AC1116" s="144">
        <f t="shared" si="271"/>
        <v>-3.6271297226794841E-2</v>
      </c>
      <c r="AD1116" s="144">
        <f t="shared" si="272"/>
        <v>-5.8487752044693669E-2</v>
      </c>
      <c r="AE1116" s="144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2">
        <f t="shared" si="254"/>
        <v>1.7857142857142857E-4</v>
      </c>
      <c r="Y1117" s="139">
        <f t="shared" si="267"/>
        <v>5.4975149013621926E-3</v>
      </c>
      <c r="Z1117" s="139">
        <f t="shared" si="268"/>
        <v>0</v>
      </c>
      <c r="AA1117" s="139">
        <f t="shared" si="269"/>
        <v>0</v>
      </c>
      <c r="AB1117" s="144">
        <f t="shared" si="270"/>
        <v>7.0246219097738827</v>
      </c>
      <c r="AC1117" s="144">
        <f t="shared" si="271"/>
        <v>-3.6062381755998546E-2</v>
      </c>
      <c r="AD1117" s="144">
        <f t="shared" si="272"/>
        <v>-5.8483184968856593E-2</v>
      </c>
      <c r="AE1117" s="144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2">
        <f t="shared" si="254"/>
        <v>1.7857142857142857E-4</v>
      </c>
      <c r="Y1118" s="139">
        <f t="shared" si="267"/>
        <v>-5.6581336673540922E-3</v>
      </c>
      <c r="Z1118" s="139">
        <f t="shared" si="268"/>
        <v>-5.6581336673540922E-3</v>
      </c>
      <c r="AA1118" s="139">
        <f t="shared" si="269"/>
        <v>3.2014476597645872E-5</v>
      </c>
      <c r="AB1118" s="144">
        <f t="shared" si="270"/>
        <v>6.8130212804634986</v>
      </c>
      <c r="AC1118" s="144">
        <f t="shared" si="271"/>
        <v>-2.8948183835354538E-2</v>
      </c>
      <c r="AD1118" s="144">
        <f t="shared" si="272"/>
        <v>-5.8557620952257368E-2</v>
      </c>
      <c r="AE1118" s="144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2">
        <f t="shared" si="254"/>
        <v>1.7857142857142857E-4</v>
      </c>
      <c r="Y1119" s="139">
        <f t="shared" si="267"/>
        <v>-3.254287317771138E-2</v>
      </c>
      <c r="Z1119" s="139">
        <f t="shared" si="268"/>
        <v>-3.254287317771138E-2</v>
      </c>
      <c r="AA1119" s="139">
        <f t="shared" si="269"/>
        <v>1.0590385946606068E-3</v>
      </c>
      <c r="AB1119" s="144">
        <f t="shared" si="270"/>
        <v>6.4178245816100539</v>
      </c>
      <c r="AC1119" s="144">
        <f t="shared" si="271"/>
        <v>-3.2391520711745433E-2</v>
      </c>
      <c r="AD1119" s="144">
        <f t="shared" si="272"/>
        <v>-5.931228995884659E-2</v>
      </c>
      <c r="AE1119" s="144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2">
        <f t="shared" si="254"/>
        <v>1.7857142857142857E-4</v>
      </c>
      <c r="Y1120" s="139">
        <f t="shared" ref="Y1120:Y1151" si="289">G1120-X1120</f>
        <v>7.7621515236979341E-3</v>
      </c>
      <c r="Z1120" s="139">
        <f t="shared" ref="Z1120:Z1151" si="290">IF(Y1120&lt;0,Y1120,0)</f>
        <v>0</v>
      </c>
      <c r="AA1120" s="139">
        <f t="shared" ref="AA1120:AA1151" si="291">Z1120^2</f>
        <v>0</v>
      </c>
      <c r="AB1120" s="144">
        <f t="shared" ref="AB1120:AB1151" si="292">AVERAGE(Y867:Y1120)/AVERAGE(AA867:AA1120)</f>
        <v>6.2050015339991038</v>
      </c>
      <c r="AC1120" s="144">
        <f t="shared" ref="AC1120:AC1151" si="293">AVERAGE(G1089:G1120)-_xlfn.NORM.S.INV(0.95)*_xlfn.STDEV.S(G1089:G1120)</f>
        <v>-3.2535805045660005E-2</v>
      </c>
      <c r="AD1120" s="144">
        <f t="shared" ref="AD1120:AD1151" si="294">AVERAGE(G1029:G1120)-_xlfn.NORM.S.INV(0.95)*_xlfn.STDEV.S(G1029:G1120)</f>
        <v>-5.9377099045390971E-2</v>
      </c>
      <c r="AE1120" s="144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2">
        <f t="shared" si="254"/>
        <v>1.7857142857142857E-4</v>
      </c>
      <c r="Y1121" s="139">
        <f t="shared" si="289"/>
        <v>8.3654176839118629E-3</v>
      </c>
      <c r="Z1121" s="139">
        <f t="shared" si="290"/>
        <v>0</v>
      </c>
      <c r="AA1121" s="139">
        <f t="shared" si="291"/>
        <v>0</v>
      </c>
      <c r="AB1121" s="144">
        <f t="shared" si="292"/>
        <v>5.9884150940741554</v>
      </c>
      <c r="AC1121" s="144">
        <f t="shared" si="293"/>
        <v>-3.1294025514605639E-2</v>
      </c>
      <c r="AD1121" s="144">
        <f t="shared" si="294"/>
        <v>-5.9414540652246516E-2</v>
      </c>
      <c r="AE1121" s="144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2">
        <f t="shared" si="254"/>
        <v>1.7857142857142857E-4</v>
      </c>
      <c r="Y1122" s="139">
        <f t="shared" si="289"/>
        <v>-5.4723228274547271E-3</v>
      </c>
      <c r="Z1122" s="139">
        <f t="shared" si="290"/>
        <v>-5.4723228274547271E-3</v>
      </c>
      <c r="AA1122" s="139">
        <f t="shared" si="291"/>
        <v>2.9946317127882098E-5</v>
      </c>
      <c r="AB1122" s="144">
        <f t="shared" si="292"/>
        <v>5.8077290280086507</v>
      </c>
      <c r="AC1122" s="144">
        <f t="shared" si="293"/>
        <v>-3.1991728882594737E-2</v>
      </c>
      <c r="AD1122" s="144">
        <f t="shared" si="294"/>
        <v>-5.9230365690008432E-2</v>
      </c>
      <c r="AE1122" s="144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2">
        <f t="shared" si="254"/>
        <v>1.7857142857142857E-4</v>
      </c>
      <c r="Y1123" s="139">
        <f t="shared" si="289"/>
        <v>1.3236427520030587E-2</v>
      </c>
      <c r="Z1123" s="139">
        <f t="shared" si="290"/>
        <v>0</v>
      </c>
      <c r="AA1123" s="139">
        <f t="shared" si="291"/>
        <v>0</v>
      </c>
      <c r="AB1123" s="144">
        <f t="shared" si="292"/>
        <v>5.8551248181563267</v>
      </c>
      <c r="AC1123" s="144">
        <f t="shared" si="293"/>
        <v>-3.2051395445228677E-2</v>
      </c>
      <c r="AD1123" s="144">
        <f t="shared" si="294"/>
        <v>-5.8599031373699532E-2</v>
      </c>
      <c r="AE1123" s="144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2">
        <f t="shared" si="254"/>
        <v>1.7857142857142857E-4</v>
      </c>
      <c r="Y1124" s="139">
        <f t="shared" si="289"/>
        <v>-1.7927299676721523E-2</v>
      </c>
      <c r="Z1124" s="139">
        <f t="shared" si="290"/>
        <v>-1.7927299676721523E-2</v>
      </c>
      <c r="AA1124" s="139">
        <f t="shared" si="291"/>
        <v>3.2138807369897962E-4</v>
      </c>
      <c r="AB1124" s="144">
        <f t="shared" si="292"/>
        <v>5.5640578496327864</v>
      </c>
      <c r="AC1124" s="144">
        <f t="shared" si="293"/>
        <v>-3.2775925224827258E-2</v>
      </c>
      <c r="AD1124" s="144">
        <f t="shared" si="294"/>
        <v>-5.8279651563624191E-2</v>
      </c>
      <c r="AE1124" s="144">
        <f t="shared" si="295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6">
        <f t="shared" si="288"/>
        <v>0.63201309056241017</v>
      </c>
      <c r="X1125" s="143">
        <f t="shared" si="254"/>
        <v>1.7857142857142857E-4</v>
      </c>
      <c r="Y1125" s="140">
        <f t="shared" si="289"/>
        <v>-5.7887676947758253E-2</v>
      </c>
      <c r="Z1125" s="140">
        <f t="shared" si="290"/>
        <v>-5.7887676947758253E-2</v>
      </c>
      <c r="AA1125" s="140">
        <f t="shared" si="291"/>
        <v>3.3509831424080221E-3</v>
      </c>
      <c r="AB1125" s="145">
        <f t="shared" si="292"/>
        <v>4.9659014978332845</v>
      </c>
      <c r="AC1125" s="145">
        <f t="shared" si="293"/>
        <v>-3.8836137188947989E-2</v>
      </c>
      <c r="AD1125" s="145">
        <f t="shared" si="294"/>
        <v>-5.9910009039258943E-2</v>
      </c>
      <c r="AE1125" s="145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2">
        <f t="shared" si="254"/>
        <v>1.7857142857142857E-4</v>
      </c>
      <c r="Y1126" s="139">
        <f t="shared" si="289"/>
        <v>1.9949974056520842E-2</v>
      </c>
      <c r="Z1126" s="139">
        <f t="shared" si="290"/>
        <v>0</v>
      </c>
      <c r="AA1126" s="139">
        <f t="shared" si="291"/>
        <v>0</v>
      </c>
      <c r="AB1126" s="144">
        <f t="shared" si="292"/>
        <v>5.2715257951208496</v>
      </c>
      <c r="AC1126" s="144">
        <f t="shared" si="293"/>
        <v>-3.7398831498316021E-2</v>
      </c>
      <c r="AD1126" s="144">
        <f t="shared" si="294"/>
        <v>-5.9655363375064926E-2</v>
      </c>
      <c r="AE1126" s="144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2">
        <f t="shared" si="254"/>
        <v>1.7857142857142857E-4</v>
      </c>
      <c r="Y1127" s="139">
        <f t="shared" si="289"/>
        <v>-5.3408849040194708E-4</v>
      </c>
      <c r="Z1127" s="139">
        <f t="shared" si="290"/>
        <v>-5.3408849040194708E-4</v>
      </c>
      <c r="AA1127" s="139">
        <f t="shared" si="291"/>
        <v>2.8525051557983069E-7</v>
      </c>
      <c r="AB1127" s="144">
        <f t="shared" si="292"/>
        <v>4.936307873974644</v>
      </c>
      <c r="AC1127" s="144">
        <f t="shared" si="293"/>
        <v>-3.4568964055079324E-2</v>
      </c>
      <c r="AD1127" s="144">
        <f t="shared" si="294"/>
        <v>-5.946046131259957E-2</v>
      </c>
      <c r="AE1127" s="144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2">
        <f t="shared" si="254"/>
        <v>1.7857142857142857E-4</v>
      </c>
      <c r="Y1128" s="139">
        <f t="shared" si="289"/>
        <v>4.613795394856858E-2</v>
      </c>
      <c r="Z1128" s="139">
        <f t="shared" si="290"/>
        <v>0</v>
      </c>
      <c r="AA1128" s="139">
        <f t="shared" si="291"/>
        <v>0</v>
      </c>
      <c r="AB1128" s="144">
        <f t="shared" si="292"/>
        <v>5.3278165136432127</v>
      </c>
      <c r="AC1128" s="144">
        <f t="shared" si="293"/>
        <v>-3.4667675849285359E-2</v>
      </c>
      <c r="AD1128" s="144">
        <f t="shared" si="294"/>
        <v>-5.952119651875315E-2</v>
      </c>
      <c r="AE1128" s="144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2">
        <f t="shared" si="254"/>
        <v>1.7857142857142857E-4</v>
      </c>
      <c r="Y1129" s="139">
        <f t="shared" si="289"/>
        <v>4.9865594829969558E-2</v>
      </c>
      <c r="Z1129" s="139">
        <f t="shared" si="290"/>
        <v>0</v>
      </c>
      <c r="AA1129" s="139">
        <f t="shared" si="291"/>
        <v>0</v>
      </c>
      <c r="AB1129" s="144">
        <f t="shared" si="292"/>
        <v>5.6755204950590157</v>
      </c>
      <c r="AC1129" s="144">
        <f t="shared" si="293"/>
        <v>-3.5387361614423775E-2</v>
      </c>
      <c r="AD1129" s="144">
        <f t="shared" si="294"/>
        <v>-5.9552178848741415E-2</v>
      </c>
      <c r="AE1129" s="144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2">
        <f t="shared" si="254"/>
        <v>1.7857142857142857E-4</v>
      </c>
      <c r="Y1130" s="139">
        <f t="shared" si="289"/>
        <v>3.5668469182952883E-2</v>
      </c>
      <c r="Z1130" s="139">
        <f t="shared" si="290"/>
        <v>0</v>
      </c>
      <c r="AA1130" s="139">
        <f t="shared" si="291"/>
        <v>0</v>
      </c>
      <c r="AB1130" s="144">
        <f t="shared" si="292"/>
        <v>5.9464685510856379</v>
      </c>
      <c r="AC1130" s="144">
        <f t="shared" si="293"/>
        <v>-3.5244490751009869E-2</v>
      </c>
      <c r="AD1130" s="144">
        <f t="shared" si="294"/>
        <v>-5.956819046273109E-2</v>
      </c>
      <c r="AE1130" s="144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2">
        <f t="shared" si="254"/>
        <v>1.7857142857142857E-4</v>
      </c>
      <c r="Y1131" s="139">
        <f t="shared" si="289"/>
        <v>1.1829044225146937E-4</v>
      </c>
      <c r="Z1131" s="139">
        <f t="shared" si="290"/>
        <v>0</v>
      </c>
      <c r="AA1131" s="139">
        <f t="shared" si="291"/>
        <v>0</v>
      </c>
      <c r="AB1131" s="144">
        <f t="shared" si="292"/>
        <v>5.9412468525464606</v>
      </c>
      <c r="AC1131" s="144">
        <f t="shared" si="293"/>
        <v>-3.5262191299476976E-2</v>
      </c>
      <c r="AD1131" s="144">
        <f t="shared" si="294"/>
        <v>-5.9612766935976003E-2</v>
      </c>
      <c r="AE1131" s="144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2">
        <f t="shared" si="254"/>
        <v>1.7857142857142857E-4</v>
      </c>
      <c r="Y1132" s="139">
        <f t="shared" si="289"/>
        <v>-1.4168419347378881E-2</v>
      </c>
      <c r="Z1132" s="139">
        <f t="shared" si="290"/>
        <v>-1.4168419347378881E-2</v>
      </c>
      <c r="AA1132" s="139">
        <f t="shared" si="291"/>
        <v>2.0074410680318019E-4</v>
      </c>
      <c r="AB1132" s="144">
        <f t="shared" si="292"/>
        <v>5.8154986650022984</v>
      </c>
      <c r="AC1132" s="144">
        <f t="shared" si="293"/>
        <v>-3.6452071500540015E-2</v>
      </c>
      <c r="AD1132" s="144">
        <f t="shared" si="294"/>
        <v>-5.9862841285837229E-2</v>
      </c>
      <c r="AE1132" s="144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2">
        <f t="shared" si="254"/>
        <v>1.7857142857142857E-4</v>
      </c>
      <c r="Y1133" s="139">
        <f t="shared" si="289"/>
        <v>-1.177211151814766E-2</v>
      </c>
      <c r="Z1133" s="139">
        <f t="shared" si="290"/>
        <v>-1.177211151814766E-2</v>
      </c>
      <c r="AA1133" s="139">
        <f t="shared" si="291"/>
        <v>1.385826095957048E-4</v>
      </c>
      <c r="AB1133" s="144">
        <f t="shared" si="292"/>
        <v>5.6039699461622261</v>
      </c>
      <c r="AC1133" s="144">
        <f t="shared" si="293"/>
        <v>-3.5817078432750366E-2</v>
      </c>
      <c r="AD1133" s="144">
        <f t="shared" si="294"/>
        <v>-6.0077027875337988E-2</v>
      </c>
      <c r="AE1133" s="144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2">
        <f t="shared" si="254"/>
        <v>1.7857142857142857E-4</v>
      </c>
      <c r="Y1134" s="139">
        <f t="shared" si="289"/>
        <v>-1.4557652241597524E-2</v>
      </c>
      <c r="Z1134" s="139">
        <f t="shared" si="290"/>
        <v>-1.4557652241597524E-2</v>
      </c>
      <c r="AA1134" s="139">
        <f t="shared" si="291"/>
        <v>2.1192523878728941E-4</v>
      </c>
      <c r="AB1134" s="144">
        <f t="shared" si="292"/>
        <v>5.5038684613839823</v>
      </c>
      <c r="AC1134" s="144">
        <f t="shared" si="293"/>
        <v>-3.655043367618787E-2</v>
      </c>
      <c r="AD1134" s="144">
        <f t="shared" si="294"/>
        <v>-6.0360882118782586E-2</v>
      </c>
      <c r="AE1134" s="144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2">
        <f t="shared" si="254"/>
        <v>1.7857142857142857E-4</v>
      </c>
      <c r="Y1135" s="139">
        <f t="shared" si="289"/>
        <v>-1.074828988789223E-2</v>
      </c>
      <c r="Z1135" s="139">
        <f t="shared" si="290"/>
        <v>-1.074828988789223E-2</v>
      </c>
      <c r="AA1135" s="139">
        <f t="shared" si="291"/>
        <v>1.1552573551416635E-4</v>
      </c>
      <c r="AB1135" s="144">
        <f t="shared" si="292"/>
        <v>5.3417009009594816</v>
      </c>
      <c r="AC1135" s="144">
        <f t="shared" si="293"/>
        <v>-3.4423493239986384E-2</v>
      </c>
      <c r="AD1135" s="144">
        <f t="shared" si="294"/>
        <v>-6.0526185131806638E-2</v>
      </c>
      <c r="AE1135" s="144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2">
        <f t="shared" si="254"/>
        <v>1.7857142857142857E-4</v>
      </c>
      <c r="Y1136" s="139">
        <f t="shared" si="289"/>
        <v>-3.2972718684444201E-2</v>
      </c>
      <c r="Z1136" s="139">
        <f t="shared" si="290"/>
        <v>-3.2972718684444201E-2</v>
      </c>
      <c r="AA1136" s="139">
        <f t="shared" si="291"/>
        <v>1.0872001774434956E-3</v>
      </c>
      <c r="AB1136" s="144">
        <f t="shared" si="292"/>
        <v>5.0492266958750474</v>
      </c>
      <c r="AC1136" s="144">
        <f t="shared" si="293"/>
        <v>-3.7260695893699694E-2</v>
      </c>
      <c r="AD1136" s="144">
        <f t="shared" si="294"/>
        <v>-6.1283142726150236E-2</v>
      </c>
      <c r="AE1136" s="144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2">
        <f t="shared" si="254"/>
        <v>1.7857142857142857E-4</v>
      </c>
      <c r="Y1137" s="139">
        <f t="shared" si="289"/>
        <v>1.4946017405713729E-2</v>
      </c>
      <c r="Z1137" s="139">
        <f t="shared" si="290"/>
        <v>0</v>
      </c>
      <c r="AA1137" s="139">
        <f t="shared" si="291"/>
        <v>0</v>
      </c>
      <c r="AB1137" s="144">
        <f t="shared" si="292"/>
        <v>5.1809288736585231</v>
      </c>
      <c r="AC1137" s="144">
        <f t="shared" si="293"/>
        <v>-3.7226238266818375E-2</v>
      </c>
      <c r="AD1137" s="144">
        <f t="shared" si="294"/>
        <v>-6.0621489134243083E-2</v>
      </c>
      <c r="AE1137" s="144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2">
        <f t="shared" si="254"/>
        <v>1.7857142857142857E-4</v>
      </c>
      <c r="Y1138" s="139">
        <f t="shared" si="289"/>
        <v>2.6171206751379988E-2</v>
      </c>
      <c r="Z1138" s="139">
        <f t="shared" si="290"/>
        <v>0</v>
      </c>
      <c r="AA1138" s="139">
        <f t="shared" si="291"/>
        <v>0</v>
      </c>
      <c r="AB1138" s="144">
        <f t="shared" si="292"/>
        <v>5.3498719009250584</v>
      </c>
      <c r="AC1138" s="144">
        <f t="shared" si="293"/>
        <v>-3.7008988266937715E-2</v>
      </c>
      <c r="AD1138" s="144">
        <f t="shared" si="294"/>
        <v>-6.062165651023476E-2</v>
      </c>
      <c r="AE1138" s="144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2">
        <f t="shared" si="254"/>
        <v>1.7857142857142857E-4</v>
      </c>
      <c r="Y1139" s="139">
        <f t="shared" si="289"/>
        <v>-7.194902834452867E-4</v>
      </c>
      <c r="Z1139" s="139">
        <f t="shared" si="290"/>
        <v>-7.194902834452867E-4</v>
      </c>
      <c r="AA1139" s="139">
        <f t="shared" si="291"/>
        <v>5.1766626797217896E-7</v>
      </c>
      <c r="AB1139" s="144">
        <f t="shared" si="292"/>
        <v>5.2796076252657986</v>
      </c>
      <c r="AC1139" s="144">
        <f t="shared" si="293"/>
        <v>-3.6756458748838997E-2</v>
      </c>
      <c r="AD1139" s="144">
        <f t="shared" si="294"/>
        <v>-6.0614400681367017E-2</v>
      </c>
      <c r="AE1139" s="144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2">
        <f t="shared" si="254"/>
        <v>1.7857142857142857E-4</v>
      </c>
      <c r="Y1140" s="139">
        <f t="shared" si="289"/>
        <v>1.8626228273058223E-2</v>
      </c>
      <c r="Z1140" s="139">
        <f t="shared" si="290"/>
        <v>0</v>
      </c>
      <c r="AA1140" s="139">
        <f t="shared" si="291"/>
        <v>0</v>
      </c>
      <c r="AB1140" s="144">
        <f t="shared" si="292"/>
        <v>5.4708227525235325</v>
      </c>
      <c r="AC1140" s="144">
        <f t="shared" si="293"/>
        <v>-3.6742082914517901E-2</v>
      </c>
      <c r="AD1140" s="144">
        <f t="shared" si="294"/>
        <v>-6.0593865949893126E-2</v>
      </c>
      <c r="AE1140" s="144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2">
        <f t="shared" si="254"/>
        <v>1.7857142857142857E-4</v>
      </c>
      <c r="Y1141" s="139">
        <f t="shared" si="289"/>
        <v>-3.1681401971910481E-3</v>
      </c>
      <c r="Z1141" s="139">
        <f t="shared" si="290"/>
        <v>-3.1681401971910481E-3</v>
      </c>
      <c r="AA1141" s="139">
        <f t="shared" si="291"/>
        <v>1.0037112309057733E-5</v>
      </c>
      <c r="AB1141" s="144">
        <f t="shared" si="292"/>
        <v>5.4749686429766031</v>
      </c>
      <c r="AC1141" s="144">
        <f t="shared" si="293"/>
        <v>-3.7147734270804179E-2</v>
      </c>
      <c r="AD1141" s="144">
        <f t="shared" si="294"/>
        <v>-5.7221525694881883E-2</v>
      </c>
      <c r="AE1141" s="144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2">
        <f t="shared" si="254"/>
        <v>1.7857142857142857E-4</v>
      </c>
      <c r="Y1142" s="139">
        <f t="shared" si="289"/>
        <v>-1.8151707518474093E-2</v>
      </c>
      <c r="Z1142" s="139">
        <f t="shared" si="290"/>
        <v>-1.8151707518474093E-2</v>
      </c>
      <c r="AA1142" s="139">
        <f t="shared" si="291"/>
        <v>3.2948448583622889E-4</v>
      </c>
      <c r="AB1142" s="144">
        <f t="shared" si="292"/>
        <v>5.0069893135529364</v>
      </c>
      <c r="AC1142" s="144">
        <f t="shared" si="293"/>
        <v>-3.8423131186555902E-2</v>
      </c>
      <c r="AD1142" s="144">
        <f t="shared" si="294"/>
        <v>-5.7293135209546223E-2</v>
      </c>
      <c r="AE1142" s="144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2">
        <f t="shared" si="254"/>
        <v>1.7857142857142857E-4</v>
      </c>
      <c r="Y1143" s="139">
        <f t="shared" si="289"/>
        <v>2.6376630861214777E-3</v>
      </c>
      <c r="Z1143" s="139">
        <f t="shared" si="290"/>
        <v>0</v>
      </c>
      <c r="AA1143" s="139">
        <f t="shared" si="291"/>
        <v>0</v>
      </c>
      <c r="AB1143" s="144">
        <f t="shared" si="292"/>
        <v>5.2549532644194752</v>
      </c>
      <c r="AC1143" s="144">
        <f t="shared" si="293"/>
        <v>-3.8590019093723178E-2</v>
      </c>
      <c r="AD1143" s="144">
        <f t="shared" si="294"/>
        <v>-5.611086482357313E-2</v>
      </c>
      <c r="AE1143" s="144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2">
        <f t="shared" si="254"/>
        <v>1.7857142857142857E-4</v>
      </c>
      <c r="Y1144" s="139">
        <f t="shared" si="289"/>
        <v>-6.1602193271119085E-3</v>
      </c>
      <c r="Z1144" s="139">
        <f t="shared" si="290"/>
        <v>-6.1602193271119085E-3</v>
      </c>
      <c r="AA1144" s="139">
        <f t="shared" si="291"/>
        <v>3.7948302158123097E-5</v>
      </c>
      <c r="AB1144" s="144">
        <f t="shared" si="292"/>
        <v>5.0863250970330398</v>
      </c>
      <c r="AC1144" s="144">
        <f t="shared" si="293"/>
        <v>-3.9037824587077177E-2</v>
      </c>
      <c r="AD1144" s="144">
        <f t="shared" si="294"/>
        <v>-5.6277171389029781E-2</v>
      </c>
      <c r="AE1144" s="144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2">
        <f t="shared" si="254"/>
        <v>1.7857142857142857E-4</v>
      </c>
      <c r="Y1145" s="139">
        <f t="shared" si="289"/>
        <v>-2.0741748223894662E-3</v>
      </c>
      <c r="Z1145" s="139">
        <f t="shared" si="290"/>
        <v>-2.0741748223894662E-3</v>
      </c>
      <c r="AA1145" s="139">
        <f t="shared" si="291"/>
        <v>4.3022011938343737E-6</v>
      </c>
      <c r="AB1145" s="144">
        <f t="shared" si="292"/>
        <v>5.2057890598273877</v>
      </c>
      <c r="AC1145" s="144">
        <f t="shared" si="293"/>
        <v>-3.4792465522351892E-2</v>
      </c>
      <c r="AD1145" s="144">
        <f t="shared" si="294"/>
        <v>-5.6097664510834533E-2</v>
      </c>
      <c r="AE1145" s="144">
        <f t="shared" si="295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6">
        <f t="shared" si="288"/>
        <v>0.85677883292000123</v>
      </c>
      <c r="X1146" s="143">
        <f t="shared" si="254"/>
        <v>1.7857142857142857E-4</v>
      </c>
      <c r="Y1146" s="140">
        <f t="shared" si="289"/>
        <v>2.5457667307916744E-2</v>
      </c>
      <c r="Z1146" s="140">
        <f t="shared" si="290"/>
        <v>0</v>
      </c>
      <c r="AA1146" s="140">
        <f t="shared" si="291"/>
        <v>0</v>
      </c>
      <c r="AB1146" s="145">
        <f t="shared" si="292"/>
        <v>5.1501824749604701</v>
      </c>
      <c r="AC1146" s="145">
        <f t="shared" si="293"/>
        <v>-3.4840511291159254E-2</v>
      </c>
      <c r="AD1146" s="145">
        <f t="shared" si="294"/>
        <v>-5.4127857233664131E-2</v>
      </c>
      <c r="AE1146" s="145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2">
        <f t="shared" si="254"/>
        <v>1.7857142857142857E-4</v>
      </c>
      <c r="Y1147" s="139">
        <f t="shared" si="289"/>
        <v>1.6674217308194433E-2</v>
      </c>
      <c r="Z1147" s="139">
        <f t="shared" si="290"/>
        <v>0</v>
      </c>
      <c r="AA1147" s="139">
        <f t="shared" si="291"/>
        <v>0</v>
      </c>
      <c r="AB1147" s="144">
        <f t="shared" si="292"/>
        <v>5.2071091880920655</v>
      </c>
      <c r="AC1147" s="144">
        <f t="shared" si="293"/>
        <v>-3.4730019901207193E-2</v>
      </c>
      <c r="AD1147" s="144">
        <f t="shared" si="294"/>
        <v>-5.3735269928480919E-2</v>
      </c>
      <c r="AE1147" s="144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2">
        <f t="shared" si="254"/>
        <v>1.7857142857142857E-4</v>
      </c>
      <c r="Y1148" s="139">
        <f t="shared" si="289"/>
        <v>1.0451872329076088E-2</v>
      </c>
      <c r="Z1148" s="139">
        <f t="shared" si="290"/>
        <v>0</v>
      </c>
      <c r="AA1148" s="139">
        <f t="shared" si="291"/>
        <v>0</v>
      </c>
      <c r="AB1148" s="144">
        <f t="shared" si="292"/>
        <v>5.1765831949139391</v>
      </c>
      <c r="AC1148" s="144">
        <f t="shared" si="293"/>
        <v>-3.4752315494700169E-2</v>
      </c>
      <c r="AD1148" s="144">
        <f t="shared" si="294"/>
        <v>-5.376253855406736E-2</v>
      </c>
      <c r="AE1148" s="144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2">
        <f t="shared" si="254"/>
        <v>1.7857142857142857E-4</v>
      </c>
      <c r="Y1149" s="139">
        <f t="shared" si="289"/>
        <v>2.2136725195960688E-2</v>
      </c>
      <c r="Z1149" s="139">
        <f t="shared" si="290"/>
        <v>0</v>
      </c>
      <c r="AA1149" s="139">
        <f t="shared" si="291"/>
        <v>0</v>
      </c>
      <c r="AB1149" s="144">
        <f t="shared" si="292"/>
        <v>5.0776163411259416</v>
      </c>
      <c r="AC1149" s="144">
        <f t="shared" si="293"/>
        <v>-3.4679183384160095E-2</v>
      </c>
      <c r="AD1149" s="144">
        <f t="shared" si="294"/>
        <v>-5.3465225999797868E-2</v>
      </c>
      <c r="AE1149" s="144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2">
        <f t="shared" si="254"/>
        <v>1.7857142857142857E-4</v>
      </c>
      <c r="Y1150" s="139">
        <f t="shared" si="289"/>
        <v>-2.2979459842013068E-3</v>
      </c>
      <c r="Z1150" s="139">
        <f t="shared" si="290"/>
        <v>-2.2979459842013068E-3</v>
      </c>
      <c r="AA1150" s="139">
        <f t="shared" si="291"/>
        <v>5.2805557463069132E-6</v>
      </c>
      <c r="AB1150" s="144">
        <f t="shared" si="292"/>
        <v>4.0158754034779953</v>
      </c>
      <c r="AC1150" s="144">
        <f t="shared" si="293"/>
        <v>-3.4522131126979286E-2</v>
      </c>
      <c r="AD1150" s="144">
        <f t="shared" si="294"/>
        <v>-5.2591480958369317E-2</v>
      </c>
      <c r="AE1150" s="144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2">
        <f t="shared" si="254"/>
        <v>1.7857142857142857E-4</v>
      </c>
      <c r="Y1151" s="139">
        <f t="shared" si="289"/>
        <v>6.3369499364244184E-4</v>
      </c>
      <c r="Z1151" s="139">
        <f t="shared" si="290"/>
        <v>0</v>
      </c>
      <c r="AA1151" s="139">
        <f t="shared" si="291"/>
        <v>0</v>
      </c>
      <c r="AB1151" s="144">
        <f t="shared" si="292"/>
        <v>3.6073187419275787</v>
      </c>
      <c r="AC1151" s="144">
        <f t="shared" si="293"/>
        <v>-3.1969554143038453E-2</v>
      </c>
      <c r="AD1151" s="144">
        <f t="shared" si="294"/>
        <v>-5.1014250078585004E-2</v>
      </c>
      <c r="AE1151" s="144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2">
        <f t="shared" si="254"/>
        <v>1.7857142857142857E-4</v>
      </c>
      <c r="Y1152" s="139">
        <f t="shared" ref="Y1152:Y1153" si="312">G1152-X1152</f>
        <v>-1.6108409869760462E-2</v>
      </c>
      <c r="Z1152" s="139">
        <f t="shared" ref="Z1152:Z1153" si="313">IF(Y1152&lt;0,Y1152,0)</f>
        <v>-1.6108409869760462E-2</v>
      </c>
      <c r="AA1152" s="139">
        <f t="shared" ref="AA1152:AA1153" si="314">Z1152^2</f>
        <v>2.5948086853219628E-4</v>
      </c>
      <c r="AB1152" s="144">
        <f t="shared" ref="AB1152:AB1153" si="315">AVERAGE(Y899:Y1152)/AVERAGE(AA899:AA1152)</f>
        <v>3.571315009390744</v>
      </c>
      <c r="AC1152" s="144">
        <f t="shared" ref="AC1152:AC1153" si="316">AVERAGE(G1121:G1152)-_xlfn.NORM.S.INV(0.95)*_xlfn.STDEV.S(G1121:G1152)</f>
        <v>-3.3151356021522443E-2</v>
      </c>
      <c r="AD1152" s="144">
        <f t="shared" ref="AD1152:AD1153" si="317">AVERAGE(G1061:G1152)-_xlfn.NORM.S.INV(0.95)*_xlfn.STDEV.S(G1061:G1152)</f>
        <v>-4.8637233070914707E-2</v>
      </c>
      <c r="AE1152" s="144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2">
        <f t="shared" si="254"/>
        <v>1.7857142857142857E-4</v>
      </c>
      <c r="Y1153" s="139">
        <f t="shared" si="312"/>
        <v>-2.105097703029301E-2</v>
      </c>
      <c r="Z1153" s="139">
        <f t="shared" si="313"/>
        <v>-2.105097703029301E-2</v>
      </c>
      <c r="AA1153" s="139">
        <f t="shared" si="314"/>
        <v>4.4314363392992392E-4</v>
      </c>
      <c r="AB1153" s="144">
        <f t="shared" si="315"/>
        <v>3.3454154924247654</v>
      </c>
      <c r="AC1153" s="144">
        <f t="shared" si="316"/>
        <v>-3.4693620267449925E-2</v>
      </c>
      <c r="AD1153" s="144">
        <f t="shared" si="317"/>
        <v>-4.7348090145245887E-2</v>
      </c>
      <c r="AE1153" s="144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2">
        <f t="shared" si="254"/>
        <v>1.7857142857142857E-4</v>
      </c>
      <c r="Y1154" s="139">
        <f t="shared" ref="Y1154" si="322">G1154-X1154</f>
        <v>2.4367753647623988E-2</v>
      </c>
      <c r="Z1154" s="139">
        <f t="shared" ref="Z1154" si="323">IF(Y1154&lt;0,Y1154,0)</f>
        <v>0</v>
      </c>
      <c r="AA1154" s="139">
        <f t="shared" ref="AA1154" si="324">Z1154^2</f>
        <v>0</v>
      </c>
      <c r="AB1154" s="144">
        <f t="shared" ref="AB1154" si="325">AVERAGE(Y901:Y1154)/AVERAGE(AA901:AA1154)</f>
        <v>3.1068788362531659</v>
      </c>
      <c r="AC1154" s="144">
        <f t="shared" ref="AC1154" si="326">AVERAGE(G1123:G1154)-_xlfn.NORM.S.INV(0.95)*_xlfn.STDEV.S(G1123:G1154)</f>
        <v>-3.4243378316069578E-2</v>
      </c>
      <c r="AD1154" s="144">
        <f t="shared" ref="AD1154" si="327">AVERAGE(G1063:G1154)-_xlfn.NORM.S.INV(0.95)*_xlfn.STDEV.S(G1063:G1154)</f>
        <v>-4.263586860196588E-2</v>
      </c>
      <c r="AE1154" s="144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2">
        <f t="shared" si="254"/>
        <v>1.7857142857142857E-4</v>
      </c>
      <c r="Y1155" s="139">
        <f t="shared" ref="Y1155" si="345">G1155-X1155</f>
        <v>-1.7520923229346924E-2</v>
      </c>
      <c r="Z1155" s="139">
        <f t="shared" ref="Z1155" si="346">IF(Y1155&lt;0,Y1155,0)</f>
        <v>-1.7520923229346924E-2</v>
      </c>
      <c r="AA1155" s="139">
        <f t="shared" ref="AA1155" si="347">Z1155^2</f>
        <v>3.0698275080866862E-4</v>
      </c>
      <c r="AB1155" s="144">
        <f t="shared" ref="AB1155" si="348">AVERAGE(Y902:Y1155)/AVERAGE(AA902:AA1155)</f>
        <v>3.8081890445294602</v>
      </c>
      <c r="AC1155" s="144">
        <f t="shared" ref="AC1155" si="349">AVERAGE(G1124:G1155)-_xlfn.NORM.S.INV(0.95)*_xlfn.STDEV.S(G1124:G1155)</f>
        <v>-3.5538975015983319E-2</v>
      </c>
      <c r="AD1155" s="144">
        <f t="shared" ref="AD1155" si="350">AVERAGE(G1064:G1155)-_xlfn.NORM.S.INV(0.95)*_xlfn.STDEV.S(G1064:G1155)</f>
        <v>-4.3141270912846898E-2</v>
      </c>
      <c r="AE1155" s="144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2">
        <f t="shared" si="254"/>
        <v>1.7857142857142857E-4</v>
      </c>
      <c r="Y1156" s="139">
        <f t="shared" ref="Y1156" si="368">G1156-X1156</f>
        <v>-3.3539748903108038E-3</v>
      </c>
      <c r="Z1156" s="139">
        <f t="shared" ref="Z1156" si="369">IF(Y1156&lt;0,Y1156,0)</f>
        <v>-3.3539748903108038E-3</v>
      </c>
      <c r="AA1156" s="139">
        <f t="shared" ref="AA1156" si="370">Z1156^2</f>
        <v>1.1249147564835368E-5</v>
      </c>
      <c r="AB1156" s="144">
        <f t="shared" ref="AB1156" si="371">AVERAGE(Y903:Y1156)/AVERAGE(AA903:AA1156)</f>
        <v>3.268240131322349</v>
      </c>
      <c r="AC1156" s="144">
        <f t="shared" ref="AC1156" si="372">AVERAGE(G1125:G1156)-_xlfn.NORM.S.INV(0.95)*_xlfn.STDEV.S(G1125:G1156)</f>
        <v>-3.4645677819338978E-2</v>
      </c>
      <c r="AD1156" s="144">
        <f t="shared" ref="AD1156" si="373">AVERAGE(G1065:G1156)-_xlfn.NORM.S.INV(0.95)*_xlfn.STDEV.S(G1065:G1156)</f>
        <v>-4.2494816639127832E-2</v>
      </c>
      <c r="AE1156" s="144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2">
        <f t="shared" si="254"/>
        <v>1.7857142857142857E-4</v>
      </c>
      <c r="Y1157" s="139">
        <f t="shared" ref="Y1157" si="391">G1157-X1157</f>
        <v>1.9201421586275457E-3</v>
      </c>
      <c r="Z1157" s="139">
        <f t="shared" ref="Z1157" si="392">IF(Y1157&lt;0,Y1157,0)</f>
        <v>0</v>
      </c>
      <c r="AA1157" s="139">
        <f t="shared" ref="AA1157" si="393">Z1157^2</f>
        <v>0</v>
      </c>
      <c r="AB1157" s="144">
        <f t="shared" ref="AB1157" si="394">AVERAGE(Y904:Y1157)/AVERAGE(AA904:AA1157)</f>
        <v>3.202481809207546</v>
      </c>
      <c r="AC1157" s="144">
        <f t="shared" ref="AC1157" si="395">AVERAGE(G1126:G1157)-_xlfn.NORM.S.INV(0.95)*_xlfn.STDEV.S(G1126:G1157)</f>
        <v>-2.8088120065962039E-2</v>
      </c>
      <c r="AD1157" s="144">
        <f t="shared" ref="AD1157" si="396">AVERAGE(G1066:G1157)-_xlfn.NORM.S.INV(0.95)*_xlfn.STDEV.S(G1066:G1157)</f>
        <v>-4.1025898945056469E-2</v>
      </c>
      <c r="AE1157" s="144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2">
        <f t="shared" si="254"/>
        <v>1.7857142857142857E-4</v>
      </c>
      <c r="Y1158" s="139">
        <f t="shared" ref="Y1158" si="414">G1158-X1158</f>
        <v>-1.4827509972123818E-2</v>
      </c>
      <c r="Z1158" s="139">
        <f t="shared" ref="Z1158" si="415">IF(Y1158&lt;0,Y1158,0)</f>
        <v>-1.4827509972123818E-2</v>
      </c>
      <c r="AA1158" s="139">
        <f t="shared" ref="AA1158" si="416">Z1158^2</f>
        <v>2.1985505197343126E-4</v>
      </c>
      <c r="AB1158" s="144">
        <f t="shared" ref="AB1158" si="417">AVERAGE(Y905:Y1158)/AVERAGE(AA905:AA1158)</f>
        <v>3.0845909362927393</v>
      </c>
      <c r="AC1158" s="144">
        <f t="shared" ref="AC1158" si="418">AVERAGE(G1127:G1158)-_xlfn.NORM.S.INV(0.95)*_xlfn.STDEV.S(G1127:G1158)</f>
        <v>-2.9293954740543037E-2</v>
      </c>
      <c r="AD1158" s="144">
        <f t="shared" ref="AD1158" si="419">AVERAGE(G1067:G1158)-_xlfn.NORM.S.INV(0.95)*_xlfn.STDEV.S(G1067:G1158)</f>
        <v>-4.14351160886062E-2</v>
      </c>
      <c r="AE1158" s="144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2">
        <f t="shared" si="254"/>
        <v>1.7857142857142857E-4</v>
      </c>
      <c r="Y1159" s="139">
        <f t="shared" ref="Y1159" si="437">G1159-X1159</f>
        <v>-6.991592689222241E-2</v>
      </c>
      <c r="Z1159" s="139">
        <f t="shared" ref="Z1159" si="438">IF(Y1159&lt;0,Y1159,0)</f>
        <v>-6.991592689222241E-2</v>
      </c>
      <c r="AA1159" s="139">
        <f t="shared" ref="AA1159" si="439">Z1159^2</f>
        <v>4.8882368331985889E-3</v>
      </c>
      <c r="AB1159" s="144">
        <f t="shared" ref="AB1159" si="440">AVERAGE(Y906:Y1159)/AVERAGE(AA906:AA1159)</f>
        <v>2.1073745843058314</v>
      </c>
      <c r="AC1159" s="144">
        <f t="shared" ref="AC1159" si="441">AVERAGE(G1128:G1159)-_xlfn.NORM.S.INV(0.95)*_xlfn.STDEV.S(G1128:G1159)</f>
        <v>-3.777251133590958E-2</v>
      </c>
      <c r="AD1159" s="144">
        <f t="shared" ref="AD1159" si="442">AVERAGE(G1068:G1159)-_xlfn.NORM.S.INV(0.95)*_xlfn.STDEV.S(G1068:G1159)</f>
        <v>-4.4055670339450764E-2</v>
      </c>
      <c r="AE1159" s="144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2">
        <f t="shared" si="254"/>
        <v>1.7857142857142857E-4</v>
      </c>
      <c r="Y1160" s="139">
        <f t="shared" ref="Y1160" si="460">G1160-X1160</f>
        <v>-9.8641105776305429E-3</v>
      </c>
      <c r="Z1160" s="139">
        <f t="shared" ref="Z1160" si="461">IF(Y1160&lt;0,Y1160,0)</f>
        <v>-9.8641105776305429E-3</v>
      </c>
      <c r="AA1160" s="139">
        <f t="shared" ref="AA1160" si="462">Z1160^2</f>
        <v>9.7300677487722762E-5</v>
      </c>
      <c r="AB1160" s="144">
        <f t="shared" ref="AB1160" si="463">AVERAGE(Y907:Y1160)/AVERAGE(AA907:AA1160)</f>
        <v>1.7383629492509944</v>
      </c>
      <c r="AC1160" s="144">
        <f t="shared" ref="AC1160" si="464">AVERAGE(G1129:G1160)-_xlfn.NORM.S.INV(0.95)*_xlfn.STDEV.S(G1129:G1160)</f>
        <v>-3.7218782711741512E-2</v>
      </c>
      <c r="AD1160" s="144">
        <f t="shared" ref="AD1160" si="465">AVERAGE(G1069:G1160)-_xlfn.NORM.S.INV(0.95)*_xlfn.STDEV.S(G1069:G1160)</f>
        <v>-4.3883691308714404E-2</v>
      </c>
      <c r="AE1160" s="144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2">
        <f t="shared" si="254"/>
        <v>1.7857142857142857E-4</v>
      </c>
      <c r="Y1161" s="139">
        <f t="shared" ref="Y1161" si="483">G1161-X1161</f>
        <v>3.3636532132736575E-2</v>
      </c>
      <c r="Z1161" s="139">
        <f t="shared" ref="Z1161" si="484">IF(Y1161&lt;0,Y1161,0)</f>
        <v>0</v>
      </c>
      <c r="AA1161" s="139">
        <f t="shared" ref="AA1161" si="485">Z1161^2</f>
        <v>0</v>
      </c>
      <c r="AB1161" s="144">
        <f t="shared" ref="AB1161" si="486">AVERAGE(Y908:Y1161)/AVERAGE(AA908:AA1161)</f>
        <v>2.1131222847382274</v>
      </c>
      <c r="AC1161" s="144">
        <f t="shared" ref="AC1161" si="487">AVERAGE(G1130:G1161)-_xlfn.NORM.S.INV(0.95)*_xlfn.STDEV.S(G1130:G1161)</f>
        <v>-3.6046202454409551E-2</v>
      </c>
      <c r="AD1161" s="144">
        <f t="shared" ref="AD1161" si="488">AVERAGE(G1070:G1161)-_xlfn.NORM.S.INV(0.95)*_xlfn.STDEV.S(G1070:G1161)</f>
        <v>-4.3842552627768948E-2</v>
      </c>
      <c r="AE1161" s="144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2">
        <f t="shared" si="254"/>
        <v>1.7857142857142857E-4</v>
      </c>
      <c r="Y1162" s="139">
        <f t="shared" ref="Y1162" si="506">G1162-X1162</f>
        <v>2.9897319136982334E-2</v>
      </c>
      <c r="Z1162" s="139">
        <f t="shared" ref="Z1162" si="507">IF(Y1162&lt;0,Y1162,0)</f>
        <v>0</v>
      </c>
      <c r="AA1162" s="139">
        <f t="shared" ref="AA1162" si="508">Z1162^2</f>
        <v>0</v>
      </c>
      <c r="AB1162" s="144">
        <f t="shared" ref="AB1162" si="509">AVERAGE(Y909:Y1162)/AVERAGE(AA909:AA1162)</f>
        <v>2.7393043593239934</v>
      </c>
      <c r="AC1162" s="144">
        <f t="shared" ref="AC1162" si="510">AVERAGE(G1131:G1162)-_xlfn.NORM.S.INV(0.95)*_xlfn.STDEV.S(G1131:G1162)</f>
        <v>-3.573525359456043E-2</v>
      </c>
      <c r="AD1162" s="144">
        <f t="shared" ref="AD1162" si="511">AVERAGE(G1071:G1162)-_xlfn.NORM.S.INV(0.95)*_xlfn.STDEV.S(G1071:G1162)</f>
        <v>-4.349188378820866E-2</v>
      </c>
      <c r="AE1162" s="144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2">
        <f t="shared" si="254"/>
        <v>1.7857142857142857E-4</v>
      </c>
      <c r="Y1163" s="139">
        <f t="shared" ref="Y1163" si="529">G1163-X1163</f>
        <v>2.3307486101960581E-2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2.9223798615438361</v>
      </c>
      <c r="AC1163" s="144">
        <f t="shared" ref="AC1163" si="533">AVERAGE(G1132:G1163)-_xlfn.NORM.S.INV(0.95)*_xlfn.STDEV.S(G1132:G1163)</f>
        <v>-3.5742907061425036E-2</v>
      </c>
      <c r="AD1163" s="144">
        <f t="shared" ref="AD1163" si="534">AVERAGE(G1072:G1163)-_xlfn.NORM.S.INV(0.95)*_xlfn.STDEV.S(G1072:G1163)</f>
        <v>-4.3494117944554524E-2</v>
      </c>
      <c r="AE1163" s="144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2">
        <f t="shared" si="254"/>
        <v>1.7857142857142857E-4</v>
      </c>
      <c r="Y1164" s="139">
        <f t="shared" ref="Y1164" si="552">G1164-X1164</f>
        <v>-1.4019121817953714E-4</v>
      </c>
      <c r="Z1164" s="139">
        <f t="shared" ref="Z1164" si="553">IF(Y1164&lt;0,Y1164,0)</f>
        <v>-1.4019121817953714E-4</v>
      </c>
      <c r="AA1164" s="139">
        <f t="shared" ref="AA1164" si="554">Z1164^2</f>
        <v>1.9653577654662586E-8</v>
      </c>
      <c r="AB1164" s="144">
        <f t="shared" ref="AB1164" si="555">AVERAGE(Y911:Y1164)/AVERAGE(AA911:AA1164)</f>
        <v>3.5185405366843501</v>
      </c>
      <c r="AC1164" s="144">
        <f t="shared" ref="AC1164" si="556">AVERAGE(G1133:G1164)-_xlfn.NORM.S.INV(0.95)*_xlfn.STDEV.S(G1133:G1164)</f>
        <v>-3.5068398645665494E-2</v>
      </c>
      <c r="AD1164" s="144">
        <f t="shared" ref="AD1164" si="557">AVERAGE(G1073:G1164)-_xlfn.NORM.S.INV(0.95)*_xlfn.STDEV.S(G1073:G1164)</f>
        <v>-4.3557129790647513E-2</v>
      </c>
      <c r="AE1164" s="144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2">
        <f t="shared" si="254"/>
        <v>1.7857142857142857E-4</v>
      </c>
      <c r="Y1165" s="139">
        <f t="shared" ref="Y1165" si="575">G1165-X1165</f>
        <v>-3.0671011409215553E-3</v>
      </c>
      <c r="Z1165" s="139">
        <f t="shared" ref="Z1165" si="576">IF(Y1165&lt;0,Y1165,0)</f>
        <v>-3.0671011409215553E-3</v>
      </c>
      <c r="AA1165" s="139">
        <f t="shared" ref="AA1165" si="577">Z1165^2</f>
        <v>9.4071094086423054E-6</v>
      </c>
      <c r="AB1165" s="144">
        <f t="shared" ref="AB1165" si="578">AVERAGE(Y912:Y1165)/AVERAGE(AA912:AA1165)</f>
        <v>4.0897370174876073</v>
      </c>
      <c r="AC1165" s="144">
        <f t="shared" ref="AC1165" si="579">AVERAGE(G1134:G1165)-_xlfn.NORM.S.INV(0.95)*_xlfn.STDEV.S(G1134:G1165)</f>
        <v>-3.4635552394053783E-2</v>
      </c>
      <c r="AD1165" s="144">
        <f t="shared" ref="AD1165" si="580">AVERAGE(G1074:G1165)-_xlfn.NORM.S.INV(0.95)*_xlfn.STDEV.S(G1074:G1165)</f>
        <v>-4.3148933856579495E-2</v>
      </c>
      <c r="AE1165" s="144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2">
        <f t="shared" si="254"/>
        <v>1.7857142857142857E-4</v>
      </c>
      <c r="Y1166" s="139">
        <f t="shared" ref="Y1166" si="598">G1166-X1166</f>
        <v>-2.7403604898608453E-2</v>
      </c>
      <c r="Z1166" s="139">
        <f t="shared" ref="Z1166" si="599">IF(Y1166&lt;0,Y1166,0)</f>
        <v>-2.7403604898608453E-2</v>
      </c>
      <c r="AA1166" s="139">
        <f t="shared" ref="AA1166" si="600">Z1166^2</f>
        <v>7.509575614390372E-4</v>
      </c>
      <c r="AB1166" s="144">
        <f t="shared" ref="AB1166" si="601">AVERAGE(Y913:Y1166)/AVERAGE(AA913:AA1166)</f>
        <v>3.9171418412379793</v>
      </c>
      <c r="AC1166" s="144">
        <f t="shared" ref="AC1166" si="602">AVERAGE(G1135:G1166)-_xlfn.NORM.S.INV(0.95)*_xlfn.STDEV.S(G1135:G1166)</f>
        <v>-3.5701539542127798E-2</v>
      </c>
      <c r="AD1166" s="144">
        <f t="shared" ref="AD1166" si="603">AVERAGE(G1075:G1166)-_xlfn.NORM.S.INV(0.95)*_xlfn.STDEV.S(G1075:G1166)</f>
        <v>-4.3843979903813009E-2</v>
      </c>
      <c r="AE1166" s="144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2">
        <f t="shared" si="254"/>
        <v>1.7857142857142857E-4</v>
      </c>
      <c r="Y1167" s="139">
        <f t="shared" ref="Y1167" si="621">G1167-X1167</f>
        <v>-1.8821805876757858E-2</v>
      </c>
      <c r="Z1167" s="139">
        <f t="shared" ref="Z1167" si="622">IF(Y1167&lt;0,Y1167,0)</f>
        <v>-1.8821805876757858E-2</v>
      </c>
      <c r="AA1167" s="139">
        <f t="shared" ref="AA1167" si="623">Z1167^2</f>
        <v>3.5426037646235664E-4</v>
      </c>
      <c r="AB1167" s="144">
        <f t="shared" ref="AB1167" si="624">AVERAGE(Y914:Y1167)/AVERAGE(AA914:AA1167)</f>
        <v>3.748418876771459</v>
      </c>
      <c r="AC1167" s="144">
        <f t="shared" ref="AC1167" si="625">AVERAGE(G1136:G1167)-_xlfn.NORM.S.INV(0.95)*_xlfn.STDEV.S(G1136:G1167)</f>
        <v>-3.6237407366190473E-2</v>
      </c>
      <c r="AD1167" s="144">
        <f t="shared" ref="AD1167" si="626">AVERAGE(G1076:G1167)-_xlfn.NORM.S.INV(0.95)*_xlfn.STDEV.S(G1076:G1167)</f>
        <v>-4.3239200097306495E-2</v>
      </c>
      <c r="AE1167" s="144">
        <f t="shared" ref="AE1167" si="627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28">B1168</f>
        <v>71204832.621444106</v>
      </c>
      <c r="E1168" s="80">
        <f t="shared" ref="E1168:E1170" si="629">IF(MONTH(A1168)=MONTH(A1167),E1167,D1167)</f>
        <v>75288855.555961996</v>
      </c>
      <c r="F1168" s="80">
        <f t="shared" ref="F1168:F1170" si="630">B1168-C1168-D1167</f>
        <v>-1070172.1720333993</v>
      </c>
      <c r="G1168" s="81">
        <f t="shared" ref="G1168:G1170" si="631">F1168/B1167</f>
        <v>-1.4806947091755538E-2</v>
      </c>
      <c r="H1168" s="80">
        <f t="shared" ref="H1168" si="632">IF(WEEKNUM(A1168)=WEEKNUM(A1167),H1167+F1168,F1168)</f>
        <v>-2443209.8953235</v>
      </c>
      <c r="I1168" s="81">
        <f t="shared" ref="I1168" si="633">IF(WEEKNUM(A1168)=WEEKNUM(A1167),I1167+G1168,G1168)</f>
        <v>-3.3450181539941969E-2</v>
      </c>
      <c r="J1168" s="80">
        <f t="shared" ref="J1168:J1170" si="634">IF(MONTH(A1168)=MONTH(A1167),J1167+F1168,F1168)</f>
        <v>-4284022.9345178902</v>
      </c>
      <c r="K1168" s="81">
        <f t="shared" ref="K1168" si="635">(1+K1167)*(1+G1168)-1</f>
        <v>-5.6635090486076622E-2</v>
      </c>
      <c r="L1168" s="81">
        <f t="shared" ref="L1168:L1170" si="636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7">B1168-C1168-D1137</f>
        <v>-901124.66062599421</v>
      </c>
      <c r="R1168" s="81">
        <f t="shared" ref="R1168:R1170" si="638">Q1168/B1137</f>
        <v>-1.249722900288113E-2</v>
      </c>
      <c r="S1168" s="80">
        <f t="shared" ref="S1168" si="639">B1168-C1168-D1077</f>
        <v>8821999.1092319041</v>
      </c>
      <c r="T1168" s="81">
        <f t="shared" ref="T1168:T1169" si="640">S1168/B1077</f>
        <v>0.14141709525754212</v>
      </c>
      <c r="U1168" s="80">
        <f t="shared" ref="U1168" si="641">B1168-C1168-D802</f>
        <v>33452277.181444108</v>
      </c>
      <c r="V1168" s="81">
        <f t="shared" ref="V1168:V1169" si="642">U1168/B802</f>
        <v>0.8860930549353061</v>
      </c>
      <c r="W1168" s="136">
        <f t="shared" ref="W1168:W1169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28"/>
        <v>63255466.560107999</v>
      </c>
      <c r="E1169" s="67">
        <f t="shared" si="629"/>
        <v>71204832.621444106</v>
      </c>
      <c r="F1169" s="67">
        <f t="shared" si="630"/>
        <v>1050633.9386638999</v>
      </c>
      <c r="G1169" s="70">
        <f t="shared" si="631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4"/>
        <v>1050633.9386638999</v>
      </c>
      <c r="K1169" s="70">
        <f>G1169</f>
        <v>1.4755093158487253E-2</v>
      </c>
      <c r="L1169" s="70">
        <f t="shared" si="636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1">B1169-C1169-D1140</f>
        <v>-3101349.4700603932</v>
      </c>
      <c r="R1169" s="70">
        <f t="shared" si="638"/>
        <v>-4.1906767922036355E-2</v>
      </c>
      <c r="S1169" s="67">
        <f t="shared" ref="S1169" si="652">B1169-C1169-D1080</f>
        <v>11991600.444230303</v>
      </c>
      <c r="T1169" s="70">
        <f t="shared" si="640"/>
        <v>0.18976938144993891</v>
      </c>
      <c r="U1169" s="67">
        <f t="shared" ref="U1169" si="653">B1169-C1169-D805</f>
        <v>34484856.90010801</v>
      </c>
      <c r="V1169" s="70">
        <f t="shared" si="642"/>
        <v>0.91223793030466227</v>
      </c>
      <c r="W1169" s="87" t="e">
        <f t="shared" si="643"/>
        <v>#DIV/0!</v>
      </c>
      <c r="X1169" s="142">
        <f t="shared" ref="X1169:X1176" si="654">4.5%/252</f>
        <v>1.7857142857142857E-4</v>
      </c>
      <c r="Y1169" s="139">
        <f t="shared" ref="Y1169:Y1174" si="655">G1169-X1169</f>
        <v>1.4576521729915824E-2</v>
      </c>
      <c r="Z1169" s="139">
        <f t="shared" ref="Z1169:Z1174" si="656">IF(Y1169&lt;0,Y1169,0)</f>
        <v>0</v>
      </c>
      <c r="AA1169" s="139">
        <f t="shared" ref="AA1169:AA1174" si="657">Z1169^2</f>
        <v>0</v>
      </c>
      <c r="AB1169" s="144">
        <f t="shared" ref="AB1169:AB1174" si="658">AVERAGE(Y918:Y1169)/AVERAGE(AA918:AA1169)</f>
        <v>3.6258925045756674</v>
      </c>
      <c r="AC1169" s="144">
        <f t="shared" ref="AC1169:AC1174" si="659">AVERAGE(G1140:G1169)-_xlfn.NORM.S.INV(0.95)*_xlfn.STDEV.S(G1140:G1169)</f>
        <v>-3.5720995633261907E-2</v>
      </c>
      <c r="AD1169" s="144">
        <f t="shared" ref="AD1169:AD1174" si="660">AVERAGE(G1080:G1169)-_xlfn.NORM.S.INV(0.95)*_xlfn.STDEV.S(G1080:G1169)</f>
        <v>-4.2707219794095565E-2</v>
      </c>
      <c r="AE1169" s="144">
        <f t="shared" ref="AE1169:AE1174" si="661"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28"/>
        <v>66348162.478378601</v>
      </c>
      <c r="E1170" s="67">
        <f t="shared" si="629"/>
        <v>71204832.621444106</v>
      </c>
      <c r="F1170" s="67">
        <f t="shared" si="630"/>
        <v>3092695.9182706028</v>
      </c>
      <c r="G1170" s="70">
        <f t="shared" si="631"/>
        <v>4.8892152511938132E-2</v>
      </c>
      <c r="H1170" s="67">
        <f t="shared" ref="H1170" si="662">IF(WEEKNUM(A1170)=WEEKNUM(A1169),H1169+F1170,F1170)</f>
        <v>4143329.8569345027</v>
      </c>
      <c r="I1170" s="70">
        <f t="shared" ref="I1170" si="663">IF(WEEKNUM(A1170)=WEEKNUM(A1169),I1169+G1170,G1170)</f>
        <v>6.3647245670425387E-2</v>
      </c>
      <c r="J1170" s="67">
        <f t="shared" si="634"/>
        <v>4143329.8569345027</v>
      </c>
      <c r="K1170" s="70">
        <f t="shared" ref="K1170" si="664">(1+K1169)*(1+G1170)-1</f>
        <v>6.4368653935457987E-2</v>
      </c>
      <c r="L1170" s="70">
        <f t="shared" si="636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65">B1170-C1170-D1139</f>
        <v>-7617739.5788531974</v>
      </c>
      <c r="R1170" s="70">
        <f t="shared" si="638"/>
        <v>-0.1029898827294623</v>
      </c>
      <c r="S1170" s="67">
        <f t="shared" ref="S1170" si="666">B1170-C1170-D1081</f>
        <v>4143154.3156563044</v>
      </c>
      <c r="T1170" s="70">
        <f t="shared" ref="T1170" si="667">S1170/B1079</f>
        <v>6.7490684557604708E-2</v>
      </c>
      <c r="U1170" s="67">
        <f t="shared" ref="U1170" si="668">B1170-C1170-D806</f>
        <v>29208381.7683786</v>
      </c>
      <c r="V1170" s="70">
        <f t="shared" ref="V1170" si="669">U1170/B804</f>
        <v>0.76876882840168581</v>
      </c>
      <c r="W1170" s="87">
        <f t="shared" ref="W1170" si="670">O1170/P1170</f>
        <v>20.928532634708816</v>
      </c>
      <c r="X1170" s="142">
        <f t="shared" si="654"/>
        <v>1.7857142857142857E-4</v>
      </c>
      <c r="Y1170" s="139">
        <f t="shared" si="655"/>
        <v>4.8713581083366701E-2</v>
      </c>
      <c r="Z1170" s="139">
        <f t="shared" si="656"/>
        <v>0</v>
      </c>
      <c r="AA1170" s="139">
        <f t="shared" si="657"/>
        <v>0</v>
      </c>
      <c r="AB1170" s="144">
        <f t="shared" si="658"/>
        <v>4.0645772559263671</v>
      </c>
      <c r="AC1170" s="144">
        <f t="shared" si="659"/>
        <v>-3.7339738841182642E-2</v>
      </c>
      <c r="AD1170" s="144">
        <f t="shared" si="660"/>
        <v>-4.2519725913316257E-2</v>
      </c>
      <c r="AE1170" s="144">
        <f t="shared" si="661"/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71">B1171</f>
        <v>68445979.203684106</v>
      </c>
      <c r="E1171" s="67">
        <f t="shared" ref="E1171" si="672">IF(MONTH(A1171)=MONTH(A1170),E1170,D1170)</f>
        <v>71204832.621444106</v>
      </c>
      <c r="F1171" s="67">
        <f t="shared" ref="F1171" si="673">B1171-C1171-D1170</f>
        <v>2097816.7253055051</v>
      </c>
      <c r="G1171" s="70">
        <f t="shared" ref="G1171" si="674">F1171/B1170</f>
        <v>3.1618309338847739E-2</v>
      </c>
      <c r="H1171" s="67">
        <f t="shared" ref="H1171" si="675">IF(WEEKNUM(A1171)=WEEKNUM(A1170),H1170+F1171,F1171)</f>
        <v>2097816.7253055051</v>
      </c>
      <c r="I1171" s="70">
        <f t="shared" ref="I1171" si="676">IF(WEEKNUM(A1171)=WEEKNUM(A1170),I1170+G1171,G1171)</f>
        <v>3.1618309338847739E-2</v>
      </c>
      <c r="J1171" s="67">
        <f t="shared" ref="J1171" si="677">IF(MONTH(A1171)=MONTH(A1170),J1170+F1171,F1171)</f>
        <v>6241146.5822400078</v>
      </c>
      <c r="K1171" s="70">
        <f t="shared" ref="K1171" si="678">(1+K1170)*(1+G1171)-1</f>
        <v>9.8022191286162297E-2</v>
      </c>
      <c r="L1171" s="70">
        <f t="shared" ref="L1171" si="679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80">B1171-C1171-D1140</f>
        <v>-6910836.8264842927</v>
      </c>
      <c r="R1171" s="70">
        <f t="shared" ref="R1171" si="681">Q1171/B1140</f>
        <v>-9.170818501298679E-2</v>
      </c>
      <c r="S1171" s="67">
        <f t="shared" ref="S1171" si="682">B1171-C1171-D1082</f>
        <v>6484589.5090664029</v>
      </c>
      <c r="T1171" s="70">
        <f t="shared" ref="T1171" si="683">S1171/B1080</f>
        <v>0.10760327750293322</v>
      </c>
      <c r="U1171" s="67">
        <f t="shared" ref="U1171" si="684">B1171-C1171-D807</f>
        <v>31386107.883684106</v>
      </c>
      <c r="V1171" s="70">
        <f t="shared" ref="V1171" si="685">U1171/B805</f>
        <v>0.83096640923227583</v>
      </c>
      <c r="W1171" s="87">
        <f t="shared" ref="W1171" si="686">O1171/P1171</f>
        <v>29.53305221224656</v>
      </c>
      <c r="X1171" s="142">
        <f t="shared" si="654"/>
        <v>1.7857142857142857E-4</v>
      </c>
      <c r="Y1171" s="139">
        <f t="shared" si="655"/>
        <v>3.1439737910276308E-2</v>
      </c>
      <c r="Z1171" s="139">
        <f t="shared" si="656"/>
        <v>0</v>
      </c>
      <c r="AA1171" s="139">
        <f t="shared" si="657"/>
        <v>0</v>
      </c>
      <c r="AB1171" s="144">
        <f t="shared" si="658"/>
        <v>4.3254567103167609</v>
      </c>
      <c r="AC1171" s="144">
        <f t="shared" si="659"/>
        <v>-3.7314732757482927E-2</v>
      </c>
      <c r="AD1171" s="144">
        <f t="shared" si="660"/>
        <v>-4.2515005310440189E-2</v>
      </c>
      <c r="AE1171" s="144">
        <f t="shared" si="661"/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87">B1172</f>
        <v>64784770.194913499</v>
      </c>
      <c r="E1172" s="67">
        <f t="shared" ref="E1172" si="688">IF(MONTH(A1172)=MONTH(A1171),E1171,D1171)</f>
        <v>71204832.621444106</v>
      </c>
      <c r="F1172" s="67">
        <f t="shared" ref="F1172" si="689">B1172-C1172-D1171</f>
        <v>-3661209.0087706074</v>
      </c>
      <c r="G1172" s="70">
        <f t="shared" ref="G1172" si="690">F1172/B1171</f>
        <v>-5.3490490622910732E-2</v>
      </c>
      <c r="H1172" s="67">
        <f t="shared" ref="H1172" si="691">IF(WEEKNUM(A1172)=WEEKNUM(A1171),H1171+F1172,F1172)</f>
        <v>-1563392.2834651023</v>
      </c>
      <c r="I1172" s="70">
        <f t="shared" ref="I1172" si="692">IF(WEEKNUM(A1172)=WEEKNUM(A1171),I1171+G1172,G1172)</f>
        <v>-2.1872181284062993E-2</v>
      </c>
      <c r="J1172" s="67">
        <f t="shared" ref="J1172" si="693">IF(MONTH(A1172)=MONTH(A1171),J1171+F1172,F1172)</f>
        <v>2579937.5734694004</v>
      </c>
      <c r="K1172" s="70">
        <f t="shared" ref="K1172" si="694">(1+K1171)*(1+G1172)-1</f>
        <v>3.9288445559421792E-2</v>
      </c>
      <c r="L1172" s="70">
        <f t="shared" ref="L1172" si="695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96">B1172-C1172-D1141</f>
        <v>-10346761.451548494</v>
      </c>
      <c r="R1172" s="70">
        <f t="shared" ref="R1172" si="697">Q1172/B1141</f>
        <v>-0.13771530041788696</v>
      </c>
      <c r="S1172" s="67">
        <f t="shared" ref="S1172" si="698">B1172-C1172-D1083</f>
        <v>9086137.0878186002</v>
      </c>
      <c r="T1172" s="70">
        <f t="shared" ref="T1172" si="699">S1172/B1081</f>
        <v>0.1460676134636964</v>
      </c>
      <c r="U1172" s="67">
        <f t="shared" ref="U1172" si="700">B1172-C1172-D808</f>
        <v>28275076.124913499</v>
      </c>
      <c r="V1172" s="70">
        <f t="shared" ref="V1172" si="701">U1172/B806</f>
        <v>0.76131510699255012</v>
      </c>
      <c r="W1172" s="87">
        <f t="shared" ref="W1172" si="702">O1172/P1172</f>
        <v>3.6970726031204766</v>
      </c>
      <c r="X1172" s="142">
        <f t="shared" si="654"/>
        <v>1.7857142857142857E-4</v>
      </c>
      <c r="Y1172" s="139">
        <f t="shared" si="655"/>
        <v>-5.3669062051482162E-2</v>
      </c>
      <c r="Z1172" s="139">
        <f t="shared" si="656"/>
        <v>-5.3669062051482162E-2</v>
      </c>
      <c r="AA1172" s="139">
        <f t="shared" si="657"/>
        <v>2.8803682214858426E-3</v>
      </c>
      <c r="AB1172" s="144">
        <f t="shared" si="658"/>
        <v>3.980021491647856</v>
      </c>
      <c r="AC1172" s="144">
        <f t="shared" si="659"/>
        <v>-4.1509870763346807E-2</v>
      </c>
      <c r="AD1172" s="144">
        <f t="shared" si="660"/>
        <v>-4.4096934747222268E-2</v>
      </c>
      <c r="AE1172" s="144">
        <f t="shared" si="661"/>
        <v>-4.8222928813400054E-2</v>
      </c>
    </row>
    <row r="1173" spans="1:31">
      <c r="A1173" s="88">
        <v>45665</v>
      </c>
      <c r="B1173" s="78">
        <v>64378423.867367402</v>
      </c>
      <c r="D1173" s="67">
        <f t="shared" ref="D1173" si="703">B1173</f>
        <v>64378423.867367402</v>
      </c>
      <c r="E1173" s="67">
        <f t="shared" ref="E1173" si="704">IF(MONTH(A1173)=MONTH(A1172),E1172,D1172)</f>
        <v>71204832.621444106</v>
      </c>
      <c r="F1173" s="67">
        <f t="shared" ref="F1173" si="705">B1173-C1173-D1172</f>
        <v>-406346.32754609734</v>
      </c>
      <c r="G1173" s="70">
        <f t="shared" ref="G1173" si="706">F1173/B1172</f>
        <v>-6.2722508133246594E-3</v>
      </c>
      <c r="H1173" s="67">
        <f t="shared" ref="H1173" si="707">IF(WEEKNUM(A1173)=WEEKNUM(A1172),H1172+F1173,F1173)</f>
        <v>-1969738.6110111997</v>
      </c>
      <c r="I1173" s="70">
        <f t="shared" ref="I1173" si="708">IF(WEEKNUM(A1173)=WEEKNUM(A1172),I1172+G1173,G1173)</f>
        <v>-2.8144432097387651E-2</v>
      </c>
      <c r="J1173" s="67">
        <f t="shared" ref="J1173" si="709">IF(MONTH(A1173)=MONTH(A1172),J1172+F1173,F1173)</f>
        <v>2173591.2459233031</v>
      </c>
      <c r="K1173" s="70">
        <f t="shared" ref="K1173" si="710">(1+K1172)*(1+G1173)-1</f>
        <v>3.2769767761482882E-2</v>
      </c>
      <c r="L1173" s="70">
        <f t="shared" ref="L1173" si="711">1+G1173</f>
        <v>0.99372774918667539</v>
      </c>
      <c r="M1173" s="70">
        <f>PRODUCT($L$2:L1173)-1</f>
        <v>0.64740944567221836</v>
      </c>
      <c r="N1173" s="70">
        <f>PRODUCT($L$1169:L1173)-1</f>
        <v>3.2769767761482882E-2</v>
      </c>
      <c r="O1173" s="70">
        <f>AVERAGE($G$1169:G1173)*252</f>
        <v>1.7893418040811018</v>
      </c>
      <c r="P1173" s="70">
        <f>STDEV($G$1169:G1173)*252^0.5</f>
        <v>0.62781403758580268</v>
      </c>
      <c r="Q1173" s="67">
        <f t="shared" ref="Q1173" si="712">B1173-C1173-D1142</f>
        <v>-9402758.5361699015</v>
      </c>
      <c r="R1173" s="70">
        <f t="shared" ref="R1173" si="713">Q1173/B1142</f>
        <v>-0.1274411473205003</v>
      </c>
      <c r="S1173" s="67">
        <f t="shared" ref="S1173" si="714">B1173-C1173-D1084</f>
        <v>9996913.5013853982</v>
      </c>
      <c r="T1173" s="70">
        <f t="shared" ref="T1173" si="715">S1173/B1082</f>
        <v>0.16134101495554068</v>
      </c>
      <c r="U1173" s="67">
        <f t="shared" ref="U1173" si="716">B1173-C1173-D809</f>
        <v>27303160.557367399</v>
      </c>
      <c r="V1173" s="70">
        <f t="shared" ref="V1173" si="717">U1173/B807</f>
        <v>0.73673112142277664</v>
      </c>
      <c r="W1173" s="87">
        <f t="shared" ref="W1173" si="718">O1173/P1173</f>
        <v>2.8501143602360983</v>
      </c>
      <c r="X1173" s="142">
        <f t="shared" si="654"/>
        <v>1.7857142857142857E-4</v>
      </c>
      <c r="Y1173" s="139">
        <f t="shared" si="655"/>
        <v>-6.4508222418960884E-3</v>
      </c>
      <c r="Z1173" s="139">
        <f t="shared" si="656"/>
        <v>-6.4508222418960884E-3</v>
      </c>
      <c r="AA1173" s="139">
        <f t="shared" si="657"/>
        <v>4.1613107596541278E-5</v>
      </c>
      <c r="AB1173" s="144">
        <f t="shared" si="658"/>
        <v>4.0325194488371947</v>
      </c>
      <c r="AC1173" s="144">
        <f t="shared" si="659"/>
        <v>-4.1851469353405141E-2</v>
      </c>
      <c r="AD1173" s="144">
        <f t="shared" si="660"/>
        <v>-3.9396627891970681E-2</v>
      </c>
      <c r="AE1173" s="144">
        <f t="shared" si="661"/>
        <v>-4.8183344302418128E-2</v>
      </c>
    </row>
    <row r="1174" spans="1:31">
      <c r="A1174" s="88">
        <v>45666</v>
      </c>
      <c r="B1174" s="78">
        <v>64340660.011150397</v>
      </c>
      <c r="D1174" s="67">
        <f t="shared" ref="D1174" si="719">B1174</f>
        <v>64340660.011150397</v>
      </c>
      <c r="E1174" s="67">
        <f t="shared" ref="E1174" si="720">IF(MONTH(A1174)=MONTH(A1173),E1173,D1173)</f>
        <v>71204832.621444106</v>
      </c>
      <c r="F1174" s="67">
        <f t="shared" ref="F1174" si="721">B1174-C1174-D1173</f>
        <v>-37763.856217004359</v>
      </c>
      <c r="G1174" s="70">
        <f t="shared" ref="G1174" si="722">F1174/B1173</f>
        <v>-5.8659181055450429E-4</v>
      </c>
      <c r="H1174" s="67">
        <f t="shared" ref="H1174" si="723">IF(WEEKNUM(A1174)=WEEKNUM(A1173),H1173+F1174,F1174)</f>
        <v>-2007502.467228204</v>
      </c>
      <c r="I1174" s="70">
        <f t="shared" ref="I1174" si="724">IF(WEEKNUM(A1174)=WEEKNUM(A1173),I1173+G1174,G1174)</f>
        <v>-2.8731023907942153E-2</v>
      </c>
      <c r="J1174" s="67">
        <f t="shared" ref="J1174" si="725">IF(MONTH(A1174)=MONTH(A1173),J1173+F1174,F1174)</f>
        <v>2135827.3897062987</v>
      </c>
      <c r="K1174" s="70">
        <f t="shared" ref="K1174" si="726">(1+K1173)*(1+G1174)-1</f>
        <v>3.216395347352563E-2</v>
      </c>
      <c r="L1174" s="70">
        <f t="shared" ref="L1174" si="727">1+G1174</f>
        <v>0.99941340818944546</v>
      </c>
      <c r="M1174" s="70">
        <f>PRODUCT($L$2:L1174)-1</f>
        <v>0.6464430887827568</v>
      </c>
      <c r="N1174" s="70">
        <f>PRODUCT($L$1169:L1174)-1</f>
        <v>3.216395347352563E-2</v>
      </c>
      <c r="O1174" s="70">
        <f>AVERAGE($G$1169:G1174)*252</f>
        <v>1.4664813140242958</v>
      </c>
      <c r="P1174" s="70">
        <f>STDEV($G$1169:G1174)*252^0.5</f>
        <v>0.56373952416782558</v>
      </c>
      <c r="Q1174" s="67">
        <f t="shared" ref="Q1174" si="728">B1174-C1174-D1143</f>
        <v>-9648307.5048066005</v>
      </c>
      <c r="R1174" s="70">
        <f t="shared" ref="R1174" si="729">Q1174/B1143</f>
        <v>-0.13040197516914634</v>
      </c>
      <c r="S1174" s="67">
        <f t="shared" ref="S1174" si="730">B1174-C1174-D1085</f>
        <v>9906053.5334718972</v>
      </c>
      <c r="T1174" s="70">
        <f t="shared" ref="T1174" si="731">S1174/B1083</f>
        <v>0.17785092704923244</v>
      </c>
      <c r="U1174" s="67">
        <f t="shared" ref="U1174" si="732">B1174-C1174-D810</f>
        <v>28045188.851150401</v>
      </c>
      <c r="V1174" s="70">
        <f t="shared" ref="V1174" si="733">U1174/B808</f>
        <v>0.7681573227477444</v>
      </c>
      <c r="W1174" s="87">
        <f t="shared" ref="W1174" si="734">O1174/P1174</f>
        <v>2.6013455703484141</v>
      </c>
      <c r="X1174" s="142">
        <f t="shared" si="654"/>
        <v>1.7857142857142857E-4</v>
      </c>
      <c r="Y1174" s="139">
        <f t="shared" si="655"/>
        <v>-7.6516323912593283E-4</v>
      </c>
      <c r="Z1174" s="139">
        <f t="shared" si="656"/>
        <v>-7.6516323912593283E-4</v>
      </c>
      <c r="AA1174" s="139">
        <f t="shared" si="657"/>
        <v>5.8547478250968942E-7</v>
      </c>
      <c r="AB1174" s="144">
        <f t="shared" si="658"/>
        <v>3.9807376933868746</v>
      </c>
      <c r="AC1174" s="144">
        <f t="shared" si="659"/>
        <v>-4.1630720012298304E-2</v>
      </c>
      <c r="AD1174" s="144">
        <f t="shared" si="660"/>
        <v>-3.8880118810897604E-2</v>
      </c>
      <c r="AE1174" s="144">
        <f t="shared" si="661"/>
        <v>-4.8214814201420403E-2</v>
      </c>
    </row>
    <row r="1175" spans="1:31">
      <c r="A1175" s="88">
        <v>45667</v>
      </c>
      <c r="B1175" s="78">
        <v>61771085.473509103</v>
      </c>
      <c r="D1175" s="67">
        <f t="shared" ref="D1175" si="735">B1175</f>
        <v>61771085.473509103</v>
      </c>
      <c r="E1175" s="67">
        <f t="shared" ref="E1175" si="736">IF(MONTH(A1175)=MONTH(A1174),E1174,D1174)</f>
        <v>71204832.621444106</v>
      </c>
      <c r="F1175" s="67">
        <f t="shared" ref="F1175" si="737">B1175-C1175-D1174</f>
        <v>-2569574.5376412943</v>
      </c>
      <c r="G1175" s="70">
        <f t="shared" ref="G1175" si="738">F1175/B1174</f>
        <v>-3.9937024848610204E-2</v>
      </c>
      <c r="H1175" s="67">
        <f t="shared" ref="H1175" si="739">IF(WEEKNUM(A1175)=WEEKNUM(A1174),H1174+F1175,F1175)</f>
        <v>-4577077.0048694983</v>
      </c>
      <c r="I1175" s="70">
        <f t="shared" ref="I1175" si="740">IF(WEEKNUM(A1175)=WEEKNUM(A1174),I1174+G1175,G1175)</f>
        <v>-6.8668048756552358E-2</v>
      </c>
      <c r="J1175" s="67">
        <f t="shared" ref="J1175" si="741">IF(MONTH(A1175)=MONTH(A1174),J1174+F1175,F1175)</f>
        <v>-433747.14793499559</v>
      </c>
      <c r="K1175" s="70">
        <f t="shared" ref="K1175" si="742">(1+K1174)*(1+G1175)-1</f>
        <v>-9.0576039841863132E-3</v>
      </c>
      <c r="L1175" s="70">
        <f t="shared" ref="L1175" si="743">1+G1175</f>
        <v>0.96006297515138983</v>
      </c>
      <c r="M1175" s="70">
        <f>PRODUCT($L$2:L1175)-1</f>
        <v>0.58068905023421746</v>
      </c>
      <c r="N1175" s="70">
        <f>PRODUCT($L$1169:L1175)-1</f>
        <v>-9.0576039841863132E-3</v>
      </c>
      <c r="O1175" s="70">
        <f>AVERAGE($G$1169:G1175)*252</f>
        <v>-0.18074891110057095</v>
      </c>
      <c r="P1175" s="70">
        <f>STDEV($G$1169:G1175)*252^0.5</f>
        <v>0.58327225746534495</v>
      </c>
      <c r="Q1175" s="67">
        <f t="shared" ref="Q1175" si="744">B1175-C1175-D1144</f>
        <v>-11775306.090390891</v>
      </c>
      <c r="R1175" s="70">
        <f t="shared" ref="R1175" si="745">Q1175/B1144</f>
        <v>-0.16010719003338242</v>
      </c>
      <c r="S1175" s="67">
        <f t="shared" ref="S1175" si="746">B1175-C1175-D1086</f>
        <v>10795531.624386802</v>
      </c>
      <c r="T1175" s="70">
        <f t="shared" ref="T1175" si="747">S1175/B1084</f>
        <v>0.1985147442896304</v>
      </c>
      <c r="U1175" s="67">
        <f t="shared" ref="U1175" si="748">B1175-C1175-D811</f>
        <v>26237720.813509107</v>
      </c>
      <c r="V1175" s="70">
        <f t="shared" ref="V1175" si="749">U1175/B809</f>
        <v>0.70768805049679107</v>
      </c>
      <c r="W1175" s="87">
        <f t="shared" ref="W1175" si="750">O1175/P1175</f>
        <v>-0.30988772187799474</v>
      </c>
      <c r="X1175" s="142">
        <f t="shared" si="654"/>
        <v>1.7857142857142857E-4</v>
      </c>
      <c r="Y1175" s="139">
        <f t="shared" ref="Y1175" si="751">G1175-X1175</f>
        <v>-4.0115596277181635E-2</v>
      </c>
      <c r="Z1175" s="139">
        <f t="shared" ref="Z1175" si="752">IF(Y1175&lt;0,Y1175,0)</f>
        <v>-4.0115596277181635E-2</v>
      </c>
      <c r="AA1175" s="139">
        <f t="shared" ref="AA1175" si="753">Z1175^2</f>
        <v>1.6092610646738291E-3</v>
      </c>
      <c r="AB1175" s="144">
        <f t="shared" ref="AB1175" si="754">AVERAGE(Y924:Y1175)/AVERAGE(AA924:AA1175)</f>
        <v>3.4290903112562003</v>
      </c>
      <c r="AC1175" s="144">
        <f t="shared" ref="AC1175" si="755">AVERAGE(G1146:G1175)-_xlfn.NORM.S.INV(0.95)*_xlfn.STDEV.S(G1146:G1175)</f>
        <v>-4.4602240978631545E-2</v>
      </c>
      <c r="AD1175" s="144">
        <f t="shared" ref="AD1175" si="756">AVERAGE(G1086:G1175)-_xlfn.NORM.S.INV(0.95)*_xlfn.STDEV.S(G1086:G1175)</f>
        <v>-4.0003526003172224E-2</v>
      </c>
      <c r="AE1175" s="144">
        <f t="shared" ref="AE1175" si="757">AVERAGE(G811:G1175)-_xlfn.NORM.S.INV(0.95)*_xlfn.STDEV.S(G811:G1175)</f>
        <v>-4.8357481114059929E-2</v>
      </c>
    </row>
    <row r="1176" spans="1:31">
      <c r="A1176" s="88">
        <v>45670</v>
      </c>
      <c r="B1176" s="78">
        <v>60426206.230531901</v>
      </c>
      <c r="D1176" s="67">
        <f t="shared" ref="D1176" si="758">B1176</f>
        <v>60426206.230531901</v>
      </c>
      <c r="E1176" s="67">
        <f t="shared" ref="E1176" si="759">IF(MONTH(A1176)=MONTH(A1175),E1175,D1175)</f>
        <v>71204832.621444106</v>
      </c>
      <c r="F1176" s="67">
        <f t="shared" ref="F1176" si="760">B1176-C1176-D1175</f>
        <v>-1344879.2429772019</v>
      </c>
      <c r="G1176" s="70">
        <f t="shared" ref="G1176" si="761">F1176/B1175</f>
        <v>-2.1771986564069066E-2</v>
      </c>
      <c r="H1176" s="67">
        <f t="shared" ref="H1176" si="762">IF(WEEKNUM(A1176)=WEEKNUM(A1175),H1175+F1176,F1176)</f>
        <v>-1344879.2429772019</v>
      </c>
      <c r="I1176" s="70">
        <f t="shared" ref="I1176" si="763">IF(WEEKNUM(A1176)=WEEKNUM(A1175),I1175+G1176,G1176)</f>
        <v>-2.1771986564069066E-2</v>
      </c>
      <c r="J1176" s="67">
        <f t="shared" ref="J1176" si="764">IF(MONTH(A1176)=MONTH(A1175),J1175+F1176,F1176)</f>
        <v>-1778626.3909121975</v>
      </c>
      <c r="K1176" s="70">
        <f t="shared" ref="K1176" si="765">(1+K1175)*(1+G1176)-1</f>
        <v>-3.0632388516009024E-2</v>
      </c>
      <c r="L1176" s="70">
        <f t="shared" ref="L1176" si="766">1+G1176</f>
        <v>0.97822801343593091</v>
      </c>
      <c r="M1176" s="70">
        <f>PRODUCT($L$2:L1176)-1</f>
        <v>0.54627430947054689</v>
      </c>
      <c r="N1176" s="70">
        <f>PRODUCT($L$1169:L1176)-1</f>
        <v>-3.0632388516009024E-2</v>
      </c>
      <c r="O1176" s="70">
        <f>AVERAGE($G$1169:G1176)*252</f>
        <v>-0.84397287398117515</v>
      </c>
      <c r="P1176" s="70">
        <f>STDEV($G$1169:G1176)*252^0.5</f>
        <v>0.55278349721003928</v>
      </c>
      <c r="Q1176" s="67">
        <f t="shared" ref="Q1176" si="767">B1176-C1176-D1145</f>
        <v>-12980770.543916494</v>
      </c>
      <c r="R1176" s="70">
        <f t="shared" ref="R1176" si="768">Q1176/B1145</f>
        <v>-0.17683292670942496</v>
      </c>
      <c r="S1176" s="67">
        <f t="shared" ref="S1176" si="769">B1176-C1176-D1087</f>
        <v>7554063.4194793999</v>
      </c>
      <c r="T1176" s="70">
        <f t="shared" ref="T1176" si="770">S1176/B1085</f>
        <v>0.1387731795687184</v>
      </c>
      <c r="U1176" s="67">
        <f t="shared" ref="U1176" si="771">B1176-C1176-D812</f>
        <v>25873156.440531902</v>
      </c>
      <c r="V1176" s="70">
        <f t="shared" ref="V1176" si="772">U1176/B810</f>
        <v>0.7128480665391066</v>
      </c>
      <c r="W1176" s="87">
        <f t="shared" ref="W1176" si="773">O1176/P1176</f>
        <v>-1.5267693016177248</v>
      </c>
      <c r="X1176" s="142">
        <f t="shared" si="654"/>
        <v>1.7857142857142857E-4</v>
      </c>
      <c r="Y1176" s="139">
        <f t="shared" ref="Y1176" si="774">G1176-X1176</f>
        <v>-2.1950557992640493E-2</v>
      </c>
      <c r="Z1176" s="139">
        <f t="shared" ref="Z1176" si="775">IF(Y1176&lt;0,Y1176,0)</f>
        <v>-2.1950557992640493E-2</v>
      </c>
      <c r="AA1176" s="139">
        <f t="shared" ref="AA1176" si="776">Z1176^2</f>
        <v>4.8182699618827345E-4</v>
      </c>
      <c r="AB1176" s="144">
        <f t="shared" ref="AB1176" si="777">AVERAGE(Y925:Y1176)/AVERAGE(AA925:AA1176)</f>
        <v>3.1478073961057969</v>
      </c>
      <c r="AC1176" s="144">
        <f t="shared" ref="AC1176" si="778">AVERAGE(G1147:G1176)-_xlfn.NORM.S.INV(0.95)*_xlfn.STDEV.S(G1147:G1176)</f>
        <v>-4.5796654173352221E-2</v>
      </c>
      <c r="AD1176" s="144">
        <f t="shared" ref="AD1176" si="779">AVERAGE(G1087:G1176)-_xlfn.NORM.S.INV(0.95)*_xlfn.STDEV.S(G1087:G1176)</f>
        <v>-3.8163505334544982E-2</v>
      </c>
      <c r="AE1176" s="144">
        <f t="shared" ref="AE1176" si="780">AVERAGE(G812:G1176)-_xlfn.NORM.S.INV(0.95)*_xlfn.STDEV.S(G812:G1176)</f>
        <v>-4.836228212888817E-2</v>
      </c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B1195" s="7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A1196" s="88"/>
      <c r="B1196" s="78"/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A1197" s="88"/>
      <c r="B1197" s="78"/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A1198" s="88"/>
      <c r="B1198" s="78"/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A1199" s="88"/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4:31">
      <c r="D1219" s="67"/>
      <c r="E1219" s="67"/>
      <c r="F1219" s="67"/>
      <c r="G1219" s="70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4:31">
      <c r="D1220" s="67"/>
      <c r="E1220" s="67"/>
      <c r="F1220" s="67"/>
      <c r="G1220" s="70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4:31">
      <c r="D1221" s="67"/>
      <c r="E1221" s="67"/>
      <c r="F1221" s="67"/>
      <c r="G1221" s="70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4:31">
      <c r="D1222" s="67"/>
      <c r="E1222" s="67"/>
      <c r="F1222" s="67"/>
      <c r="G1222" s="70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51" activePane="bottomLeft" state="frozen"/>
      <selection activeCell="B1099" sqref="B1099"/>
      <selection pane="bottomLeft" activeCell="A68" sqref="A68:XFD68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309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306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30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</v>
      </c>
      <c r="F3" s="153">
        <v>4180000</v>
      </c>
      <c r="G3" s="153">
        <v>7.786342754808067</v>
      </c>
      <c r="H3" s="153">
        <v>536837.4</v>
      </c>
      <c r="I3" s="218">
        <v>0.28000000000000003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249.2</v>
      </c>
      <c r="F4" s="153">
        <v>6354600</v>
      </c>
      <c r="G4" s="153">
        <v>7.786342754808067</v>
      </c>
      <c r="H4" s="153">
        <v>816121.28</v>
      </c>
      <c r="I4" s="218">
        <v>0.42</v>
      </c>
      <c r="J4"/>
      <c r="K4"/>
    </row>
    <row r="5" spans="1:11">
      <c r="A5" s="221" t="s">
        <v>429</v>
      </c>
      <c r="B5" s="153" t="s">
        <v>140</v>
      </c>
      <c r="C5" s="153" t="s">
        <v>33</v>
      </c>
      <c r="D5" s="153">
        <v>-10</v>
      </c>
      <c r="E5" s="153">
        <v>2.38</v>
      </c>
      <c r="F5" s="153">
        <v>-23.8</v>
      </c>
      <c r="G5" s="153">
        <v>7.786342754808067</v>
      </c>
      <c r="H5" s="153">
        <v>-3.06</v>
      </c>
      <c r="I5" s="218">
        <v>0</v>
      </c>
      <c r="J5"/>
      <c r="K5"/>
    </row>
    <row r="6" spans="1:11">
      <c r="A6" s="221">
        <v>1288</v>
      </c>
      <c r="B6" s="153" t="s">
        <v>138</v>
      </c>
      <c r="C6" s="153" t="s">
        <v>33</v>
      </c>
      <c r="D6" s="153">
        <v>2625000</v>
      </c>
      <c r="E6" s="153">
        <v>4.17</v>
      </c>
      <c r="F6" s="153">
        <v>10946250</v>
      </c>
      <c r="G6" s="153">
        <v>7.786342754808067</v>
      </c>
      <c r="H6" s="153">
        <v>1405826.89</v>
      </c>
      <c r="I6" s="218">
        <v>0.73</v>
      </c>
      <c r="J6"/>
      <c r="K6"/>
    </row>
    <row r="7" spans="1:11">
      <c r="A7" s="221">
        <v>1810</v>
      </c>
      <c r="B7" s="153" t="s">
        <v>138</v>
      </c>
      <c r="C7" s="153" t="s">
        <v>33</v>
      </c>
      <c r="D7" s="153">
        <v>150000</v>
      </c>
      <c r="E7" s="153">
        <v>32.799999999999997</v>
      </c>
      <c r="F7" s="153">
        <v>4920000</v>
      </c>
      <c r="G7" s="153">
        <v>7.786342754808067</v>
      </c>
      <c r="H7" s="153">
        <v>631875.6</v>
      </c>
      <c r="I7" s="218">
        <v>0.33</v>
      </c>
      <c r="J7"/>
      <c r="K7"/>
    </row>
    <row r="8" spans="1:11">
      <c r="A8" s="221">
        <v>2020</v>
      </c>
      <c r="B8" s="153" t="s">
        <v>138</v>
      </c>
      <c r="C8" s="153" t="s">
        <v>33</v>
      </c>
      <c r="D8" s="153">
        <v>5000</v>
      </c>
      <c r="E8" s="153">
        <v>78</v>
      </c>
      <c r="F8" s="153">
        <v>390000</v>
      </c>
      <c r="G8" s="153">
        <v>7.786342754808067</v>
      </c>
      <c r="H8" s="153">
        <v>50087.7</v>
      </c>
      <c r="I8" s="218">
        <v>0.03</v>
      </c>
      <c r="J8"/>
      <c r="K8"/>
    </row>
    <row r="9" spans="1:11">
      <c r="A9" s="221">
        <v>2318</v>
      </c>
      <c r="B9" s="153" t="s">
        <v>138</v>
      </c>
      <c r="C9" s="153" t="s">
        <v>33</v>
      </c>
      <c r="D9" s="153">
        <v>125000</v>
      </c>
      <c r="E9" s="153">
        <v>40.950000000000003</v>
      </c>
      <c r="F9" s="153">
        <v>5118750</v>
      </c>
      <c r="G9" s="153">
        <v>7.786342754808067</v>
      </c>
      <c r="H9" s="153">
        <v>657401.06000000006</v>
      </c>
      <c r="I9" s="218">
        <v>0.34</v>
      </c>
      <c r="J9"/>
      <c r="K9"/>
    </row>
    <row r="10" spans="1:11">
      <c r="A10" s="221">
        <v>2359</v>
      </c>
      <c r="B10" s="153" t="s">
        <v>138</v>
      </c>
      <c r="C10" s="153" t="s">
        <v>33</v>
      </c>
      <c r="D10" s="153">
        <v>20000</v>
      </c>
      <c r="E10" s="153">
        <v>52</v>
      </c>
      <c r="F10" s="153">
        <v>1040000</v>
      </c>
      <c r="G10" s="153">
        <v>7.786342754808067</v>
      </c>
      <c r="H10" s="153">
        <v>133567.20000000001</v>
      </c>
      <c r="I10" s="218">
        <v>6.9999999999999993E-2</v>
      </c>
      <c r="J10"/>
      <c r="K10"/>
    </row>
    <row r="11" spans="1:11">
      <c r="A11" s="221">
        <v>2828</v>
      </c>
      <c r="B11" s="153" t="s">
        <v>138</v>
      </c>
      <c r="C11" s="153" t="s">
        <v>33</v>
      </c>
      <c r="D11" s="153">
        <v>435000</v>
      </c>
      <c r="E11" s="153">
        <v>70.06</v>
      </c>
      <c r="F11" s="153">
        <v>30476100</v>
      </c>
      <c r="G11" s="153">
        <v>7.786342754808067</v>
      </c>
      <c r="H11" s="153">
        <v>3914045.52</v>
      </c>
      <c r="I11" s="218">
        <v>2.02</v>
      </c>
      <c r="J11"/>
      <c r="K11"/>
    </row>
    <row r="12" spans="1:11">
      <c r="A12" s="221">
        <v>3067</v>
      </c>
      <c r="B12" s="153" t="s">
        <v>138</v>
      </c>
      <c r="C12" s="153" t="s">
        <v>33</v>
      </c>
      <c r="D12" s="153">
        <v>600000</v>
      </c>
      <c r="E12" s="153">
        <v>8.84</v>
      </c>
      <c r="F12" s="153">
        <v>5304000</v>
      </c>
      <c r="G12" s="153">
        <v>7.786342754808067</v>
      </c>
      <c r="H12" s="153">
        <v>681192.72</v>
      </c>
      <c r="I12" s="218">
        <v>0.35</v>
      </c>
      <c r="J12"/>
      <c r="K12"/>
    </row>
    <row r="13" spans="1:11">
      <c r="A13" s="221">
        <v>3690</v>
      </c>
      <c r="B13" s="153" t="s">
        <v>138</v>
      </c>
      <c r="C13" s="153" t="s">
        <v>33</v>
      </c>
      <c r="D13" s="153">
        <v>12500</v>
      </c>
      <c r="E13" s="153">
        <v>137.4</v>
      </c>
      <c r="F13" s="153">
        <v>1717500</v>
      </c>
      <c r="G13" s="153">
        <v>7.786342754808067</v>
      </c>
      <c r="H13" s="153">
        <v>220578.52</v>
      </c>
      <c r="I13" s="218">
        <v>0.11</v>
      </c>
      <c r="J13"/>
      <c r="K13"/>
    </row>
    <row r="14" spans="1:11">
      <c r="A14" s="221" t="s">
        <v>291</v>
      </c>
      <c r="B14" s="153" t="s">
        <v>138</v>
      </c>
      <c r="C14" s="153" t="s">
        <v>34</v>
      </c>
      <c r="D14" s="153">
        <v>10000</v>
      </c>
      <c r="E14" s="153">
        <v>1514.5</v>
      </c>
      <c r="F14" s="153">
        <v>15145000</v>
      </c>
      <c r="G14" s="153">
        <v>157.62925598991171</v>
      </c>
      <c r="H14" s="153">
        <v>96079.88</v>
      </c>
      <c r="I14" s="218">
        <v>0.05</v>
      </c>
      <c r="J14"/>
      <c r="K14"/>
    </row>
    <row r="15" spans="1:11">
      <c r="A15" s="221">
        <v>6181</v>
      </c>
      <c r="B15" s="153" t="s">
        <v>138</v>
      </c>
      <c r="C15" s="153" t="s">
        <v>33</v>
      </c>
      <c r="D15" s="153">
        <v>2000</v>
      </c>
      <c r="E15" s="153">
        <v>296.39999999999998</v>
      </c>
      <c r="F15" s="153">
        <v>592800</v>
      </c>
      <c r="G15" s="153">
        <v>7.786342754808067</v>
      </c>
      <c r="H15" s="153">
        <v>76133.3</v>
      </c>
      <c r="I15" s="218">
        <v>0.04</v>
      </c>
      <c r="J15"/>
      <c r="K15"/>
    </row>
    <row r="16" spans="1:11">
      <c r="A16" s="221" t="s">
        <v>288</v>
      </c>
      <c r="B16" s="153" t="s">
        <v>138</v>
      </c>
      <c r="C16" s="153" t="s">
        <v>34</v>
      </c>
      <c r="D16" s="153">
        <v>15000</v>
      </c>
      <c r="E16" s="153">
        <v>3810</v>
      </c>
      <c r="F16" s="153">
        <v>57150000</v>
      </c>
      <c r="G16" s="153">
        <v>157.62925598991171</v>
      </c>
      <c r="H16" s="153">
        <v>362559.6</v>
      </c>
      <c r="I16" s="218">
        <v>0.19</v>
      </c>
      <c r="J16"/>
      <c r="K16"/>
    </row>
    <row r="17" spans="1:11">
      <c r="A17" s="221">
        <v>688</v>
      </c>
      <c r="B17" s="153" t="s">
        <v>138</v>
      </c>
      <c r="C17" s="153" t="s">
        <v>33</v>
      </c>
      <c r="D17" s="153">
        <v>240000</v>
      </c>
      <c r="E17" s="153">
        <v>12.08</v>
      </c>
      <c r="F17" s="153">
        <v>2899200</v>
      </c>
      <c r="G17" s="153">
        <v>7.786342754808067</v>
      </c>
      <c r="H17" s="153">
        <v>372344.26</v>
      </c>
      <c r="I17" s="218">
        <v>0.19</v>
      </c>
      <c r="J17"/>
      <c r="K17"/>
    </row>
    <row r="18" spans="1:11">
      <c r="A18" s="221">
        <v>700</v>
      </c>
      <c r="B18" s="153" t="s">
        <v>138</v>
      </c>
      <c r="C18" s="153" t="s">
        <v>33</v>
      </c>
      <c r="D18" s="153">
        <v>41500</v>
      </c>
      <c r="E18" s="153">
        <v>366</v>
      </c>
      <c r="F18" s="153">
        <v>15189000</v>
      </c>
      <c r="G18" s="153">
        <v>7.786342754808067</v>
      </c>
      <c r="H18" s="153">
        <v>1950723.27</v>
      </c>
      <c r="I18" s="218">
        <v>1.01</v>
      </c>
      <c r="J18"/>
      <c r="K18"/>
    </row>
    <row r="19" spans="1:11">
      <c r="A19" s="221" t="s">
        <v>430</v>
      </c>
      <c r="B19" s="153" t="s">
        <v>140</v>
      </c>
      <c r="C19" s="153" t="s">
        <v>33</v>
      </c>
      <c r="D19" s="153">
        <v>-15</v>
      </c>
      <c r="E19" s="153">
        <v>2.39</v>
      </c>
      <c r="F19" s="153">
        <v>-35.85</v>
      </c>
      <c r="G19" s="153">
        <v>7.786342754808067</v>
      </c>
      <c r="H19" s="153">
        <v>-4.5999999999999996</v>
      </c>
      <c r="I19" s="218">
        <v>0</v>
      </c>
      <c r="J19"/>
      <c r="K19"/>
    </row>
    <row r="20" spans="1:11">
      <c r="A20" s="221" t="s">
        <v>421</v>
      </c>
      <c r="B20" s="153" t="s">
        <v>140</v>
      </c>
      <c r="C20" s="153" t="s">
        <v>33</v>
      </c>
      <c r="D20" s="153">
        <v>-15</v>
      </c>
      <c r="E20" s="153">
        <v>9.23</v>
      </c>
      <c r="F20" s="153">
        <v>-138.44999999999999</v>
      </c>
      <c r="G20" s="153">
        <v>7.786342754808067</v>
      </c>
      <c r="H20" s="153">
        <v>-17.78</v>
      </c>
      <c r="I20" s="218">
        <v>0</v>
      </c>
      <c r="J20"/>
      <c r="K20"/>
    </row>
    <row r="21" spans="1:11">
      <c r="A21" s="221" t="s">
        <v>422</v>
      </c>
      <c r="B21" s="153" t="s">
        <v>140</v>
      </c>
      <c r="C21" s="153" t="s">
        <v>38</v>
      </c>
      <c r="D21" s="153">
        <v>-15</v>
      </c>
      <c r="E21" s="153">
        <v>16.02</v>
      </c>
      <c r="F21" s="153">
        <v>-240.3</v>
      </c>
      <c r="G21" s="153">
        <v>1</v>
      </c>
      <c r="H21" s="153">
        <v>-240.3</v>
      </c>
      <c r="I21" s="218">
        <v>0</v>
      </c>
      <c r="J21"/>
      <c r="K21"/>
    </row>
    <row r="22" spans="1:11">
      <c r="A22" s="221">
        <v>883</v>
      </c>
      <c r="B22" s="153" t="s">
        <v>138</v>
      </c>
      <c r="C22" s="153" t="s">
        <v>33</v>
      </c>
      <c r="D22" s="153">
        <v>500000</v>
      </c>
      <c r="E22" s="153">
        <v>19.239999999999998</v>
      </c>
      <c r="F22" s="153">
        <v>9620000</v>
      </c>
      <c r="G22" s="153">
        <v>7.786342754808067</v>
      </c>
      <c r="H22" s="153">
        <v>1235496.6000000001</v>
      </c>
      <c r="I22" s="218">
        <v>0.64</v>
      </c>
      <c r="J22"/>
      <c r="K22"/>
    </row>
    <row r="23" spans="1:11">
      <c r="A23" s="221">
        <v>941</v>
      </c>
      <c r="B23" s="153" t="s">
        <v>138</v>
      </c>
      <c r="C23" s="153" t="s">
        <v>33</v>
      </c>
      <c r="D23" s="153">
        <v>125000</v>
      </c>
      <c r="E23" s="153">
        <v>74.150000000000006</v>
      </c>
      <c r="F23" s="153">
        <v>9268750</v>
      </c>
      <c r="G23" s="153">
        <v>7.786342754808067</v>
      </c>
      <c r="H23" s="153">
        <v>1190385.56</v>
      </c>
      <c r="I23" s="218">
        <v>0.62</v>
      </c>
      <c r="J23"/>
      <c r="K23"/>
    </row>
    <row r="24" spans="1:11">
      <c r="A24" s="221">
        <v>9618</v>
      </c>
      <c r="B24" s="153" t="s">
        <v>138</v>
      </c>
      <c r="C24" s="153" t="s">
        <v>33</v>
      </c>
      <c r="D24" s="153">
        <v>12500</v>
      </c>
      <c r="E24" s="153">
        <v>129</v>
      </c>
      <c r="F24" s="153">
        <v>1612500</v>
      </c>
      <c r="G24" s="153">
        <v>7.786342754808067</v>
      </c>
      <c r="H24" s="153">
        <v>207093.38</v>
      </c>
      <c r="I24" s="218">
        <v>0.11</v>
      </c>
      <c r="J24"/>
      <c r="K24"/>
    </row>
    <row r="25" spans="1:11">
      <c r="A25" s="221">
        <v>992</v>
      </c>
      <c r="B25" s="153" t="s">
        <v>138</v>
      </c>
      <c r="C25" s="153" t="s">
        <v>33</v>
      </c>
      <c r="D25" s="153">
        <v>50000</v>
      </c>
      <c r="E25" s="153">
        <v>9.27</v>
      </c>
      <c r="F25" s="153">
        <v>463500</v>
      </c>
      <c r="G25" s="153">
        <v>7.786342754808067</v>
      </c>
      <c r="H25" s="153">
        <v>59527.3</v>
      </c>
      <c r="I25" s="218">
        <v>0.03</v>
      </c>
      <c r="J25"/>
      <c r="K25"/>
    </row>
    <row r="26" spans="1:11">
      <c r="A26" s="221">
        <v>9961</v>
      </c>
      <c r="B26" s="153" t="s">
        <v>138</v>
      </c>
      <c r="C26" s="153" t="s">
        <v>33</v>
      </c>
      <c r="D26" s="153">
        <v>9500</v>
      </c>
      <c r="E26" s="153">
        <v>496.4</v>
      </c>
      <c r="F26" s="153">
        <v>4715800</v>
      </c>
      <c r="G26" s="153">
        <v>7.786342754808067</v>
      </c>
      <c r="H26" s="153">
        <v>605650.18999999994</v>
      </c>
      <c r="I26" s="218">
        <v>0.31</v>
      </c>
      <c r="J26"/>
      <c r="K26" s="153"/>
    </row>
    <row r="27" spans="1:11">
      <c r="A27" s="221">
        <v>9988</v>
      </c>
      <c r="B27" s="153" t="s">
        <v>138</v>
      </c>
      <c r="C27" s="153" t="s">
        <v>33</v>
      </c>
      <c r="D27" s="153">
        <v>30000</v>
      </c>
      <c r="E27" s="153">
        <v>78.099999999999994</v>
      </c>
      <c r="F27" s="153">
        <v>2343000</v>
      </c>
      <c r="G27" s="153">
        <v>7.786342754808067</v>
      </c>
      <c r="H27" s="153">
        <v>300911.49</v>
      </c>
      <c r="I27" s="218">
        <v>0.16</v>
      </c>
      <c r="J27"/>
      <c r="K27"/>
    </row>
    <row r="28" spans="1:11">
      <c r="A28" s="221" t="s">
        <v>293</v>
      </c>
      <c r="B28" s="153" t="s">
        <v>138</v>
      </c>
      <c r="C28" s="153" t="s">
        <v>37</v>
      </c>
      <c r="D28" s="153">
        <v>500000</v>
      </c>
      <c r="E28" s="153">
        <v>2.4500000000000002</v>
      </c>
      <c r="F28" s="153">
        <v>1225000</v>
      </c>
      <c r="G28" s="153">
        <v>1.3716104077797739</v>
      </c>
      <c r="H28" s="153">
        <v>893110.75</v>
      </c>
      <c r="I28" s="218">
        <v>0.46</v>
      </c>
      <c r="J28"/>
      <c r="K28"/>
    </row>
    <row r="29" spans="1:11">
      <c r="A29" s="221" t="s">
        <v>82</v>
      </c>
      <c r="B29" s="153" t="s">
        <v>23</v>
      </c>
      <c r="C29" s="153" t="s">
        <v>38</v>
      </c>
      <c r="D29" s="153">
        <v>2000</v>
      </c>
      <c r="E29" s="153">
        <v>234.4</v>
      </c>
      <c r="F29" s="153">
        <v>468800</v>
      </c>
      <c r="G29" s="153">
        <v>1</v>
      </c>
      <c r="H29" s="153">
        <v>468800</v>
      </c>
      <c r="I29" s="218">
        <v>0.24</v>
      </c>
      <c r="J29"/>
      <c r="K29"/>
    </row>
    <row r="30" spans="1:11">
      <c r="A30" s="221" t="s">
        <v>367</v>
      </c>
      <c r="B30" s="153" t="s">
        <v>23</v>
      </c>
      <c r="C30" s="153" t="s">
        <v>38</v>
      </c>
      <c r="D30" s="153">
        <v>2000</v>
      </c>
      <c r="E30" s="153">
        <v>218.46</v>
      </c>
      <c r="F30" s="153">
        <v>436920</v>
      </c>
      <c r="G30" s="153">
        <v>1</v>
      </c>
      <c r="H30" s="153">
        <v>436920</v>
      </c>
      <c r="I30" s="218">
        <v>0.23</v>
      </c>
      <c r="J30"/>
      <c r="K30"/>
    </row>
    <row r="31" spans="1:11">
      <c r="A31" s="221" t="s">
        <v>302</v>
      </c>
      <c r="B31" s="153" t="s">
        <v>23</v>
      </c>
      <c r="C31" s="153" t="s">
        <v>38</v>
      </c>
      <c r="D31" s="153">
        <v>500</v>
      </c>
      <c r="E31" s="153">
        <v>135.72</v>
      </c>
      <c r="F31" s="153">
        <v>67860</v>
      </c>
      <c r="G31" s="153">
        <v>1</v>
      </c>
      <c r="H31" s="153">
        <v>67860</v>
      </c>
      <c r="I31" s="218">
        <v>0.04</v>
      </c>
      <c r="J31"/>
      <c r="K31"/>
    </row>
    <row r="32" spans="1:11">
      <c r="A32" s="221" t="s">
        <v>396</v>
      </c>
      <c r="B32" s="153" t="s">
        <v>140</v>
      </c>
      <c r="C32" s="153" t="s">
        <v>38</v>
      </c>
      <c r="D32" s="153">
        <v>0</v>
      </c>
      <c r="E32" s="153">
        <v>0</v>
      </c>
      <c r="F32" s="153">
        <v>0</v>
      </c>
      <c r="G32" s="153">
        <v>1</v>
      </c>
      <c r="H32" s="153">
        <v>0</v>
      </c>
      <c r="I32" s="218">
        <v>0</v>
      </c>
      <c r="J32"/>
      <c r="K32"/>
    </row>
    <row r="33" spans="1:11">
      <c r="A33" s="221" t="s">
        <v>397</v>
      </c>
      <c r="B33" s="153" t="s">
        <v>140</v>
      </c>
      <c r="C33" s="153" t="s">
        <v>38</v>
      </c>
      <c r="D33" s="153">
        <v>0</v>
      </c>
      <c r="E33" s="153">
        <v>0</v>
      </c>
      <c r="F33" s="153">
        <v>0</v>
      </c>
      <c r="G33" s="153">
        <v>1</v>
      </c>
      <c r="H33" s="153">
        <v>0</v>
      </c>
      <c r="I33" s="218">
        <v>0</v>
      </c>
      <c r="J33"/>
      <c r="K33"/>
    </row>
    <row r="34" spans="1:11">
      <c r="A34" s="221" t="s">
        <v>384</v>
      </c>
      <c r="B34" s="153" t="s">
        <v>23</v>
      </c>
      <c r="C34" s="153" t="s">
        <v>38</v>
      </c>
      <c r="D34" s="153">
        <v>500</v>
      </c>
      <c r="E34" s="153">
        <v>727.41</v>
      </c>
      <c r="F34" s="153">
        <v>363705</v>
      </c>
      <c r="G34" s="153">
        <v>1</v>
      </c>
      <c r="H34" s="153">
        <v>363705</v>
      </c>
      <c r="I34" s="218">
        <v>0.19</v>
      </c>
      <c r="J34"/>
      <c r="K34"/>
    </row>
    <row r="35" spans="1:11">
      <c r="A35" s="221" t="s">
        <v>308</v>
      </c>
      <c r="B35" s="153" t="s">
        <v>138</v>
      </c>
      <c r="C35" s="153" t="s">
        <v>38</v>
      </c>
      <c r="D35" s="153">
        <v>2500</v>
      </c>
      <c r="E35" s="153">
        <v>16.100000000000001</v>
      </c>
      <c r="F35" s="153">
        <v>40250</v>
      </c>
      <c r="G35" s="153">
        <v>1</v>
      </c>
      <c r="H35" s="153">
        <v>40250</v>
      </c>
      <c r="I35" s="218">
        <v>0.02</v>
      </c>
      <c r="J35"/>
      <c r="K35"/>
    </row>
    <row r="36" spans="1:11">
      <c r="A36" s="221" t="s">
        <v>296</v>
      </c>
      <c r="B36" s="153" t="s">
        <v>23</v>
      </c>
      <c r="C36" s="153" t="s">
        <v>38</v>
      </c>
      <c r="D36" s="153">
        <v>2000</v>
      </c>
      <c r="E36" s="153">
        <v>443.91</v>
      </c>
      <c r="F36" s="153">
        <v>887820</v>
      </c>
      <c r="G36" s="153">
        <v>1</v>
      </c>
      <c r="H36" s="153">
        <v>887820</v>
      </c>
      <c r="I36" s="218">
        <v>0.46</v>
      </c>
      <c r="J36"/>
      <c r="K36"/>
    </row>
    <row r="37" spans="1:11">
      <c r="A37" s="221" t="s">
        <v>300</v>
      </c>
      <c r="B37" s="153" t="s">
        <v>23</v>
      </c>
      <c r="C37" s="153" t="s">
        <v>38</v>
      </c>
      <c r="D37" s="153">
        <v>2000</v>
      </c>
      <c r="E37" s="153">
        <v>165.77</v>
      </c>
      <c r="F37" s="153">
        <v>331540</v>
      </c>
      <c r="G37" s="153">
        <v>1</v>
      </c>
      <c r="H37" s="153">
        <v>331540</v>
      </c>
      <c r="I37" s="218">
        <v>0.17</v>
      </c>
      <c r="J37"/>
      <c r="K37"/>
    </row>
    <row r="38" spans="1:11">
      <c r="A38" s="221" t="s">
        <v>411</v>
      </c>
      <c r="B38" s="153" t="s">
        <v>140</v>
      </c>
      <c r="C38" s="153" t="s">
        <v>38</v>
      </c>
      <c r="D38" s="153">
        <v>0</v>
      </c>
      <c r="E38" s="153">
        <v>0</v>
      </c>
      <c r="F38" s="153">
        <v>0</v>
      </c>
      <c r="G38" s="153">
        <v>1</v>
      </c>
      <c r="H38" s="153">
        <v>0</v>
      </c>
      <c r="I38" s="218">
        <v>0</v>
      </c>
      <c r="J38"/>
      <c r="K38"/>
    </row>
    <row r="39" spans="1:11">
      <c r="A39" s="221" t="s">
        <v>398</v>
      </c>
      <c r="B39" s="153" t="s">
        <v>23</v>
      </c>
      <c r="C39" s="153" t="s">
        <v>38</v>
      </c>
      <c r="D39" s="153">
        <v>800</v>
      </c>
      <c r="E39" s="153">
        <v>362.5</v>
      </c>
      <c r="F39" s="153">
        <v>290000</v>
      </c>
      <c r="G39" s="153">
        <v>1</v>
      </c>
      <c r="H39" s="308">
        <v>290000</v>
      </c>
      <c r="I39" s="218">
        <v>0.15</v>
      </c>
      <c r="J39"/>
      <c r="K39"/>
    </row>
    <row r="40" spans="1:11">
      <c r="A40" s="221" t="s">
        <v>399</v>
      </c>
      <c r="B40" s="153" t="s">
        <v>140</v>
      </c>
      <c r="C40" s="153" t="s">
        <v>38</v>
      </c>
      <c r="D40" s="153">
        <v>0</v>
      </c>
      <c r="E40" s="153">
        <v>0</v>
      </c>
      <c r="F40" s="153">
        <v>0</v>
      </c>
      <c r="G40" s="153">
        <v>1</v>
      </c>
      <c r="H40" s="153">
        <v>0</v>
      </c>
      <c r="I40" s="218">
        <v>0</v>
      </c>
      <c r="J40"/>
      <c r="K40"/>
    </row>
    <row r="41" spans="1:11">
      <c r="A41" s="221" t="s">
        <v>400</v>
      </c>
      <c r="B41" s="153" t="s">
        <v>140</v>
      </c>
      <c r="C41" s="153" t="s">
        <v>38</v>
      </c>
      <c r="D41" s="153">
        <v>0</v>
      </c>
      <c r="E41" s="153">
        <v>0</v>
      </c>
      <c r="F41" s="153">
        <v>0</v>
      </c>
      <c r="G41" s="153">
        <v>1</v>
      </c>
      <c r="H41" s="153">
        <v>0</v>
      </c>
      <c r="I41" s="218">
        <v>0</v>
      </c>
      <c r="J41"/>
      <c r="K41"/>
    </row>
    <row r="42" spans="1:11">
      <c r="A42" s="221" t="s">
        <v>307</v>
      </c>
      <c r="B42" s="153" t="s">
        <v>44</v>
      </c>
      <c r="C42" s="153" t="s">
        <v>38</v>
      </c>
      <c r="D42" s="153">
        <v>2000</v>
      </c>
      <c r="E42" s="153">
        <v>48.8</v>
      </c>
      <c r="F42" s="153">
        <v>97600</v>
      </c>
      <c r="G42" s="153">
        <v>1</v>
      </c>
      <c r="H42" s="308">
        <v>97600</v>
      </c>
      <c r="I42" s="218">
        <v>0.05</v>
      </c>
      <c r="J42"/>
      <c r="K42"/>
    </row>
    <row r="43" spans="1:11">
      <c r="A43" s="221" t="s">
        <v>373</v>
      </c>
      <c r="B43" s="153" t="s">
        <v>23</v>
      </c>
      <c r="C43" s="153" t="s">
        <v>38</v>
      </c>
      <c r="D43" s="153">
        <v>1000</v>
      </c>
      <c r="E43" s="153">
        <v>319.07</v>
      </c>
      <c r="F43" s="153">
        <v>319070</v>
      </c>
      <c r="G43" s="153">
        <v>1</v>
      </c>
      <c r="H43" s="153">
        <v>319070</v>
      </c>
      <c r="I43" s="218">
        <v>0.17</v>
      </c>
      <c r="J43" s="153"/>
      <c r="K43"/>
    </row>
    <row r="44" spans="1:11">
      <c r="A44" s="221" t="s">
        <v>285</v>
      </c>
      <c r="B44" s="153" t="s">
        <v>23</v>
      </c>
      <c r="C44" s="153" t="s">
        <v>38</v>
      </c>
      <c r="D44" s="153">
        <v>10000</v>
      </c>
      <c r="E44" s="153">
        <v>190.6</v>
      </c>
      <c r="F44" s="153">
        <v>1906000</v>
      </c>
      <c r="G44" s="153">
        <v>1</v>
      </c>
      <c r="H44" s="308">
        <v>1906000</v>
      </c>
      <c r="I44" s="218">
        <v>0.9900000000000001</v>
      </c>
      <c r="J44"/>
      <c r="K44"/>
    </row>
    <row r="45" spans="1:11">
      <c r="A45" s="221" t="s">
        <v>103</v>
      </c>
      <c r="B45" s="153" t="s">
        <v>42</v>
      </c>
      <c r="C45" s="153" t="s">
        <v>38</v>
      </c>
      <c r="D45" s="153">
        <v>38350</v>
      </c>
      <c r="E45" s="153">
        <v>77.55</v>
      </c>
      <c r="F45" s="153">
        <v>2974042.5</v>
      </c>
      <c r="G45" s="153">
        <v>1</v>
      </c>
      <c r="H45" s="153">
        <v>2974042.5</v>
      </c>
      <c r="I45" s="218">
        <v>1.54</v>
      </c>
      <c r="J45"/>
      <c r="K45"/>
    </row>
    <row r="46" spans="1:11">
      <c r="A46" s="221" t="s">
        <v>294</v>
      </c>
      <c r="B46" s="153" t="s">
        <v>138</v>
      </c>
      <c r="C46" s="153" t="s">
        <v>37</v>
      </c>
      <c r="D46" s="153">
        <v>50000</v>
      </c>
      <c r="E46" s="153">
        <v>44.07</v>
      </c>
      <c r="F46" s="153">
        <v>2203500</v>
      </c>
      <c r="G46" s="153">
        <v>1.3716104077797739</v>
      </c>
      <c r="H46" s="153">
        <v>1606505.74</v>
      </c>
      <c r="I46" s="218">
        <v>0.83</v>
      </c>
      <c r="J46"/>
      <c r="K46"/>
    </row>
    <row r="47" spans="1:11">
      <c r="A47" s="221" t="s">
        <v>110</v>
      </c>
      <c r="B47" s="153" t="s">
        <v>44</v>
      </c>
      <c r="C47" s="153" t="s">
        <v>38</v>
      </c>
      <c r="D47" s="153">
        <v>55000</v>
      </c>
      <c r="E47" s="153">
        <v>26.75</v>
      </c>
      <c r="F47" s="153">
        <v>1471250</v>
      </c>
      <c r="G47" s="153">
        <v>1</v>
      </c>
      <c r="H47" s="153">
        <v>1471250</v>
      </c>
      <c r="I47" s="218">
        <v>0.76</v>
      </c>
      <c r="J47"/>
      <c r="K47"/>
    </row>
    <row r="48" spans="1:11">
      <c r="A48" s="221" t="s">
        <v>374</v>
      </c>
      <c r="B48" s="153" t="s">
        <v>139</v>
      </c>
      <c r="C48" s="153" t="s">
        <v>38</v>
      </c>
      <c r="D48" s="153">
        <v>2000</v>
      </c>
      <c r="E48" s="153">
        <v>422.96</v>
      </c>
      <c r="F48" s="153">
        <v>845920</v>
      </c>
      <c r="G48" s="153">
        <v>1</v>
      </c>
      <c r="H48" s="153">
        <v>845920</v>
      </c>
      <c r="I48" s="218">
        <v>0.44</v>
      </c>
      <c r="J48"/>
      <c r="K48"/>
    </row>
    <row r="49" spans="1:11">
      <c r="A49" s="221" t="s">
        <v>114</v>
      </c>
      <c r="B49" s="153" t="s">
        <v>139</v>
      </c>
      <c r="C49" s="153" t="s">
        <v>38</v>
      </c>
      <c r="D49" s="153">
        <v>30000</v>
      </c>
      <c r="E49" s="153">
        <v>43.28</v>
      </c>
      <c r="F49" s="153">
        <v>1298400</v>
      </c>
      <c r="G49" s="153">
        <v>1</v>
      </c>
      <c r="H49" s="308">
        <v>1298400</v>
      </c>
      <c r="I49" s="218">
        <v>0.67</v>
      </c>
      <c r="J49"/>
      <c r="K49"/>
    </row>
    <row r="50" spans="1:11">
      <c r="A50" s="221" t="s">
        <v>377</v>
      </c>
      <c r="B50" s="153" t="s">
        <v>140</v>
      </c>
      <c r="C50" s="153" t="s">
        <v>38</v>
      </c>
      <c r="D50" s="153">
        <v>25</v>
      </c>
      <c r="E50" s="153">
        <v>12</v>
      </c>
      <c r="F50" s="153">
        <v>300</v>
      </c>
      <c r="G50" s="153">
        <v>1</v>
      </c>
      <c r="H50" s="308">
        <v>300</v>
      </c>
      <c r="I50" s="218">
        <v>0</v>
      </c>
      <c r="J50"/>
      <c r="K50"/>
    </row>
    <row r="51" spans="1:11">
      <c r="A51" s="221" t="s">
        <v>378</v>
      </c>
      <c r="B51" s="153" t="s">
        <v>155</v>
      </c>
      <c r="C51" s="153" t="s">
        <v>38</v>
      </c>
      <c r="D51" s="153">
        <v>15</v>
      </c>
      <c r="E51" s="153">
        <v>5874.5</v>
      </c>
      <c r="F51" s="153">
        <v>88117.5</v>
      </c>
      <c r="G51" s="153">
        <v>1</v>
      </c>
      <c r="H51" s="153">
        <v>88117.5</v>
      </c>
      <c r="I51" s="218">
        <v>0.05</v>
      </c>
      <c r="J51"/>
      <c r="K51"/>
    </row>
    <row r="52" spans="1:11">
      <c r="A52" s="221" t="s">
        <v>76</v>
      </c>
      <c r="B52" s="153" t="s">
        <v>42</v>
      </c>
      <c r="C52" s="153" t="s">
        <v>38</v>
      </c>
      <c r="D52" s="153">
        <v>150000</v>
      </c>
      <c r="E52" s="153">
        <v>17.53</v>
      </c>
      <c r="F52" s="153">
        <v>2629500</v>
      </c>
      <c r="G52" s="153">
        <v>1</v>
      </c>
      <c r="H52" s="153">
        <v>2629500</v>
      </c>
      <c r="I52" s="218">
        <v>1.36</v>
      </c>
      <c r="J52"/>
      <c r="K52"/>
    </row>
    <row r="53" spans="1:11">
      <c r="A53" s="221" t="s">
        <v>108</v>
      </c>
      <c r="B53" s="153" t="s">
        <v>44</v>
      </c>
      <c r="C53" s="153" t="s">
        <v>38</v>
      </c>
      <c r="D53" s="153">
        <v>69481</v>
      </c>
      <c r="E53" s="153">
        <v>245.74</v>
      </c>
      <c r="F53" s="153">
        <v>17074260.940000001</v>
      </c>
      <c r="G53" s="153">
        <v>1</v>
      </c>
      <c r="H53" s="153">
        <v>17074260.940000001</v>
      </c>
      <c r="I53" s="218">
        <v>8.83</v>
      </c>
      <c r="J53"/>
      <c r="K53"/>
    </row>
    <row r="54" spans="1:11">
      <c r="A54" s="221" t="s">
        <v>309</v>
      </c>
      <c r="B54" s="153" t="s">
        <v>23</v>
      </c>
      <c r="C54" s="153" t="s">
        <v>38</v>
      </c>
      <c r="D54" s="153">
        <v>3000</v>
      </c>
      <c r="E54" s="153">
        <v>192.29</v>
      </c>
      <c r="F54" s="153">
        <v>576870</v>
      </c>
      <c r="G54" s="153">
        <v>1</v>
      </c>
      <c r="H54" s="308">
        <v>576870</v>
      </c>
      <c r="I54" s="218">
        <v>0.3</v>
      </c>
      <c r="J54"/>
      <c r="K54"/>
    </row>
    <row r="55" spans="1:11">
      <c r="A55" s="221" t="s">
        <v>401</v>
      </c>
      <c r="B55" s="153" t="s">
        <v>140</v>
      </c>
      <c r="C55" s="153" t="s">
        <v>38</v>
      </c>
      <c r="D55" s="153">
        <v>0</v>
      </c>
      <c r="E55" s="153">
        <v>0</v>
      </c>
      <c r="F55" s="153">
        <v>0</v>
      </c>
      <c r="G55" s="153">
        <v>1</v>
      </c>
      <c r="H55" s="308">
        <v>0</v>
      </c>
      <c r="I55" s="218">
        <v>0</v>
      </c>
      <c r="J55"/>
      <c r="K55"/>
    </row>
    <row r="56" spans="1:11">
      <c r="A56" s="221" t="s">
        <v>305</v>
      </c>
      <c r="B56" s="153" t="s">
        <v>23</v>
      </c>
      <c r="C56" s="153" t="s">
        <v>38</v>
      </c>
      <c r="D56" s="153">
        <v>2000</v>
      </c>
      <c r="E56" s="153">
        <v>562.95000000000005</v>
      </c>
      <c r="F56" s="153">
        <v>1125900</v>
      </c>
      <c r="G56" s="153">
        <v>1</v>
      </c>
      <c r="H56" s="308">
        <v>1125900</v>
      </c>
      <c r="I56" s="218">
        <v>0.57999999999999996</v>
      </c>
      <c r="J56"/>
      <c r="K56"/>
    </row>
    <row r="57" spans="1:11">
      <c r="A57" s="221" t="s">
        <v>199</v>
      </c>
      <c r="B57" s="153" t="s">
        <v>44</v>
      </c>
      <c r="C57" s="153" t="s">
        <v>38</v>
      </c>
      <c r="D57" s="153">
        <v>11100</v>
      </c>
      <c r="E57" s="153">
        <v>144.83000000000001</v>
      </c>
      <c r="F57" s="153">
        <v>1607613</v>
      </c>
      <c r="G57" s="153">
        <v>1</v>
      </c>
      <c r="H57" s="153">
        <v>1607613</v>
      </c>
      <c r="I57" s="218">
        <v>0.83</v>
      </c>
      <c r="J57"/>
      <c r="K57"/>
    </row>
    <row r="58" spans="1:11">
      <c r="A58" s="221" t="s">
        <v>120</v>
      </c>
      <c r="B58" s="153" t="s">
        <v>44</v>
      </c>
      <c r="C58" s="153" t="s">
        <v>38</v>
      </c>
      <c r="D58" s="153">
        <v>55000</v>
      </c>
      <c r="E58" s="153">
        <v>26.56</v>
      </c>
      <c r="F58" s="153">
        <v>1460800</v>
      </c>
      <c r="G58" s="153">
        <v>1</v>
      </c>
      <c r="H58" s="153">
        <v>1460800</v>
      </c>
      <c r="I58" s="218">
        <v>0.76</v>
      </c>
      <c r="J58"/>
      <c r="K58"/>
    </row>
    <row r="59" spans="1:11">
      <c r="A59" s="221" t="s">
        <v>282</v>
      </c>
      <c r="B59" s="153" t="s">
        <v>44</v>
      </c>
      <c r="C59" s="153" t="s">
        <v>38</v>
      </c>
      <c r="D59" s="153">
        <v>55000</v>
      </c>
      <c r="E59" s="153">
        <v>53.22</v>
      </c>
      <c r="F59" s="153">
        <v>2927100</v>
      </c>
      <c r="G59" s="153">
        <v>1</v>
      </c>
      <c r="H59" s="153">
        <v>2927100</v>
      </c>
      <c r="I59" s="218">
        <v>1.51</v>
      </c>
      <c r="J59"/>
      <c r="K59"/>
    </row>
    <row r="60" spans="1:11">
      <c r="A60" s="221" t="s">
        <v>312</v>
      </c>
      <c r="B60" s="153" t="s">
        <v>23</v>
      </c>
      <c r="C60" s="153" t="s">
        <v>38</v>
      </c>
      <c r="D60" s="153">
        <v>1000</v>
      </c>
      <c r="E60" s="153">
        <v>143.88999999999999</v>
      </c>
      <c r="F60" s="153">
        <v>143890</v>
      </c>
      <c r="G60" s="153">
        <v>1</v>
      </c>
      <c r="H60" s="153">
        <v>143890</v>
      </c>
      <c r="I60" s="218">
        <v>6.9999999999999993E-2</v>
      </c>
      <c r="J60"/>
      <c r="K60"/>
    </row>
    <row r="61" spans="1:11">
      <c r="A61" s="221" t="s">
        <v>310</v>
      </c>
      <c r="B61" s="153" t="s">
        <v>139</v>
      </c>
      <c r="C61" s="153" t="s">
        <v>38</v>
      </c>
      <c r="D61" s="153">
        <v>11000</v>
      </c>
      <c r="E61" s="153">
        <v>96.36</v>
      </c>
      <c r="F61" s="153">
        <v>1059960</v>
      </c>
      <c r="G61" s="153">
        <v>1</v>
      </c>
      <c r="H61" s="308">
        <v>1059960</v>
      </c>
      <c r="I61" s="218">
        <v>0.54999999999999993</v>
      </c>
      <c r="J61"/>
      <c r="K61"/>
    </row>
    <row r="62" spans="1:11">
      <c r="A62" s="221" t="s">
        <v>298</v>
      </c>
      <c r="B62" s="153" t="s">
        <v>139</v>
      </c>
      <c r="C62" s="153" t="s">
        <v>38</v>
      </c>
      <c r="D62" s="153">
        <v>63000</v>
      </c>
      <c r="E62" s="153">
        <v>62.37</v>
      </c>
      <c r="F62" s="153">
        <v>3929310</v>
      </c>
      <c r="G62" s="153">
        <v>1</v>
      </c>
      <c r="H62" s="153">
        <v>3929310</v>
      </c>
      <c r="I62" s="218">
        <v>2.0299999999999998</v>
      </c>
      <c r="J62"/>
      <c r="K62"/>
    </row>
    <row r="63" spans="1:11">
      <c r="A63" s="221" t="s">
        <v>380</v>
      </c>
      <c r="B63" s="153" t="s">
        <v>140</v>
      </c>
      <c r="C63" s="153" t="s">
        <v>38</v>
      </c>
      <c r="D63" s="153">
        <v>-15</v>
      </c>
      <c r="E63" s="153">
        <v>0.38</v>
      </c>
      <c r="F63" s="153">
        <v>-5.7</v>
      </c>
      <c r="G63" s="153">
        <v>1</v>
      </c>
      <c r="H63" s="153">
        <v>-5.7</v>
      </c>
      <c r="I63" s="218">
        <v>0</v>
      </c>
      <c r="J63"/>
      <c r="K63"/>
    </row>
    <row r="64" spans="1:11">
      <c r="A64" s="221" t="s">
        <v>113</v>
      </c>
      <c r="B64" s="153" t="s">
        <v>42</v>
      </c>
      <c r="C64" s="153" t="s">
        <v>38</v>
      </c>
      <c r="D64" s="153">
        <v>21013</v>
      </c>
      <c r="E64" s="153">
        <v>47.59</v>
      </c>
      <c r="F64" s="153">
        <v>1000008.67</v>
      </c>
      <c r="G64" s="153">
        <v>1</v>
      </c>
      <c r="H64" s="153">
        <v>1000008.67</v>
      </c>
      <c r="I64" s="218">
        <v>0.52</v>
      </c>
      <c r="J64"/>
      <c r="K64"/>
    </row>
    <row r="65" spans="1:11">
      <c r="A65" s="221" t="s">
        <v>106</v>
      </c>
      <c r="B65" s="153" t="s">
        <v>139</v>
      </c>
      <c r="C65" s="153" t="s">
        <v>38</v>
      </c>
      <c r="D65" s="153">
        <v>36000</v>
      </c>
      <c r="E65" s="153">
        <v>217.25</v>
      </c>
      <c r="F65" s="153">
        <v>7821000</v>
      </c>
      <c r="G65" s="153">
        <v>1</v>
      </c>
      <c r="H65" s="153">
        <v>7821000</v>
      </c>
      <c r="I65" s="218">
        <v>4.05</v>
      </c>
      <c r="J65"/>
      <c r="K65"/>
    </row>
    <row r="66" spans="1:11">
      <c r="A66" s="221" t="s">
        <v>304</v>
      </c>
      <c r="B66" s="153" t="s">
        <v>23</v>
      </c>
      <c r="C66" s="153" t="s">
        <v>38</v>
      </c>
      <c r="D66" s="153">
        <v>4000</v>
      </c>
      <c r="E66" s="153">
        <v>244.21</v>
      </c>
      <c r="F66" s="153">
        <v>976840</v>
      </c>
      <c r="G66" s="153">
        <v>1</v>
      </c>
      <c r="H66" s="153">
        <v>976840</v>
      </c>
      <c r="I66" s="218">
        <v>0.51</v>
      </c>
      <c r="J66"/>
      <c r="K66"/>
    </row>
    <row r="67" spans="1:11">
      <c r="A67" s="221" t="s">
        <v>402</v>
      </c>
      <c r="B67" s="153" t="s">
        <v>140</v>
      </c>
      <c r="C67" s="153" t="s">
        <v>38</v>
      </c>
      <c r="D67" s="153">
        <v>0</v>
      </c>
      <c r="E67" s="153">
        <v>0</v>
      </c>
      <c r="F67" s="153">
        <v>0</v>
      </c>
      <c r="G67" s="153">
        <v>1</v>
      </c>
      <c r="H67" s="153">
        <v>0</v>
      </c>
      <c r="I67" s="218">
        <v>0</v>
      </c>
      <c r="J67"/>
      <c r="K67"/>
    </row>
    <row r="68" spans="1:11">
      <c r="A68" s="221" t="s">
        <v>387</v>
      </c>
      <c r="B68" s="153" t="s">
        <v>140</v>
      </c>
      <c r="C68" s="153" t="s">
        <v>38</v>
      </c>
      <c r="D68" s="153">
        <v>0</v>
      </c>
      <c r="E68" s="153">
        <v>0</v>
      </c>
      <c r="F68" s="153">
        <v>0</v>
      </c>
      <c r="G68" s="153">
        <v>1</v>
      </c>
      <c r="H68" s="308">
        <v>0</v>
      </c>
      <c r="I68" s="218">
        <v>0</v>
      </c>
      <c r="J68"/>
      <c r="K68"/>
    </row>
    <row r="69" spans="1:11">
      <c r="A69" s="221" t="s">
        <v>375</v>
      </c>
      <c r="B69" s="153" t="s">
        <v>23</v>
      </c>
      <c r="C69" s="153" t="s">
        <v>38</v>
      </c>
      <c r="D69" s="153">
        <v>5000</v>
      </c>
      <c r="E69" s="153">
        <v>61.65</v>
      </c>
      <c r="F69" s="153">
        <v>308250</v>
      </c>
      <c r="G69" s="153">
        <v>1</v>
      </c>
      <c r="H69" s="308">
        <v>308250</v>
      </c>
      <c r="I69" s="218">
        <v>0.16</v>
      </c>
      <c r="J69"/>
      <c r="K69"/>
    </row>
    <row r="70" spans="1:11">
      <c r="A70" s="221" t="s">
        <v>289</v>
      </c>
      <c r="B70" s="153" t="s">
        <v>23</v>
      </c>
      <c r="C70" s="153" t="s">
        <v>38</v>
      </c>
      <c r="D70" s="153">
        <v>400</v>
      </c>
      <c r="E70" s="153">
        <v>797.48</v>
      </c>
      <c r="F70" s="153">
        <v>318992</v>
      </c>
      <c r="G70" s="153">
        <v>1</v>
      </c>
      <c r="H70" s="153">
        <v>318992</v>
      </c>
      <c r="I70" s="218">
        <v>0.17</v>
      </c>
      <c r="J70"/>
      <c r="K70"/>
    </row>
    <row r="71" spans="1:11">
      <c r="A71" s="221" t="s">
        <v>107</v>
      </c>
      <c r="B71" s="153" t="s">
        <v>42</v>
      </c>
      <c r="C71" s="153" t="s">
        <v>38</v>
      </c>
      <c r="D71" s="153">
        <v>20000</v>
      </c>
      <c r="E71" s="153">
        <v>105.1</v>
      </c>
      <c r="F71" s="153">
        <v>2102000</v>
      </c>
      <c r="G71" s="153">
        <v>1</v>
      </c>
      <c r="H71" s="153">
        <v>2102000</v>
      </c>
      <c r="I71" s="218">
        <v>1.0900000000000001</v>
      </c>
      <c r="J71"/>
      <c r="K71"/>
    </row>
    <row r="72" spans="1:11">
      <c r="A72" s="221" t="s">
        <v>426</v>
      </c>
      <c r="B72" s="153" t="s">
        <v>42</v>
      </c>
      <c r="C72" s="153" t="s">
        <v>38</v>
      </c>
      <c r="D72" s="153">
        <v>4000</v>
      </c>
      <c r="E72" s="153">
        <v>90.37</v>
      </c>
      <c r="F72" s="153">
        <v>361480</v>
      </c>
      <c r="G72" s="153">
        <v>1</v>
      </c>
      <c r="H72" s="153">
        <v>361480</v>
      </c>
      <c r="I72" s="218">
        <v>0.19</v>
      </c>
      <c r="J72"/>
      <c r="K72"/>
    </row>
    <row r="73" spans="1:11">
      <c r="A73" s="221" t="s">
        <v>96</v>
      </c>
      <c r="B73" s="153" t="s">
        <v>23</v>
      </c>
      <c r="C73" s="153" t="s">
        <v>38</v>
      </c>
      <c r="D73" s="153">
        <v>5000</v>
      </c>
      <c r="E73" s="153">
        <v>283.63</v>
      </c>
      <c r="F73" s="153">
        <v>1418150</v>
      </c>
      <c r="G73" s="153">
        <v>1</v>
      </c>
      <c r="H73" s="153">
        <v>1418150</v>
      </c>
      <c r="I73" s="218">
        <v>0.73</v>
      </c>
      <c r="J73"/>
      <c r="K73"/>
    </row>
    <row r="74" spans="1:11">
      <c r="A74" s="221" t="s">
        <v>301</v>
      </c>
      <c r="B74" s="153" t="s">
        <v>140</v>
      </c>
      <c r="C74" s="153" t="s">
        <v>38</v>
      </c>
      <c r="D74" s="153">
        <v>10</v>
      </c>
      <c r="E74" s="153">
        <v>0.01</v>
      </c>
      <c r="F74" s="153">
        <v>0.1</v>
      </c>
      <c r="G74" s="153">
        <v>1</v>
      </c>
      <c r="H74" s="153">
        <v>0.1</v>
      </c>
      <c r="I74" s="218">
        <v>0</v>
      </c>
      <c r="J74"/>
      <c r="K74"/>
    </row>
    <row r="75" spans="1:11">
      <c r="A75" s="221" t="s">
        <v>290</v>
      </c>
      <c r="B75" s="153" t="s">
        <v>23</v>
      </c>
      <c r="C75" s="153" t="s">
        <v>38</v>
      </c>
      <c r="D75" s="153">
        <v>1700</v>
      </c>
      <c r="E75" s="153">
        <v>417.19</v>
      </c>
      <c r="F75" s="153">
        <v>709223</v>
      </c>
      <c r="G75" s="153">
        <v>1</v>
      </c>
      <c r="H75" s="153">
        <v>709223</v>
      </c>
      <c r="I75" s="218">
        <v>0.37</v>
      </c>
      <c r="J75"/>
      <c r="K75"/>
    </row>
    <row r="76" spans="1:11">
      <c r="A76" s="221" t="s">
        <v>403</v>
      </c>
      <c r="B76" s="153" t="s">
        <v>140</v>
      </c>
      <c r="C76" s="153" t="s">
        <v>38</v>
      </c>
      <c r="D76" s="153">
        <v>0</v>
      </c>
      <c r="E76" s="153">
        <v>0</v>
      </c>
      <c r="F76" s="153">
        <v>0</v>
      </c>
      <c r="G76" s="153">
        <v>1</v>
      </c>
      <c r="H76" s="153">
        <v>0</v>
      </c>
      <c r="I76" s="218">
        <v>0</v>
      </c>
      <c r="J76"/>
      <c r="K76"/>
    </row>
    <row r="77" spans="1:11">
      <c r="A77" s="221" t="s">
        <v>431</v>
      </c>
      <c r="B77" s="153" t="s">
        <v>140</v>
      </c>
      <c r="C77" s="153" t="s">
        <v>38</v>
      </c>
      <c r="D77" s="153">
        <v>0</v>
      </c>
      <c r="E77" s="153">
        <v>0</v>
      </c>
      <c r="F77" s="153">
        <v>0</v>
      </c>
      <c r="G77" s="153">
        <v>1</v>
      </c>
      <c r="H77" s="153">
        <v>0</v>
      </c>
      <c r="I77" s="218">
        <v>0</v>
      </c>
      <c r="J77"/>
      <c r="K77"/>
    </row>
    <row r="78" spans="1:11">
      <c r="A78" s="221" t="s">
        <v>381</v>
      </c>
      <c r="B78" s="153" t="s">
        <v>140</v>
      </c>
      <c r="C78" s="153" t="s">
        <v>38</v>
      </c>
      <c r="D78" s="153">
        <v>30</v>
      </c>
      <c r="E78" s="153">
        <v>30.25</v>
      </c>
      <c r="F78" s="153">
        <v>907.5</v>
      </c>
      <c r="G78" s="153">
        <v>1</v>
      </c>
      <c r="H78" s="153">
        <v>907.5</v>
      </c>
      <c r="I78" s="218">
        <v>0</v>
      </c>
      <c r="J78"/>
      <c r="K78"/>
    </row>
    <row r="79" spans="1:11">
      <c r="A79" s="221" t="s">
        <v>379</v>
      </c>
      <c r="B79" s="153" t="s">
        <v>155</v>
      </c>
      <c r="C79" s="153" t="s">
        <v>38</v>
      </c>
      <c r="D79" s="153">
        <v>30</v>
      </c>
      <c r="E79" s="153">
        <v>20947.25</v>
      </c>
      <c r="F79" s="153">
        <v>628417.5</v>
      </c>
      <c r="G79" s="153">
        <v>1</v>
      </c>
      <c r="H79" s="153">
        <v>628417.5</v>
      </c>
      <c r="I79" s="218">
        <v>0.33</v>
      </c>
      <c r="J79"/>
      <c r="K79"/>
    </row>
    <row r="80" spans="1:11">
      <c r="A80" s="221" t="s">
        <v>88</v>
      </c>
      <c r="B80" s="153" t="s">
        <v>23</v>
      </c>
      <c r="C80" s="153" t="s">
        <v>38</v>
      </c>
      <c r="D80" s="153">
        <v>172800</v>
      </c>
      <c r="E80" s="153">
        <v>133.22999999999999</v>
      </c>
      <c r="F80" s="153">
        <v>23022144</v>
      </c>
      <c r="G80" s="153">
        <v>1</v>
      </c>
      <c r="H80" s="153">
        <v>23022144</v>
      </c>
      <c r="I80" s="218">
        <v>11.91</v>
      </c>
      <c r="J80"/>
      <c r="K80"/>
    </row>
    <row r="81" spans="1:11">
      <c r="A81" s="221" t="s">
        <v>390</v>
      </c>
      <c r="B81" s="153" t="s">
        <v>140</v>
      </c>
      <c r="C81" s="153" t="s">
        <v>38</v>
      </c>
      <c r="D81" s="153">
        <v>0</v>
      </c>
      <c r="E81" s="153">
        <v>0</v>
      </c>
      <c r="F81" s="153">
        <v>0</v>
      </c>
      <c r="G81" s="153">
        <v>1</v>
      </c>
      <c r="H81" s="153">
        <v>0</v>
      </c>
      <c r="I81" s="218">
        <v>0</v>
      </c>
      <c r="J81"/>
      <c r="K81"/>
    </row>
    <row r="82" spans="1:11">
      <c r="A82" s="221" t="s">
        <v>412</v>
      </c>
      <c r="B82" s="153" t="s">
        <v>140</v>
      </c>
      <c r="C82" s="153" t="s">
        <v>38</v>
      </c>
      <c r="D82" s="153">
        <v>0</v>
      </c>
      <c r="E82" s="153">
        <v>0</v>
      </c>
      <c r="F82" s="153">
        <v>0</v>
      </c>
      <c r="G82" s="153">
        <v>1</v>
      </c>
      <c r="H82" s="153">
        <v>0</v>
      </c>
      <c r="I82" s="218">
        <v>0</v>
      </c>
      <c r="J82"/>
      <c r="K82"/>
    </row>
    <row r="83" spans="1:11">
      <c r="A83" s="221" t="s">
        <v>404</v>
      </c>
      <c r="B83" s="153" t="s">
        <v>140</v>
      </c>
      <c r="C83" s="153" t="s">
        <v>38</v>
      </c>
      <c r="D83" s="153">
        <v>0</v>
      </c>
      <c r="E83" s="153">
        <v>0</v>
      </c>
      <c r="F83" s="153">
        <v>0</v>
      </c>
      <c r="G83" s="153">
        <v>1</v>
      </c>
      <c r="H83" s="153">
        <v>0</v>
      </c>
      <c r="I83" s="218">
        <v>0</v>
      </c>
      <c r="J83"/>
      <c r="K83"/>
    </row>
    <row r="84" spans="1:11">
      <c r="A84" s="221" t="s">
        <v>405</v>
      </c>
      <c r="B84" s="153" t="s">
        <v>140</v>
      </c>
      <c r="C84" s="153" t="s">
        <v>38</v>
      </c>
      <c r="D84" s="153">
        <v>0</v>
      </c>
      <c r="E84" s="153">
        <v>0</v>
      </c>
      <c r="F84" s="153">
        <v>0</v>
      </c>
      <c r="G84" s="153">
        <v>1</v>
      </c>
      <c r="H84" s="153">
        <v>0</v>
      </c>
      <c r="I84" s="218">
        <v>0</v>
      </c>
      <c r="J84"/>
      <c r="K84"/>
    </row>
    <row r="85" spans="1:11">
      <c r="A85" s="221" t="s">
        <v>413</v>
      </c>
      <c r="B85" s="153" t="s">
        <v>140</v>
      </c>
      <c r="C85" s="153" t="s">
        <v>38</v>
      </c>
      <c r="D85" s="153">
        <v>0</v>
      </c>
      <c r="E85" s="153">
        <v>0</v>
      </c>
      <c r="F85" s="153">
        <v>0</v>
      </c>
      <c r="G85" s="153">
        <v>1</v>
      </c>
      <c r="H85" s="153">
        <v>0</v>
      </c>
      <c r="I85" s="218">
        <v>0</v>
      </c>
      <c r="J85"/>
      <c r="K85"/>
    </row>
    <row r="86" spans="1:11">
      <c r="A86" s="221" t="s">
        <v>385</v>
      </c>
      <c r="B86" s="153" t="s">
        <v>140</v>
      </c>
      <c r="C86" s="153" t="s">
        <v>38</v>
      </c>
      <c r="D86" s="153">
        <v>-100</v>
      </c>
      <c r="E86" s="153">
        <v>1.55</v>
      </c>
      <c r="F86" s="153">
        <v>-155</v>
      </c>
      <c r="G86" s="153">
        <v>1</v>
      </c>
      <c r="H86" s="153">
        <v>-155</v>
      </c>
      <c r="I86" s="218">
        <v>0</v>
      </c>
      <c r="J86"/>
      <c r="K86"/>
    </row>
    <row r="87" spans="1:11">
      <c r="A87" s="221" t="s">
        <v>432</v>
      </c>
      <c r="B87" s="153" t="s">
        <v>140</v>
      </c>
      <c r="C87" s="153" t="s">
        <v>38</v>
      </c>
      <c r="D87" s="153">
        <v>100</v>
      </c>
      <c r="E87" s="153">
        <v>11.62</v>
      </c>
      <c r="F87" s="153">
        <v>1162</v>
      </c>
      <c r="G87" s="153">
        <v>1</v>
      </c>
      <c r="H87" s="153">
        <v>1162</v>
      </c>
      <c r="I87" s="218">
        <v>0</v>
      </c>
      <c r="J87"/>
      <c r="K87"/>
    </row>
    <row r="88" spans="1:11">
      <c r="A88" s="221" t="s">
        <v>376</v>
      </c>
      <c r="B88" s="153" t="s">
        <v>23</v>
      </c>
      <c r="C88" s="153" t="s">
        <v>38</v>
      </c>
      <c r="D88" s="153">
        <v>2000</v>
      </c>
      <c r="E88" s="153">
        <v>153.91999999999999</v>
      </c>
      <c r="F88" s="153">
        <v>307840</v>
      </c>
      <c r="G88" s="153">
        <v>1</v>
      </c>
      <c r="H88" s="153">
        <v>307840</v>
      </c>
      <c r="I88" s="218">
        <v>0.16</v>
      </c>
      <c r="J88"/>
      <c r="K88"/>
    </row>
    <row r="89" spans="1:11">
      <c r="A89" s="221" t="s">
        <v>406</v>
      </c>
      <c r="B89" s="153" t="s">
        <v>140</v>
      </c>
      <c r="C89" s="153" t="s">
        <v>38</v>
      </c>
      <c r="D89" s="153">
        <v>0</v>
      </c>
      <c r="E89" s="153">
        <v>0</v>
      </c>
      <c r="F89" s="153">
        <v>0</v>
      </c>
      <c r="G89" s="153">
        <v>1</v>
      </c>
      <c r="H89" s="153">
        <v>0</v>
      </c>
      <c r="I89" s="218">
        <v>0</v>
      </c>
      <c r="J89"/>
      <c r="K89"/>
    </row>
    <row r="90" spans="1:11">
      <c r="A90" s="221" t="s">
        <v>311</v>
      </c>
      <c r="B90" s="153" t="s">
        <v>23</v>
      </c>
      <c r="C90" s="153" t="s">
        <v>38</v>
      </c>
      <c r="D90" s="153">
        <v>2500</v>
      </c>
      <c r="E90" s="153">
        <v>167.82</v>
      </c>
      <c r="F90" s="153">
        <v>419550</v>
      </c>
      <c r="G90" s="153">
        <v>1</v>
      </c>
      <c r="H90" s="153">
        <v>419550</v>
      </c>
      <c r="I90" s="218">
        <v>0.22</v>
      </c>
      <c r="J90"/>
      <c r="K90"/>
    </row>
    <row r="91" spans="1:11">
      <c r="A91" s="221" t="s">
        <v>292</v>
      </c>
      <c r="B91" s="153" t="s">
        <v>138</v>
      </c>
      <c r="C91" s="153" t="s">
        <v>38</v>
      </c>
      <c r="D91" s="153">
        <v>11400</v>
      </c>
      <c r="E91" s="153">
        <v>95.98</v>
      </c>
      <c r="F91" s="153">
        <v>1094172</v>
      </c>
      <c r="G91" s="153">
        <v>1</v>
      </c>
      <c r="H91" s="153">
        <v>1094172</v>
      </c>
      <c r="I91" s="218">
        <v>0.57000000000000006</v>
      </c>
      <c r="J91"/>
      <c r="K91"/>
    </row>
    <row r="92" spans="1:11">
      <c r="A92" s="221" t="s">
        <v>414</v>
      </c>
      <c r="B92" s="153" t="s">
        <v>140</v>
      </c>
      <c r="C92" s="153" t="s">
        <v>38</v>
      </c>
      <c r="D92" s="153">
        <v>0</v>
      </c>
      <c r="E92" s="153">
        <v>0</v>
      </c>
      <c r="F92" s="153">
        <v>0</v>
      </c>
      <c r="G92" s="153">
        <v>1</v>
      </c>
      <c r="H92" s="153">
        <v>0</v>
      </c>
      <c r="I92" s="218">
        <v>0</v>
      </c>
      <c r="J92"/>
      <c r="K92"/>
    </row>
    <row r="93" spans="1:11">
      <c r="A93" s="221" t="s">
        <v>433</v>
      </c>
      <c r="B93" s="153" t="s">
        <v>140</v>
      </c>
      <c r="C93" s="153" t="s">
        <v>38</v>
      </c>
      <c r="D93" s="153">
        <v>-14</v>
      </c>
      <c r="E93" s="153">
        <v>0.6</v>
      </c>
      <c r="F93" s="153">
        <v>-8.4</v>
      </c>
      <c r="G93" s="153">
        <v>1</v>
      </c>
      <c r="H93" s="153">
        <v>-8.4</v>
      </c>
      <c r="I93" s="218">
        <v>0</v>
      </c>
      <c r="J93"/>
      <c r="K93"/>
    </row>
    <row r="94" spans="1:11">
      <c r="A94" s="221" t="s">
        <v>388</v>
      </c>
      <c r="B94" s="153" t="s">
        <v>23</v>
      </c>
      <c r="C94" s="153" t="s">
        <v>38</v>
      </c>
      <c r="D94" s="153">
        <v>2500</v>
      </c>
      <c r="E94" s="153">
        <v>64.98</v>
      </c>
      <c r="F94" s="153">
        <v>162450</v>
      </c>
      <c r="G94" s="153">
        <v>1</v>
      </c>
      <c r="H94" s="153">
        <v>162450</v>
      </c>
      <c r="I94" s="218">
        <v>0.08</v>
      </c>
      <c r="J94"/>
      <c r="K94"/>
    </row>
    <row r="95" spans="1:11">
      <c r="A95" s="221" t="s">
        <v>389</v>
      </c>
      <c r="B95" s="153" t="s">
        <v>140</v>
      </c>
      <c r="C95" s="153" t="s">
        <v>38</v>
      </c>
      <c r="D95" s="153">
        <v>0</v>
      </c>
      <c r="E95" s="153">
        <v>0</v>
      </c>
      <c r="F95" s="153">
        <v>0</v>
      </c>
      <c r="G95" s="153">
        <v>1</v>
      </c>
      <c r="H95" s="153">
        <v>0</v>
      </c>
      <c r="I95" s="218">
        <v>0</v>
      </c>
      <c r="J95"/>
      <c r="K95"/>
    </row>
    <row r="96" spans="1:11">
      <c r="A96" s="221" t="s">
        <v>25</v>
      </c>
      <c r="B96" s="153" t="s">
        <v>139</v>
      </c>
      <c r="C96" s="153" t="s">
        <v>38</v>
      </c>
      <c r="D96" s="153">
        <v>62000</v>
      </c>
      <c r="E96" s="153">
        <v>505.56</v>
      </c>
      <c r="F96" s="153">
        <v>31344720</v>
      </c>
      <c r="G96" s="153">
        <v>1</v>
      </c>
      <c r="H96" s="153">
        <v>31344720</v>
      </c>
      <c r="I96" s="218">
        <v>16.22</v>
      </c>
      <c r="J96"/>
      <c r="K96"/>
    </row>
    <row r="97" spans="1:11">
      <c r="A97" s="221" t="s">
        <v>415</v>
      </c>
      <c r="B97" s="153" t="s">
        <v>140</v>
      </c>
      <c r="C97" s="153" t="s">
        <v>38</v>
      </c>
      <c r="D97" s="153">
        <v>0</v>
      </c>
      <c r="E97" s="153">
        <v>0</v>
      </c>
      <c r="F97" s="153">
        <v>0</v>
      </c>
      <c r="G97" s="153">
        <v>1</v>
      </c>
      <c r="H97" s="153">
        <v>0</v>
      </c>
      <c r="I97" s="218">
        <v>0</v>
      </c>
      <c r="J97"/>
      <c r="K97"/>
    </row>
    <row r="98" spans="1:11">
      <c r="A98" s="221" t="s">
        <v>434</v>
      </c>
      <c r="B98" s="153" t="s">
        <v>140</v>
      </c>
      <c r="C98" s="153" t="s">
        <v>38</v>
      </c>
      <c r="D98" s="153">
        <v>100</v>
      </c>
      <c r="E98" s="153">
        <v>36.340000000000003</v>
      </c>
      <c r="F98" s="153">
        <v>3634</v>
      </c>
      <c r="G98" s="153">
        <v>1</v>
      </c>
      <c r="H98" s="308">
        <v>3634</v>
      </c>
      <c r="I98" s="218">
        <v>0</v>
      </c>
      <c r="J98"/>
      <c r="K98"/>
    </row>
    <row r="99" spans="1:11">
      <c r="A99" s="221" t="s">
        <v>286</v>
      </c>
      <c r="B99" s="153" t="s">
        <v>139</v>
      </c>
      <c r="C99" s="153" t="s">
        <v>38</v>
      </c>
      <c r="D99" s="153">
        <v>0</v>
      </c>
      <c r="E99" s="153">
        <v>174.67</v>
      </c>
      <c r="F99" s="153">
        <v>0</v>
      </c>
      <c r="G99" s="153">
        <v>1</v>
      </c>
      <c r="H99" s="153">
        <v>0</v>
      </c>
      <c r="I99" s="218">
        <v>0</v>
      </c>
      <c r="J99"/>
      <c r="K99"/>
    </row>
    <row r="100" spans="1:11">
      <c r="A100" s="221" t="s">
        <v>306</v>
      </c>
      <c r="B100" s="153" t="s">
        <v>23</v>
      </c>
      <c r="C100" s="153" t="s">
        <v>38</v>
      </c>
      <c r="D100" s="153">
        <v>5000</v>
      </c>
      <c r="E100" s="153">
        <v>117.74</v>
      </c>
      <c r="F100" s="153">
        <v>588700</v>
      </c>
      <c r="G100" s="153">
        <v>1</v>
      </c>
      <c r="H100" s="153">
        <v>588700</v>
      </c>
      <c r="I100" s="218">
        <v>0.3</v>
      </c>
      <c r="J100"/>
      <c r="K100"/>
    </row>
    <row r="101" spans="1:11">
      <c r="A101" s="221" t="s">
        <v>295</v>
      </c>
      <c r="B101" s="153" t="s">
        <v>138</v>
      </c>
      <c r="C101" s="153" t="s">
        <v>38</v>
      </c>
      <c r="D101" s="153">
        <v>0</v>
      </c>
      <c r="E101" s="153">
        <v>106.87</v>
      </c>
      <c r="F101" s="153">
        <v>0</v>
      </c>
      <c r="G101" s="153">
        <v>1</v>
      </c>
      <c r="H101" s="308">
        <v>0</v>
      </c>
      <c r="I101" s="218">
        <v>0</v>
      </c>
      <c r="J101"/>
      <c r="K101"/>
    </row>
    <row r="102" spans="1:11">
      <c r="A102" s="221" t="s">
        <v>435</v>
      </c>
      <c r="B102" s="153" t="s">
        <v>140</v>
      </c>
      <c r="C102" s="153" t="s">
        <v>38</v>
      </c>
      <c r="D102" s="153">
        <v>-10</v>
      </c>
      <c r="E102" s="153">
        <v>1.24</v>
      </c>
      <c r="F102" s="153">
        <v>-12.4</v>
      </c>
      <c r="G102" s="153">
        <v>1</v>
      </c>
      <c r="H102" s="308">
        <v>-12.4</v>
      </c>
      <c r="I102" s="218">
        <v>0</v>
      </c>
      <c r="J102"/>
      <c r="K102"/>
    </row>
    <row r="103" spans="1:11">
      <c r="A103" s="221" t="s">
        <v>427</v>
      </c>
      <c r="B103" s="153" t="s">
        <v>42</v>
      </c>
      <c r="C103" s="153" t="s">
        <v>38</v>
      </c>
      <c r="D103" s="153">
        <v>12000</v>
      </c>
      <c r="E103" s="153">
        <v>22.46</v>
      </c>
      <c r="F103" s="153">
        <v>269520</v>
      </c>
      <c r="G103" s="153">
        <v>1</v>
      </c>
      <c r="H103" s="153">
        <v>269520</v>
      </c>
      <c r="I103" s="218">
        <v>0.14000000000000001</v>
      </c>
      <c r="J103"/>
      <c r="K103"/>
    </row>
    <row r="104" spans="1:11">
      <c r="A104" s="221" t="s">
        <v>436</v>
      </c>
      <c r="B104" s="153" t="s">
        <v>23</v>
      </c>
      <c r="C104" s="153" t="s">
        <v>38</v>
      </c>
      <c r="D104" s="153">
        <v>500</v>
      </c>
      <c r="E104" s="153">
        <v>162.43</v>
      </c>
      <c r="F104" s="153">
        <v>81215</v>
      </c>
      <c r="G104" s="153">
        <v>1</v>
      </c>
      <c r="H104" s="153">
        <v>81215</v>
      </c>
      <c r="I104" s="218">
        <v>0.04</v>
      </c>
      <c r="J104"/>
      <c r="K104"/>
    </row>
    <row r="105" spans="1:11">
      <c r="A105" s="221" t="s">
        <v>407</v>
      </c>
      <c r="B105" s="153" t="s">
        <v>140</v>
      </c>
      <c r="C105" s="153" t="s">
        <v>38</v>
      </c>
      <c r="D105" s="153">
        <v>0</v>
      </c>
      <c r="E105" s="153">
        <v>0</v>
      </c>
      <c r="F105" s="153">
        <v>0</v>
      </c>
      <c r="G105" s="153">
        <v>1</v>
      </c>
      <c r="H105" s="153">
        <v>0</v>
      </c>
      <c r="I105" s="218">
        <v>0</v>
      </c>
      <c r="J105"/>
      <c r="K105"/>
    </row>
    <row r="106" spans="1:11">
      <c r="A106" s="221" t="s">
        <v>423</v>
      </c>
      <c r="B106" s="153" t="s">
        <v>140</v>
      </c>
      <c r="C106" s="153" t="s">
        <v>38</v>
      </c>
      <c r="D106" s="153">
        <v>0</v>
      </c>
      <c r="E106" s="153">
        <v>0</v>
      </c>
      <c r="F106" s="153">
        <v>0</v>
      </c>
      <c r="G106" s="153">
        <v>1</v>
      </c>
      <c r="H106" s="153">
        <v>0</v>
      </c>
      <c r="I106" s="218">
        <v>0</v>
      </c>
      <c r="J106"/>
      <c r="K106"/>
    </row>
    <row r="107" spans="1:11">
      <c r="A107" s="221" t="s">
        <v>437</v>
      </c>
      <c r="B107" s="153" t="s">
        <v>140</v>
      </c>
      <c r="C107" s="153" t="s">
        <v>38</v>
      </c>
      <c r="D107" s="153">
        <v>-5</v>
      </c>
      <c r="E107" s="153">
        <v>2.2400000000000002</v>
      </c>
      <c r="F107" s="153">
        <v>-11.2</v>
      </c>
      <c r="G107" s="153">
        <v>1</v>
      </c>
      <c r="H107" s="153">
        <v>-11.2</v>
      </c>
      <c r="I107" s="218">
        <v>0</v>
      </c>
      <c r="J107"/>
      <c r="K107"/>
    </row>
    <row r="108" spans="1:11">
      <c r="A108" s="221" t="s">
        <v>428</v>
      </c>
      <c r="B108" s="153" t="s">
        <v>42</v>
      </c>
      <c r="C108" s="153" t="s">
        <v>38</v>
      </c>
      <c r="D108" s="153">
        <v>15000</v>
      </c>
      <c r="E108" s="153">
        <v>100.72</v>
      </c>
      <c r="F108" s="153">
        <v>1510800</v>
      </c>
      <c r="G108" s="153">
        <v>1</v>
      </c>
      <c r="H108" s="153">
        <v>1510800</v>
      </c>
      <c r="I108" s="218">
        <v>0.77999999999999992</v>
      </c>
      <c r="J108"/>
      <c r="K108"/>
    </row>
    <row r="109" spans="1:11">
      <c r="A109" s="221" t="s">
        <v>105</v>
      </c>
      <c r="B109" s="153" t="s">
        <v>42</v>
      </c>
      <c r="C109" s="153" t="s">
        <v>38</v>
      </c>
      <c r="D109" s="153">
        <v>52500</v>
      </c>
      <c r="E109" s="153">
        <v>85.43</v>
      </c>
      <c r="F109" s="153">
        <v>4485075</v>
      </c>
      <c r="G109" s="153">
        <v>1</v>
      </c>
      <c r="H109" s="308">
        <v>4485075</v>
      </c>
      <c r="I109" s="218">
        <v>2.3199999999999998</v>
      </c>
      <c r="J109"/>
      <c r="K109"/>
    </row>
    <row r="110" spans="1:11">
      <c r="A110" s="221" t="s">
        <v>200</v>
      </c>
      <c r="B110" s="153" t="s">
        <v>23</v>
      </c>
      <c r="C110" s="153" t="s">
        <v>38</v>
      </c>
      <c r="D110" s="153">
        <v>96500</v>
      </c>
      <c r="E110" s="153">
        <v>201.36</v>
      </c>
      <c r="F110" s="153">
        <v>19431240</v>
      </c>
      <c r="G110" s="153">
        <v>1</v>
      </c>
      <c r="H110" s="308">
        <v>19431240</v>
      </c>
      <c r="I110" s="218">
        <v>10.050000000000001</v>
      </c>
      <c r="J110"/>
      <c r="K110"/>
    </row>
    <row r="111" spans="1:11">
      <c r="A111" s="221" t="s">
        <v>391</v>
      </c>
      <c r="B111" s="153" t="s">
        <v>140</v>
      </c>
      <c r="C111" s="153" t="s">
        <v>38</v>
      </c>
      <c r="D111" s="153">
        <v>0</v>
      </c>
      <c r="E111" s="153">
        <v>0</v>
      </c>
      <c r="F111" s="153">
        <v>0</v>
      </c>
      <c r="G111" s="153">
        <v>1</v>
      </c>
      <c r="H111" s="153">
        <v>0</v>
      </c>
      <c r="I111" s="218">
        <v>0</v>
      </c>
      <c r="J111"/>
      <c r="K111"/>
    </row>
    <row r="112" spans="1:11">
      <c r="A112" s="221" t="s">
        <v>416</v>
      </c>
      <c r="B112" s="153" t="s">
        <v>140</v>
      </c>
      <c r="C112" s="153" t="s">
        <v>38</v>
      </c>
      <c r="D112" s="153">
        <v>0</v>
      </c>
      <c r="E112" s="153">
        <v>0</v>
      </c>
      <c r="F112" s="153">
        <v>0</v>
      </c>
      <c r="G112" s="153">
        <v>1</v>
      </c>
      <c r="H112" s="153">
        <v>0</v>
      </c>
      <c r="I112" s="218">
        <v>0</v>
      </c>
      <c r="J112"/>
      <c r="K112"/>
    </row>
    <row r="113" spans="1:11">
      <c r="A113" s="221" t="s">
        <v>408</v>
      </c>
      <c r="B113" s="153" t="s">
        <v>140</v>
      </c>
      <c r="C113" s="153" t="s">
        <v>38</v>
      </c>
      <c r="D113" s="153">
        <v>0</v>
      </c>
      <c r="E113" s="153">
        <v>0</v>
      </c>
      <c r="F113" s="153">
        <v>0</v>
      </c>
      <c r="G113" s="153">
        <v>1</v>
      </c>
      <c r="H113" s="153">
        <v>0</v>
      </c>
      <c r="I113" s="218">
        <v>0</v>
      </c>
      <c r="J113"/>
      <c r="K113"/>
    </row>
    <row r="114" spans="1:11">
      <c r="A114" s="221" t="s">
        <v>417</v>
      </c>
      <c r="B114" s="153" t="s">
        <v>140</v>
      </c>
      <c r="C114" s="153" t="s">
        <v>38</v>
      </c>
      <c r="D114" s="153">
        <v>0</v>
      </c>
      <c r="E114" s="153">
        <v>0</v>
      </c>
      <c r="F114" s="153">
        <v>0</v>
      </c>
      <c r="G114" s="153">
        <v>1</v>
      </c>
      <c r="H114" s="153">
        <v>0</v>
      </c>
      <c r="I114" s="218">
        <v>0</v>
      </c>
      <c r="J114"/>
      <c r="K114"/>
    </row>
    <row r="115" spans="1:11">
      <c r="A115" s="221" t="s">
        <v>386</v>
      </c>
      <c r="B115" s="153" t="s">
        <v>140</v>
      </c>
      <c r="C115" s="153" t="s">
        <v>38</v>
      </c>
      <c r="D115" s="153">
        <v>-100</v>
      </c>
      <c r="E115" s="153">
        <v>1.68</v>
      </c>
      <c r="F115" s="153">
        <v>-168</v>
      </c>
      <c r="G115" s="153">
        <v>1</v>
      </c>
      <c r="H115" s="153">
        <v>-168</v>
      </c>
      <c r="I115" s="218">
        <v>0</v>
      </c>
      <c r="J115"/>
      <c r="K115"/>
    </row>
    <row r="116" spans="1:11">
      <c r="A116" s="221" t="s">
        <v>109</v>
      </c>
      <c r="B116" s="153" t="s">
        <v>42</v>
      </c>
      <c r="C116" s="153" t="s">
        <v>38</v>
      </c>
      <c r="D116" s="153">
        <v>40000</v>
      </c>
      <c r="E116" s="153">
        <v>36.729999999999997</v>
      </c>
      <c r="F116" s="153">
        <v>1469200</v>
      </c>
      <c r="G116" s="153">
        <v>1</v>
      </c>
      <c r="H116" s="153">
        <v>1469200</v>
      </c>
      <c r="I116" s="218">
        <v>0.76</v>
      </c>
      <c r="J116"/>
      <c r="K116"/>
    </row>
    <row r="117" spans="1:11">
      <c r="A117" s="221" t="s">
        <v>104</v>
      </c>
      <c r="B117" s="153" t="s">
        <v>42</v>
      </c>
      <c r="C117" s="153" t="s">
        <v>38</v>
      </c>
      <c r="D117" s="153">
        <v>30000</v>
      </c>
      <c r="E117" s="153">
        <v>79.17</v>
      </c>
      <c r="F117" s="153">
        <v>2375100</v>
      </c>
      <c r="G117" s="153">
        <v>1</v>
      </c>
      <c r="H117" s="153">
        <v>2375100</v>
      </c>
      <c r="I117" s="218">
        <v>1.23</v>
      </c>
      <c r="J117"/>
      <c r="K117"/>
    </row>
    <row r="118" spans="1:11">
      <c r="A118" s="221" t="s">
        <v>303</v>
      </c>
      <c r="B118" s="153" t="s">
        <v>23</v>
      </c>
      <c r="C118" s="153" t="s">
        <v>38</v>
      </c>
      <c r="D118" s="153">
        <v>2000</v>
      </c>
      <c r="E118" s="153">
        <v>38.880000000000003</v>
      </c>
      <c r="F118" s="153">
        <v>77760</v>
      </c>
      <c r="G118" s="153">
        <v>1</v>
      </c>
      <c r="H118" s="153">
        <v>77760</v>
      </c>
      <c r="I118" s="218">
        <v>0.04</v>
      </c>
      <c r="J118"/>
      <c r="K118"/>
    </row>
    <row r="119" spans="1:11">
      <c r="A119" s="221" t="s">
        <v>287</v>
      </c>
      <c r="B119" s="153" t="s">
        <v>139</v>
      </c>
      <c r="C119" s="153" t="s">
        <v>38</v>
      </c>
      <c r="D119" s="153">
        <v>5500</v>
      </c>
      <c r="E119" s="153">
        <v>103.88</v>
      </c>
      <c r="F119" s="153">
        <v>571340</v>
      </c>
      <c r="G119" s="153">
        <v>1</v>
      </c>
      <c r="H119" s="153">
        <v>571340</v>
      </c>
      <c r="I119" s="218">
        <v>0.3</v>
      </c>
      <c r="J119"/>
      <c r="K119"/>
    </row>
    <row r="120" spans="1:11">
      <c r="A120" s="221" t="s">
        <v>26</v>
      </c>
      <c r="B120" s="153" t="s">
        <v>139</v>
      </c>
      <c r="C120" s="153" t="s">
        <v>38</v>
      </c>
      <c r="D120" s="153">
        <v>67500</v>
      </c>
      <c r="E120" s="153">
        <v>90.25</v>
      </c>
      <c r="F120" s="153">
        <v>6091875</v>
      </c>
      <c r="G120" s="153">
        <v>1</v>
      </c>
      <c r="H120" s="308">
        <v>6091875</v>
      </c>
      <c r="I120" s="218">
        <v>3.15</v>
      </c>
      <c r="J120"/>
      <c r="K120"/>
    </row>
    <row r="121" spans="1:11">
      <c r="A121" s="221" t="s">
        <v>117</v>
      </c>
      <c r="B121" s="153" t="s">
        <v>139</v>
      </c>
      <c r="C121" s="153" t="s">
        <v>38</v>
      </c>
      <c r="D121" s="153">
        <v>199563</v>
      </c>
      <c r="E121" s="153">
        <v>47.66</v>
      </c>
      <c r="F121" s="153">
        <v>9511172.5800000001</v>
      </c>
      <c r="G121" s="153">
        <v>1</v>
      </c>
      <c r="H121" s="153">
        <v>9511172.5800000001</v>
      </c>
      <c r="I121" s="218">
        <v>4.92</v>
      </c>
      <c r="J121"/>
      <c r="K121"/>
    </row>
    <row r="122" spans="1:11">
      <c r="A122" s="221" t="s">
        <v>409</v>
      </c>
      <c r="B122" s="153" t="s">
        <v>140</v>
      </c>
      <c r="C122" s="153" t="s">
        <v>38</v>
      </c>
      <c r="D122" s="153">
        <v>0</v>
      </c>
      <c r="E122" s="153">
        <v>0</v>
      </c>
      <c r="F122" s="153">
        <v>0</v>
      </c>
      <c r="G122" s="153">
        <v>1</v>
      </c>
      <c r="H122" s="308">
        <v>0</v>
      </c>
      <c r="I122" s="218">
        <v>0</v>
      </c>
      <c r="J122"/>
      <c r="K122"/>
    </row>
    <row r="123" spans="1:11">
      <c r="A123" s="221" t="s">
        <v>418</v>
      </c>
      <c r="B123" s="153" t="s">
        <v>140</v>
      </c>
      <c r="C123" s="153" t="s">
        <v>38</v>
      </c>
      <c r="D123" s="153">
        <v>0</v>
      </c>
      <c r="E123" s="153">
        <v>0</v>
      </c>
      <c r="F123" s="153">
        <v>0</v>
      </c>
      <c r="G123" s="153">
        <v>1</v>
      </c>
      <c r="H123" s="153">
        <v>0</v>
      </c>
      <c r="I123" s="218">
        <v>0</v>
      </c>
      <c r="J123"/>
      <c r="K123"/>
    </row>
    <row r="124" spans="1:11">
      <c r="A124" s="221" t="s">
        <v>118</v>
      </c>
      <c r="B124" s="153" t="s">
        <v>139</v>
      </c>
      <c r="C124" s="153" t="s">
        <v>38</v>
      </c>
      <c r="D124" s="153">
        <v>24100</v>
      </c>
      <c r="E124" s="153">
        <v>227.16</v>
      </c>
      <c r="F124" s="153">
        <v>5474556</v>
      </c>
      <c r="G124" s="153">
        <v>1</v>
      </c>
      <c r="H124" s="153">
        <v>5474556</v>
      </c>
      <c r="I124" s="218">
        <v>2.83</v>
      </c>
      <c r="J124"/>
      <c r="K124"/>
    </row>
    <row r="125" spans="1:11">
      <c r="A125" s="221" t="s">
        <v>392</v>
      </c>
      <c r="B125" s="153" t="s">
        <v>140</v>
      </c>
      <c r="C125" s="153" t="s">
        <v>38</v>
      </c>
      <c r="D125" s="153">
        <v>0</v>
      </c>
      <c r="E125" s="153">
        <v>0</v>
      </c>
      <c r="F125" s="153">
        <v>0</v>
      </c>
      <c r="G125" s="153">
        <v>1</v>
      </c>
      <c r="H125" s="153">
        <v>0</v>
      </c>
      <c r="I125" s="218">
        <v>0</v>
      </c>
      <c r="J125"/>
      <c r="K125"/>
    </row>
    <row r="126" spans="1:11">
      <c r="A126" s="221" t="s">
        <v>419</v>
      </c>
      <c r="B126" s="153" t="s">
        <v>140</v>
      </c>
      <c r="C126" s="153" t="s">
        <v>38</v>
      </c>
      <c r="D126" s="153">
        <v>0</v>
      </c>
      <c r="E126" s="153">
        <v>0</v>
      </c>
      <c r="F126" s="153">
        <v>0</v>
      </c>
      <c r="G126" s="153">
        <v>1</v>
      </c>
      <c r="H126" s="308">
        <v>0</v>
      </c>
      <c r="I126" s="218">
        <v>0</v>
      </c>
      <c r="J126"/>
      <c r="K126"/>
    </row>
    <row r="127" spans="1:11">
      <c r="A127" s="221" t="s">
        <v>49</v>
      </c>
      <c r="B127" s="153" t="s">
        <v>44</v>
      </c>
      <c r="C127" s="153" t="s">
        <v>38</v>
      </c>
      <c r="D127" s="153">
        <v>6000</v>
      </c>
      <c r="E127" s="153">
        <v>74.7</v>
      </c>
      <c r="F127" s="153">
        <v>448200</v>
      </c>
      <c r="G127" s="153">
        <v>1</v>
      </c>
      <c r="H127" s="308">
        <v>448200</v>
      </c>
      <c r="I127" s="218">
        <v>0.23</v>
      </c>
      <c r="J127"/>
      <c r="K127"/>
    </row>
    <row r="128" spans="1:11">
      <c r="A128" s="221" t="s">
        <v>115</v>
      </c>
      <c r="B128" s="153" t="s">
        <v>139</v>
      </c>
      <c r="C128" s="153" t="s">
        <v>38</v>
      </c>
      <c r="D128" s="153">
        <v>31500</v>
      </c>
      <c r="E128" s="153">
        <v>141.46</v>
      </c>
      <c r="F128" s="153">
        <v>4455990</v>
      </c>
      <c r="G128" s="153">
        <v>1</v>
      </c>
      <c r="H128" s="308">
        <v>4455990</v>
      </c>
      <c r="I128" s="218">
        <v>2.31</v>
      </c>
      <c r="J128"/>
      <c r="K128"/>
    </row>
    <row r="129" spans="1:11">
      <c r="A129" s="221" t="s">
        <v>131</v>
      </c>
      <c r="B129" s="153" t="s">
        <v>44</v>
      </c>
      <c r="C129" s="153" t="s">
        <v>38</v>
      </c>
      <c r="D129" s="153">
        <v>13500</v>
      </c>
      <c r="E129" s="153">
        <v>58.45</v>
      </c>
      <c r="F129" s="153">
        <v>789075</v>
      </c>
      <c r="G129" s="153">
        <v>1</v>
      </c>
      <c r="H129" s="308">
        <v>789075</v>
      </c>
      <c r="I129" s="218">
        <v>0.41</v>
      </c>
      <c r="J129"/>
      <c r="K129"/>
    </row>
    <row r="130" spans="1:11">
      <c r="A130" s="221" t="s">
        <v>368</v>
      </c>
      <c r="B130" s="153" t="s">
        <v>139</v>
      </c>
      <c r="C130" s="153" t="s">
        <v>38</v>
      </c>
      <c r="D130" s="153">
        <v>4300</v>
      </c>
      <c r="E130" s="153">
        <v>182.25</v>
      </c>
      <c r="F130" s="153">
        <v>783675</v>
      </c>
      <c r="G130" s="153">
        <v>1</v>
      </c>
      <c r="H130" s="308">
        <v>783675</v>
      </c>
      <c r="I130" s="218">
        <v>0.41</v>
      </c>
      <c r="J130"/>
      <c r="K130"/>
    </row>
    <row r="131" spans="1:11">
      <c r="A131" s="221" t="s">
        <v>369</v>
      </c>
      <c r="B131" s="153" t="s">
        <v>140</v>
      </c>
      <c r="C131" s="153" t="s">
        <v>38</v>
      </c>
      <c r="D131" s="153">
        <v>-5</v>
      </c>
      <c r="E131" s="153">
        <v>0.5</v>
      </c>
      <c r="F131" s="153">
        <v>-2.5</v>
      </c>
      <c r="G131" s="153">
        <v>1</v>
      </c>
      <c r="H131" s="308">
        <v>-2.5</v>
      </c>
      <c r="I131" s="218">
        <v>0</v>
      </c>
      <c r="J131"/>
      <c r="K131"/>
    </row>
    <row r="132" spans="1:11">
      <c r="A132" s="221" t="s">
        <v>284</v>
      </c>
      <c r="B132" s="153" t="s">
        <v>138</v>
      </c>
      <c r="C132" s="153" t="s">
        <v>37</v>
      </c>
      <c r="D132" s="153">
        <v>200000</v>
      </c>
      <c r="E132" s="153">
        <v>3.12</v>
      </c>
      <c r="F132" s="153">
        <v>624000</v>
      </c>
      <c r="G132" s="153">
        <v>1.3716104077797739</v>
      </c>
      <c r="H132" s="308">
        <v>454939.68</v>
      </c>
      <c r="I132" s="218">
        <v>0.24</v>
      </c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308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308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308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308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308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308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308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308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308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308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308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308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308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308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308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308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308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308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308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308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308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308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308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308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308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308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308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308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308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308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308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308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308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308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308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308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308"/>
      <c r="I169" s="218"/>
    </row>
  </sheetData>
  <autoFilter ref="A2:I125" xr:uid="{F6DF4B25-B6CC-4ACC-B571-02DA8228728D}">
    <sortState xmlns:xlrd2="http://schemas.microsoft.com/office/spreadsheetml/2017/richdata2" ref="A39:I122">
      <sortCondition ref="H2:H125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8" sqref="G198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  <row r="181" spans="1:12">
      <c r="A181" s="170">
        <f>'Historical NAV'!A1173</f>
        <v>45665</v>
      </c>
      <c r="B181" s="159">
        <v>34995.08</v>
      </c>
      <c r="C181" s="159">
        <v>-141260.85</v>
      </c>
      <c r="D181" s="159">
        <v>-339750</v>
      </c>
      <c r="E181" s="159">
        <v>3413.76</v>
      </c>
      <c r="F181" s="159">
        <v>19055.3</v>
      </c>
      <c r="G181" s="159">
        <v>4150</v>
      </c>
      <c r="H181" s="159">
        <v>32633.85</v>
      </c>
      <c r="I181" s="159"/>
      <c r="J181" s="159"/>
      <c r="K181" s="159"/>
      <c r="L181" s="159">
        <f t="shared" ref="L181" si="26">SUM(B181:K181)</f>
        <v>-386762.86000000004</v>
      </c>
    </row>
    <row r="182" spans="1:12">
      <c r="A182" s="170">
        <f>'Historical NAV'!A1174</f>
        <v>45666</v>
      </c>
      <c r="B182" s="159">
        <v>0</v>
      </c>
      <c r="C182" s="159">
        <v>-19800.86</v>
      </c>
      <c r="D182" s="159">
        <v>-3207.77</v>
      </c>
      <c r="E182" s="159">
        <v>0</v>
      </c>
      <c r="F182" s="159">
        <v>0</v>
      </c>
      <c r="G182" s="159">
        <v>0</v>
      </c>
      <c r="H182" s="159">
        <v>5024.53</v>
      </c>
      <c r="I182" s="159"/>
      <c r="J182" s="159"/>
      <c r="K182" s="159"/>
      <c r="L182" s="159">
        <f t="shared" ref="L182" si="27">SUM(B182:K182)</f>
        <v>-17984.100000000002</v>
      </c>
    </row>
    <row r="183" spans="1:12">
      <c r="A183" s="170">
        <f>'Historical NAV'!A1175</f>
        <v>45667</v>
      </c>
      <c r="B183" s="159">
        <v>-1236187.71</v>
      </c>
      <c r="C183" s="159">
        <v>-306776.56</v>
      </c>
      <c r="D183" s="159">
        <v>-779219.46</v>
      </c>
      <c r="E183" s="159">
        <v>-113847.32</v>
      </c>
      <c r="F183" s="159">
        <v>223660.35</v>
      </c>
      <c r="G183" s="159">
        <v>-304450</v>
      </c>
      <c r="H183" s="159">
        <v>5086.0900000000047</v>
      </c>
      <c r="I183" s="159"/>
      <c r="J183" s="159"/>
      <c r="K183" s="159"/>
      <c r="L183" s="159">
        <f t="shared" ref="L183" si="28">SUM(B183:K183)</f>
        <v>-2511734.61</v>
      </c>
    </row>
    <row r="184" spans="1:12">
      <c r="A184" s="170">
        <f>'Historical NAV'!A1176</f>
        <v>45670</v>
      </c>
      <c r="B184" s="159">
        <v>123447.38</v>
      </c>
      <c r="C184" s="159">
        <v>-76042.03</v>
      </c>
      <c r="D184" s="159">
        <v>-1298384.46</v>
      </c>
      <c r="E184" s="159">
        <v>-37861.120000000003</v>
      </c>
      <c r="F184" s="159">
        <v>-165546.07</v>
      </c>
      <c r="G184" s="159">
        <v>-35062.5</v>
      </c>
      <c r="H184" s="159">
        <v>200153.05</v>
      </c>
      <c r="I184" s="159"/>
      <c r="J184" s="159"/>
      <c r="K184" s="159"/>
      <c r="L184" s="159">
        <f t="shared" ref="L184" si="29">SUM(B184:K184)</f>
        <v>-1289295.75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tabSelected="1" zoomScale="85" zoomScaleNormal="85" workbookViewId="0">
      <selection activeCell="S2" sqref="S2:U13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365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326</v>
      </c>
      <c r="O2" s="273"/>
      <c r="P2" s="273"/>
      <c r="Q2" s="273"/>
      <c r="S2" s="273" t="s">
        <v>317</v>
      </c>
      <c r="T2" s="279"/>
      <c r="U2" s="273"/>
    </row>
    <row r="3" spans="2:21">
      <c r="B3" s="109" t="s">
        <v>363</v>
      </c>
      <c r="C3" s="109" t="s">
        <v>364</v>
      </c>
      <c r="D3" s="109" t="s">
        <v>331</v>
      </c>
      <c r="E3" s="109" t="s">
        <v>332</v>
      </c>
      <c r="F3" s="109" t="s">
        <v>333</v>
      </c>
      <c r="G3" s="109" t="s">
        <v>334</v>
      </c>
      <c r="H3" s="109" t="s">
        <v>335</v>
      </c>
      <c r="I3" s="109" t="s">
        <v>336</v>
      </c>
      <c r="J3" s="109" t="s">
        <v>66</v>
      </c>
      <c r="K3" s="109" t="s">
        <v>66</v>
      </c>
      <c r="L3" s="109" t="s">
        <v>297</v>
      </c>
      <c r="M3" s="292"/>
      <c r="N3" s="109"/>
      <c r="O3" s="109" t="s">
        <v>383</v>
      </c>
      <c r="P3" s="109" t="s">
        <v>327</v>
      </c>
      <c r="Q3" s="109" t="s">
        <v>20</v>
      </c>
      <c r="S3" t="s">
        <v>318</v>
      </c>
      <c r="T3" s="280">
        <f>ROUND(VLOOKUP("Starting Value", 'Email input'!C:D, 2, FALSE),2)</f>
        <v>71204832.620000005</v>
      </c>
    </row>
    <row r="4" spans="2:21">
      <c r="B4" t="s">
        <v>383</v>
      </c>
      <c r="C4" t="s">
        <v>382</v>
      </c>
      <c r="D4" s="8">
        <f>IF(D18=0, "", D18)</f>
        <v>6.3647245670425387E-2</v>
      </c>
      <c r="E4" s="8">
        <f t="shared" ref="E4:L5" ca="1" si="0">IF(E18=0, "", E18)</f>
        <v>-2.1771986564069066E-2</v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-2.1771986564069066E-2</v>
      </c>
      <c r="J4" s="8">
        <f t="shared" ca="1" si="0"/>
        <v>-3.0632388516009024E-2</v>
      </c>
      <c r="K4" s="8">
        <f ca="1">J4</f>
        <v>-3.0632388516009024E-2</v>
      </c>
      <c r="L4" s="8">
        <f t="shared" ca="1" si="0"/>
        <v>-3.0632388516009024E-2</v>
      </c>
      <c r="N4" t="s">
        <v>318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316</v>
      </c>
      <c r="T4" s="286">
        <f>ROUND(VLOOKUP("Deposits &amp; Withdrawals", 'Email input'!C:D, 2, FALSE),2)</f>
        <v>-9000000</v>
      </c>
    </row>
    <row r="5" spans="2:21">
      <c r="B5" t="s">
        <v>327</v>
      </c>
      <c r="C5" t="s">
        <v>362</v>
      </c>
      <c r="D5" s="8">
        <f>D19</f>
        <v>0</v>
      </c>
      <c r="E5" s="8" t="str">
        <f t="shared" si="0"/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0</v>
      </c>
      <c r="K5" s="8">
        <f>J5</f>
        <v>0</v>
      </c>
      <c r="L5" s="8">
        <f>L19+J5</f>
        <v>0</v>
      </c>
      <c r="N5" t="s">
        <v>316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302064.54638021166</v>
      </c>
      <c r="U5" s="8">
        <f>VLOOKUP("Commodities", 'Email input'!F:G, 2, FALSE)/100</f>
        <v>4.2421916500000002E-3</v>
      </c>
    </row>
    <row r="6" spans="2:21">
      <c r="B6" t="s">
        <v>337</v>
      </c>
      <c r="C6" t="s">
        <v>361</v>
      </c>
      <c r="D6" s="8" t="str">
        <f t="array" ref="D6">IFERROR(_xll.BDP($B6,"INTERVAL_PERCENT_CHANGE", "END_DATE_OVERRIDE="&amp;TEXT(D$17,"yyyymmdd"), "START_DATE_OVERRIDE="&amp;TEXT(D$16,"yyyymmdd"))/100, "")</f>
        <v/>
      </c>
      <c r="E6" s="8" t="str">
        <f t="array" ref="E6">IFERROR(_xll.BDP($B6,"INTERVAL_PERCENT_CHANGE", "END_DATE_OVERRIDE="&amp;TEXT(E$17,"yyyymmdd"), "START_DATE_OVERRIDE="&amp;TEXT(E$16,"yyyymmdd"))/100, "")</f>
        <v/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 t="e">
        <f>_xll.BDP(B6,"CHG_PCT_1D")/100</f>
        <v>#VALUE!</v>
      </c>
      <c r="J6" s="8" t="e">
        <f>_xll.BDP($B6,"CURRENT_TRR_MTD")/100</f>
        <v>#VALUE!</v>
      </c>
      <c r="K6" s="8" t="e">
        <f>_xll.BDP(B6,"CHG_PCT_1M")/100</f>
        <v>#VALUE!</v>
      </c>
      <c r="L6" s="8" t="e">
        <f t="array" ref="L6">_xll.BDP($B6,"CHG_PCT_YTD")/100</f>
        <v>#VALUE!</v>
      </c>
      <c r="N6" t="s">
        <v>328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319</v>
      </c>
      <c r="T6" s="286">
        <f>($T$3-T$4)*U6</f>
        <v>-2143151.7901000893</v>
      </c>
      <c r="U6" s="8">
        <f>VLOOKUP("new_equity", 'Email input'!F:G, 2, FALSE)/100</f>
        <v>-2.6720980770000003E-2</v>
      </c>
    </row>
    <row r="7" spans="2:21">
      <c r="B7" t="s">
        <v>338</v>
      </c>
      <c r="C7" t="s">
        <v>360</v>
      </c>
      <c r="D7" s="8" t="str">
        <f t="array" ref="D7">IFERROR(_xll.BDP($B7,"INTERVAL_PERCENT_CHANGE", "END_DATE_OVERRIDE="&amp;TEXT(D$17,"yyyymmdd"), "START_DATE_OVERRIDE="&amp;TEXT(D$16,"yyyymmdd"))/100, "")</f>
        <v/>
      </c>
      <c r="E7" s="8" t="str">
        <f t="array" ref="E7">IFERROR(_xll.BDP($B7,"INTERVAL_PERCENT_CHANGE", "END_DATE_OVERRIDE="&amp;TEXT(E$17,"yyyymmdd"), "START_DATE_OVERRIDE="&amp;TEXT(E$16,"yyyymmdd"))/100, "")</f>
        <v/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 t="e">
        <f t="array" ref="I7">_xll.BDP(B7,"CHG_PCT_1D")/100</f>
        <v>#VALUE!</v>
      </c>
      <c r="J7" s="8" t="e">
        <f t="array" ref="J7">_xll.BDP($B7,"CURRENT_TRR_MTD")/100</f>
        <v>#VALUE!</v>
      </c>
      <c r="K7" s="8" t="e">
        <f>_xll.BDP(B7,"CHG_PCT_1M")/100</f>
        <v>#VALUE!</v>
      </c>
      <c r="L7" s="8" t="e">
        <f t="array" ref="L7">_xll.BDP($B7,"CHG_PCT_YTD")/100</f>
        <v>#VALUE!</v>
      </c>
      <c r="N7" s="47" t="s">
        <v>95</v>
      </c>
      <c r="O7" s="295">
        <f ca="1">OFFSET('Historical NAV'!F1,COUNT('Historical NAV'!A:A),,,)</f>
        <v>-1344879.2429772019</v>
      </c>
      <c r="P7" s="296" t="s">
        <v>58</v>
      </c>
      <c r="Q7" s="297">
        <f ca="1">SUM(O7:P7)</f>
        <v>-1344879.2429772019</v>
      </c>
      <c r="S7" t="s">
        <v>320</v>
      </c>
      <c r="T7" s="286">
        <f>($T$3-T$4)*U7</f>
        <v>-270559.7404809735</v>
      </c>
      <c r="U7" s="8">
        <f>VLOOKUP("Fixed Income", 'Email input'!F:G, 2, FALSE)/100</f>
        <v>-3.3733595800000001E-3</v>
      </c>
    </row>
    <row r="8" spans="2:21">
      <c r="B8" t="s">
        <v>339</v>
      </c>
      <c r="C8" s="8" t="s">
        <v>340</v>
      </c>
      <c r="D8" s="8" t="str">
        <f t="array" ref="D8">IFERROR(_xll.BDP($B8,"INTERVAL_PERCENT_CHANGE", "END_DATE_OVERRIDE="&amp;TEXT(D$17,"yyyymmdd"), "START_DATE_OVERRIDE="&amp;TEXT(D$16,"yyyymmdd"))/100, "")</f>
        <v/>
      </c>
      <c r="E8" s="8" t="str">
        <f t="array" ref="E8">IFERROR(_xll.BDP($B8,"INTERVAL_PERCENT_CHANGE", "END_DATE_OVERRIDE="&amp;TEXT(E$17,"yyyymmdd"), "START_DATE_OVERRIDE="&amp;TEXT(E$16,"yyyymmdd"))/100, "")</f>
        <v/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 t="e">
        <f t="array" ref="I8">_xll.BDP(B8,"CHG_PCT_1D")/100</f>
        <v>#VALUE!</v>
      </c>
      <c r="J8" s="8" t="e">
        <f t="array" ref="J8">_xll.BDP($B8,"CURRENT_TRR_MTD")/100</f>
        <v>#VALUE!</v>
      </c>
      <c r="K8" s="8" t="e">
        <f>_xll.BDP(B8,"CHG_PCT_1M")/100</f>
        <v>#VALUE!</v>
      </c>
      <c r="L8" s="8" t="e">
        <f t="array" ref="L8">_xll.BDP($B8,"CHG_PCT_YTD")/100</f>
        <v>#VALUE!</v>
      </c>
      <c r="N8" t="s">
        <v>329</v>
      </c>
      <c r="O8" s="69">
        <f ca="1">OFFSET('Historical NAV'!J1,COUNT('Historical NAV'!A:A),,,)</f>
        <v>-1778626.3909121975</v>
      </c>
      <c r="P8" s="280">
        <f>SUM(P4:P5)*P9</f>
        <v>0</v>
      </c>
      <c r="Q8" s="280">
        <f ca="1">SUM(O8:P8)</f>
        <v>-1778626.3909121975</v>
      </c>
      <c r="S8" s="47" t="s">
        <v>321</v>
      </c>
      <c r="T8" s="287">
        <f>($T$3-T$4)*U8</f>
        <v>-230065.47864891851</v>
      </c>
      <c r="U8" s="207">
        <f>VLOOKUP("Cash", 'Email input'!F:G, 2, FALSE)/100</f>
        <v>-2.8684740199999997E-3</v>
      </c>
    </row>
    <row r="9" spans="2:21">
      <c r="B9" t="s">
        <v>341</v>
      </c>
      <c r="C9" s="8" t="s">
        <v>342</v>
      </c>
      <c r="D9" s="8" t="str">
        <f t="array" ref="D9">IFERROR(_xll.BDP($B9,"INTERVAL_PERCENT_CHANGE", "END_DATE_OVERRIDE="&amp;TEXT(D$17,"yyyymmdd"), "START_DATE_OVERRIDE="&amp;TEXT(D$16,"yyyymmdd"))/100, "")</f>
        <v/>
      </c>
      <c r="E9" s="8" t="str">
        <f t="array" ref="E9">IFERROR(_xll.BDP($B9,"INTERVAL_PERCENT_CHANGE", "END_DATE_OVERRIDE="&amp;TEXT(E$17,"yyyymmdd"), "START_DATE_OVERRIDE="&amp;TEXT(E$16,"yyyymmdd"))/100, "")</f>
        <v/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 t="e">
        <f t="array" ref="I9">_xll.BDP(B9,"CHG_PCT_1D")/100</f>
        <v>#VALUE!</v>
      </c>
      <c r="J9" s="8" t="e">
        <f t="array" ref="J9">_xll.BDP($B9,"CURRENT_TRR_MTD")/100</f>
        <v>#VALUE!</v>
      </c>
      <c r="K9" s="8" t="e">
        <f>_xll.BDP(B9,"CHG_PCT_1M")/100</f>
        <v>#VALUE!</v>
      </c>
      <c r="L9" s="8" t="e">
        <f t="array" ref="L9">_xll.BDP($B9,"CHG_PCT_YTD")/100</f>
        <v>#VALUE!</v>
      </c>
      <c r="N9" t="s">
        <v>330</v>
      </c>
      <c r="O9" s="8">
        <f ca="1">OFFSET('Historical NAV'!K1,COUNT('Historical NAV'!A:A),,,)</f>
        <v>-3.0632388516009024E-2</v>
      </c>
      <c r="P9" s="285">
        <f>J5</f>
        <v>0</v>
      </c>
      <c r="S9" t="s">
        <v>322</v>
      </c>
      <c r="T9" s="288">
        <f>SUM(T5:T8)</f>
        <v>-2341712.4628497697</v>
      </c>
      <c r="U9" s="8">
        <f>T9/(T3+T4)</f>
        <v>-3.7645185497965084E-2</v>
      </c>
    </row>
    <row r="10" spans="2:21" ht="15.75" thickBot="1">
      <c r="B10" t="s">
        <v>358</v>
      </c>
      <c r="C10" s="8" t="s">
        <v>359</v>
      </c>
      <c r="D10" s="8" t="str">
        <f t="array" ref="D10">IFERROR(_xll.BDP($B10,"INTERVAL_PERCENT_CHANGE", "END_DATE_OVERRIDE="&amp;TEXT(D$17,"yyyymmdd"), "START_DATE_OVERRIDE="&amp;TEXT(D$16,"yyyymmdd"))/100, "")</f>
        <v/>
      </c>
      <c r="E10" s="8" t="str">
        <f t="array" ref="E10">IFERROR(_xll.BDP($B10,"INTERVAL_PERCENT_CHANGE", "END_DATE_OVERRIDE="&amp;TEXT(E$17,"yyyymmdd"), "START_DATE_OVERRIDE="&amp;TEXT(E$16,"yyyymmdd"))/100, "")</f>
        <v/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 t="e">
        <f>_xll.BDP(B10,"CHG_PCT_1D")/100</f>
        <v>#VALUE!</v>
      </c>
      <c r="J10" s="8" t="e">
        <f t="array" ref="J10">_xll.BDP($B10,"CURRENT_TRR_MTD")/100</f>
        <v>#VALUE!</v>
      </c>
      <c r="K10" s="8" t="e">
        <f>_xll.BDP(B10,"CHG_PCT_1M")/100</f>
        <v>#VALUE!</v>
      </c>
      <c r="L10" s="8" t="e">
        <f t="array" ref="L10">_xll.BDP($B10,"CHG_PCT_YTD")/100</f>
        <v>#VALUE!</v>
      </c>
      <c r="N10" s="275" t="s">
        <v>325</v>
      </c>
      <c r="O10" s="281">
        <f ca="1">O4+O5+O8</f>
        <v>60426206.229087807</v>
      </c>
      <c r="P10" s="276">
        <f>P4+P5+P8</f>
        <v>1932595.1</v>
      </c>
      <c r="Q10" s="281">
        <f ca="1">SUM(O10:P10)</f>
        <v>62358801.329087809</v>
      </c>
      <c r="S10" t="s">
        <v>323</v>
      </c>
      <c r="T10" s="286">
        <f>SUM('Email input'!D5:D8)</f>
        <v>-498093.4153772</v>
      </c>
      <c r="U10" s="8"/>
    </row>
    <row r="11" spans="2:21" ht="15.75" hidden="1" outlineLevel="1" thickTop="1">
      <c r="O11" s="283"/>
      <c r="P11" s="283"/>
      <c r="Q11" s="283"/>
      <c r="S11" t="s">
        <v>366</v>
      </c>
      <c r="T11" s="294">
        <v>871150.92579753697</v>
      </c>
      <c r="U11" s="8"/>
    </row>
    <row r="12" spans="2:21" ht="15.75" collapsed="1" thickTop="1">
      <c r="S12" t="s">
        <v>324</v>
      </c>
      <c r="T12" s="280">
        <f>SUM('Email input'!D7:D9)</f>
        <v>-235290.28992800001</v>
      </c>
      <c r="U12" s="8"/>
    </row>
    <row r="13" spans="2:21" ht="15.75" thickBot="1">
      <c r="S13" s="275" t="s">
        <v>325</v>
      </c>
      <c r="T13" s="281">
        <f>T3+T4+T9+T10+T12+T11</f>
        <v>60000887.377642579</v>
      </c>
      <c r="U13" s="277"/>
    </row>
    <row r="14" spans="2:21" ht="15.75" thickTop="1"/>
    <row r="15" spans="2:21" s="289" customFormat="1">
      <c r="T15" s="290"/>
    </row>
    <row r="16" spans="2:21">
      <c r="B16" t="s">
        <v>354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353</v>
      </c>
      <c r="P16" s="41">
        <v>1932595.1</v>
      </c>
      <c r="S16" t="s">
        <v>352</v>
      </c>
      <c r="T16" s="282">
        <f ca="1">OFFSET('Historical NAV'!B1,COUNT('Historical NAV'!A:A),,,)</f>
        <v>60426206.230531901</v>
      </c>
    </row>
    <row r="17" spans="2:21">
      <c r="B17" t="s">
        <v>355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394</v>
      </c>
      <c r="T17" s="69">
        <f>T13</f>
        <v>60000887.377642579</v>
      </c>
    </row>
    <row r="18" spans="2:21">
      <c r="B18" t="s">
        <v>356</v>
      </c>
      <c r="D18" s="298">
        <v>6.3647245670425387E-2</v>
      </c>
      <c r="E18" s="298">
        <f ca="1">Dashboard!$B$4</f>
        <v>-2.1771986564069066E-2</v>
      </c>
      <c r="F18" s="298"/>
      <c r="G18" s="298"/>
      <c r="H18" s="298"/>
      <c r="I18" s="8">
        <f ca="1">Dashboard!B9</f>
        <v>-2.1771986564069066E-2</v>
      </c>
      <c r="J18" s="8">
        <f ca="1">Dashboard!B5</f>
        <v>-3.0632388516009024E-2</v>
      </c>
      <c r="K18" s="8"/>
      <c r="L18" s="69">
        <f ca="1">Dashboard!B6</f>
        <v>-3.0632388516009024E-2</v>
      </c>
      <c r="O18" s="69"/>
      <c r="T18" s="284">
        <f ca="1">T16-T17</f>
        <v>425318.85288932174</v>
      </c>
    </row>
    <row r="19" spans="2:21">
      <c r="B19" t="s">
        <v>357</v>
      </c>
      <c r="D19" s="298">
        <v>0</v>
      </c>
      <c r="E19" s="298"/>
      <c r="F19" s="298"/>
      <c r="G19" s="298"/>
      <c r="H19" s="298"/>
      <c r="J19">
        <f>SUM(D19:H19)</f>
        <v>0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4"/>
  <sheetViews>
    <sheetView workbookViewId="0">
      <selection activeCell="D5" sqref="D5:D7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370</v>
      </c>
      <c r="B1" s="282" t="s">
        <v>349</v>
      </c>
      <c r="C1" t="s">
        <v>371</v>
      </c>
      <c r="D1" s="282" t="s">
        <v>372</v>
      </c>
      <c r="F1" t="s">
        <v>150</v>
      </c>
      <c r="G1" t="s">
        <v>150</v>
      </c>
    </row>
    <row r="2" spans="1:7">
      <c r="A2" t="s">
        <v>370</v>
      </c>
      <c r="B2" s="282" t="s">
        <v>350</v>
      </c>
      <c r="C2" t="s">
        <v>343</v>
      </c>
      <c r="D2" s="282">
        <v>71204832.621444106</v>
      </c>
      <c r="F2" t="s">
        <v>349</v>
      </c>
      <c r="G2" t="s">
        <v>350</v>
      </c>
    </row>
    <row r="3" spans="1:7">
      <c r="A3" t="s">
        <v>370</v>
      </c>
      <c r="B3" s="282" t="s">
        <v>350</v>
      </c>
      <c r="C3" t="s">
        <v>344</v>
      </c>
      <c r="D3" s="282">
        <v>-1580418.59830147</v>
      </c>
      <c r="F3" t="s">
        <v>165</v>
      </c>
      <c r="G3" t="s">
        <v>20</v>
      </c>
    </row>
    <row r="4" spans="1:7">
      <c r="A4" t="s">
        <v>370</v>
      </c>
      <c r="B4" s="282" t="s">
        <v>350</v>
      </c>
      <c r="C4" t="s">
        <v>345</v>
      </c>
      <c r="D4" s="282">
        <v>-9000000</v>
      </c>
      <c r="F4" t="s">
        <v>44</v>
      </c>
      <c r="G4">
        <v>0.42421916500000001</v>
      </c>
    </row>
    <row r="5" spans="1:7">
      <c r="A5" t="s">
        <v>370</v>
      </c>
      <c r="B5" s="282" t="s">
        <v>350</v>
      </c>
      <c r="C5" t="s">
        <v>424</v>
      </c>
      <c r="D5" s="282">
        <v>49967.11</v>
      </c>
      <c r="F5" t="s">
        <v>320</v>
      </c>
      <c r="G5">
        <v>-0.33733595799999999</v>
      </c>
    </row>
    <row r="6" spans="1:7">
      <c r="A6" t="s">
        <v>370</v>
      </c>
      <c r="B6" s="282" t="s">
        <v>350</v>
      </c>
      <c r="C6" t="s">
        <v>425</v>
      </c>
      <c r="D6" s="282">
        <v>-10420.459999999999</v>
      </c>
      <c r="F6" t="s">
        <v>321</v>
      </c>
      <c r="G6">
        <v>-0.28684740199999997</v>
      </c>
    </row>
    <row r="7" spans="1:7">
      <c r="A7" t="s">
        <v>370</v>
      </c>
      <c r="B7" s="282" t="s">
        <v>350</v>
      </c>
      <c r="C7" t="s">
        <v>346</v>
      </c>
      <c r="D7" s="282">
        <v>3350.4273134999999</v>
      </c>
    </row>
    <row r="8" spans="1:7">
      <c r="A8" t="s">
        <v>370</v>
      </c>
      <c r="B8" s="282" t="s">
        <v>350</v>
      </c>
      <c r="C8" t="s">
        <v>420</v>
      </c>
      <c r="D8" s="282">
        <v>-540990.49269069999</v>
      </c>
      <c r="F8" t="s">
        <v>351</v>
      </c>
      <c r="G8">
        <v>-2.6720980770000002</v>
      </c>
    </row>
    <row r="9" spans="1:7">
      <c r="A9" t="s">
        <v>370</v>
      </c>
      <c r="B9" s="282" t="s">
        <v>350</v>
      </c>
      <c r="C9" t="s">
        <v>347</v>
      </c>
      <c r="D9" s="282">
        <v>302349.77544920001</v>
      </c>
    </row>
    <row r="10" spans="1:7">
      <c r="A10" t="s">
        <v>370</v>
      </c>
      <c r="B10" s="282" t="s">
        <v>350</v>
      </c>
      <c r="C10" t="s">
        <v>43</v>
      </c>
      <c r="D10" s="282">
        <v>-188.39</v>
      </c>
    </row>
    <row r="11" spans="1:7">
      <c r="A11" t="s">
        <v>370</v>
      </c>
      <c r="B11" s="282" t="s">
        <v>350</v>
      </c>
      <c r="C11" t="s">
        <v>18</v>
      </c>
      <c r="D11" s="282">
        <v>-1894.65048</v>
      </c>
    </row>
    <row r="12" spans="1:7">
      <c r="A12" t="s">
        <v>370</v>
      </c>
      <c r="B12" s="282" t="s">
        <v>350</v>
      </c>
      <c r="C12" t="s">
        <v>410</v>
      </c>
      <c r="D12" s="282">
        <v>-402.28285942999997</v>
      </c>
    </row>
    <row r="13" spans="1:7">
      <c r="A13" t="s">
        <v>370</v>
      </c>
      <c r="B13" s="282" t="s">
        <v>350</v>
      </c>
      <c r="C13" t="s">
        <v>348</v>
      </c>
      <c r="D13" s="282">
        <v>21.170656699999999</v>
      </c>
    </row>
    <row r="14" spans="1:7">
      <c r="A14" t="s">
        <v>370</v>
      </c>
      <c r="B14" s="282" t="s">
        <v>350</v>
      </c>
      <c r="C14" t="s">
        <v>325</v>
      </c>
      <c r="D14" s="282">
        <v>60426206.230531901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60426206.230531901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-1778626.3909121975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-3.0632388516009024E-2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1.4228040081612159E-2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-2.1771986564069066E-2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4" t="s">
        <v>10</v>
      </c>
      <c r="D2" s="315"/>
      <c r="E2" s="314" t="s">
        <v>11</v>
      </c>
      <c r="F2" s="315"/>
      <c r="G2" s="314" t="s">
        <v>12</v>
      </c>
      <c r="H2" s="316"/>
      <c r="I2" s="316"/>
      <c r="J2" s="316"/>
      <c r="K2" s="315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19" t="s">
        <v>129</v>
      </c>
      <c r="O3" s="319"/>
      <c r="P3" s="319"/>
      <c r="Q3" s="319"/>
      <c r="R3" s="319"/>
      <c r="S3" s="319"/>
      <c r="T3" s="319"/>
      <c r="U3" s="319"/>
      <c r="V3" s="319"/>
      <c r="W3" s="319"/>
      <c r="X3" s="319"/>
      <c r="Z3" s="2"/>
      <c r="AA3" s="2"/>
    </row>
    <row r="4" spans="1:27" ht="16.5" customHeight="1">
      <c r="B4" s="313" t="s">
        <v>23</v>
      </c>
      <c r="C4" s="313"/>
      <c r="D4" s="313"/>
      <c r="E4" s="313"/>
      <c r="F4" s="313"/>
      <c r="G4" s="313"/>
      <c r="H4" s="313"/>
      <c r="I4" s="313"/>
      <c r="J4" s="313"/>
      <c r="K4" s="313"/>
      <c r="L4" s="313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20" t="s">
        <v>130</v>
      </c>
      <c r="O52" s="320"/>
      <c r="P52" s="320"/>
      <c r="Q52" s="320"/>
      <c r="R52" s="321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19" t="s">
        <v>244</v>
      </c>
      <c r="O53" s="319"/>
      <c r="P53" s="319"/>
      <c r="Q53" s="319"/>
      <c r="R53" s="319"/>
      <c r="S53" s="319"/>
      <c r="T53" s="319"/>
      <c r="U53" s="319"/>
      <c r="V53" s="319"/>
      <c r="W53" s="319"/>
      <c r="X53" s="319"/>
    </row>
    <row r="54" spans="2:24" ht="15" customHeight="1">
      <c r="B54" s="311" t="s">
        <v>27</v>
      </c>
      <c r="C54" s="311"/>
      <c r="D54" s="311"/>
      <c r="E54" s="311"/>
      <c r="F54" s="312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13" t="s">
        <v>129</v>
      </c>
      <c r="C55" s="313"/>
      <c r="D55" s="313"/>
      <c r="E55" s="313"/>
      <c r="F55" s="313"/>
      <c r="G55" s="313"/>
      <c r="H55" s="313"/>
      <c r="I55" s="313"/>
      <c r="J55" s="313"/>
      <c r="K55" s="313"/>
      <c r="L55" s="313"/>
      <c r="N55" s="320" t="s">
        <v>246</v>
      </c>
      <c r="O55" s="320"/>
      <c r="P55" s="320"/>
      <c r="Q55" s="320"/>
      <c r="R55" s="321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19" t="s">
        <v>247</v>
      </c>
      <c r="O56" s="319"/>
      <c r="P56" s="319"/>
      <c r="Q56" s="319"/>
      <c r="R56" s="319"/>
      <c r="S56" s="319"/>
      <c r="T56" s="319"/>
      <c r="U56" s="319"/>
      <c r="V56" s="319"/>
      <c r="W56" s="319"/>
      <c r="X56" s="319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20" t="s">
        <v>266</v>
      </c>
      <c r="O75" s="320"/>
      <c r="P75" s="320"/>
      <c r="Q75" s="320"/>
      <c r="R75" s="321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11" t="s">
        <v>130</v>
      </c>
      <c r="C104" s="311"/>
      <c r="D104" s="311"/>
      <c r="E104" s="311"/>
      <c r="F104" s="312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13" t="s">
        <v>244</v>
      </c>
      <c r="C105" s="313"/>
      <c r="D105" s="313"/>
      <c r="E105" s="313"/>
      <c r="F105" s="313"/>
      <c r="G105" s="313"/>
      <c r="H105" s="313"/>
      <c r="I105" s="313"/>
      <c r="J105" s="313"/>
      <c r="K105" s="313"/>
      <c r="L105" s="313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11" t="s">
        <v>246</v>
      </c>
      <c r="C107" s="311"/>
      <c r="D107" s="311"/>
      <c r="E107" s="311"/>
      <c r="F107" s="312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13" t="s">
        <v>247</v>
      </c>
      <c r="C108" s="313"/>
      <c r="D108" s="313"/>
      <c r="E108" s="313"/>
      <c r="F108" s="313"/>
      <c r="G108" s="313"/>
      <c r="H108" s="313"/>
      <c r="I108" s="313"/>
      <c r="J108" s="313"/>
      <c r="K108" s="313"/>
      <c r="L108" s="313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11" t="s">
        <v>266</v>
      </c>
      <c r="C127" s="311"/>
      <c r="D127" s="311"/>
      <c r="E127" s="311"/>
      <c r="F127" s="312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13" t="s">
        <v>28</v>
      </c>
      <c r="C128" s="313"/>
      <c r="D128" s="313"/>
      <c r="E128" s="313"/>
      <c r="F128" s="313"/>
      <c r="G128" s="313"/>
      <c r="H128" s="313"/>
      <c r="I128" s="313"/>
      <c r="J128" s="313"/>
      <c r="K128" s="313"/>
      <c r="L128" s="313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11" t="s">
        <v>39</v>
      </c>
      <c r="C139" s="311"/>
      <c r="D139" s="311"/>
      <c r="E139" s="311"/>
      <c r="F139" s="312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11" t="s">
        <v>40</v>
      </c>
      <c r="C140" s="311"/>
      <c r="D140" s="311"/>
      <c r="E140" s="311"/>
      <c r="F140" s="312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17" t="s">
        <v>41</v>
      </c>
      <c r="C141" s="317"/>
      <c r="D141" s="317"/>
      <c r="E141" s="317"/>
      <c r="F141" s="317"/>
      <c r="G141" s="317"/>
      <c r="H141" s="317"/>
      <c r="I141" s="317"/>
      <c r="J141" s="318"/>
      <c r="K141" s="191">
        <v>-854078.19</v>
      </c>
      <c r="L141" s="192"/>
      <c r="T141" s="3"/>
    </row>
    <row r="142" spans="2:20">
      <c r="B142" s="317" t="s">
        <v>43</v>
      </c>
      <c r="C142" s="317"/>
      <c r="D142" s="317"/>
      <c r="E142" s="317"/>
      <c r="F142" s="317"/>
      <c r="G142" s="317"/>
      <c r="H142" s="317"/>
      <c r="I142" s="317"/>
      <c r="J142" s="318"/>
      <c r="K142" s="189">
        <v>-167.75</v>
      </c>
      <c r="L142" s="192"/>
    </row>
    <row r="143" spans="2:20">
      <c r="B143" s="311" t="s">
        <v>133</v>
      </c>
      <c r="C143" s="311"/>
      <c r="D143" s="311"/>
      <c r="E143" s="311"/>
      <c r="F143" s="311"/>
      <c r="G143" s="311"/>
      <c r="H143" s="311"/>
      <c r="I143" s="311"/>
      <c r="J143" s="312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  <mergeCell ref="B104:F104"/>
    <mergeCell ref="B105:L105"/>
    <mergeCell ref="C2:D2"/>
    <mergeCell ref="E2:F2"/>
    <mergeCell ref="G2:K2"/>
    <mergeCell ref="B4:L4"/>
    <mergeCell ref="B54:F5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4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4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>
        <f>'Historical NAV'!A1171</f>
        <v>45663</v>
      </c>
      <c r="B1171" s="173">
        <f>'Historical NAV'!B1171</f>
        <v>68445979.203684106</v>
      </c>
      <c r="C1171" s="173">
        <f>'Historical NAV'!C1171</f>
        <v>0</v>
      </c>
      <c r="D1171" s="173" t="e">
        <f>'Historical NAV'!#REF!</f>
        <v>#REF!</v>
      </c>
      <c r="E1171" s="173" t="e">
        <f>'Historical NAV'!#REF!</f>
        <v>#REF!</v>
      </c>
      <c r="F1171" s="67">
        <f t="shared" ref="F1171" si="676">B1171</f>
        <v>68445979.203684106</v>
      </c>
      <c r="G1171" s="67">
        <f t="shared" ref="G1171" si="677">IF(MONTH(A1171)=MONTH(A1170),G1170,F1170)</f>
        <v>71204832.621444106</v>
      </c>
      <c r="H1171" s="176">
        <f>B1171-C1171-F1170-'Daily P&amp;L breakdown'!H179</f>
        <v>2194542.165305505</v>
      </c>
      <c r="I1171" s="70">
        <f t="shared" ref="I1171" si="678">H1171/B1170</f>
        <v>3.3076155892345291E-2</v>
      </c>
      <c r="J1171" s="67">
        <f t="shared" ref="J1171" si="679">IF(MONTH(A1171)=MONTH(A1170),J1170+H1171,H1171)</f>
        <v>6225896.3922400083</v>
      </c>
      <c r="K1171" s="70">
        <f t="shared" ref="K1171" si="680">(1+K1170)*(1+I1171)-1</f>
        <v>0.1837522696202778</v>
      </c>
      <c r="L1171" s="70">
        <f t="shared" ref="L1171" si="681">1+I1171</f>
        <v>1.0330761558923454</v>
      </c>
      <c r="M1171" s="70">
        <f>PRODUCT($L$2:L1171)-1</f>
        <v>0.52849832292843635</v>
      </c>
      <c r="N1171" s="70">
        <f>PRODUCT($L$909:L1171)-1</f>
        <v>0.20784051022815997</v>
      </c>
      <c r="O1171" s="70">
        <f>AVERAGE($I$909:I1171)*252</f>
        <v>0.30507259563367295</v>
      </c>
      <c r="P1171" s="70">
        <f>STDEV($I$909:I1171)*252^0.5</f>
        <v>0.49730505932978669</v>
      </c>
      <c r="Q1171" s="67">
        <f t="shared" ref="Q1171" si="682">B1171-C1171-F1140</f>
        <v>-6910836.8264842927</v>
      </c>
      <c r="R1171" s="70">
        <f t="shared" ref="R1171" si="683">Q1171/B1140</f>
        <v>-9.170818501298679E-2</v>
      </c>
      <c r="S1171" s="67">
        <f t="shared" ref="S1171" si="684">B1171-C1171-F1080</f>
        <v>8182113.0878064036</v>
      </c>
      <c r="T1171" s="70">
        <f t="shared" ref="T1171" si="685">S1171/B1080</f>
        <v>0.13577146000015197</v>
      </c>
      <c r="U1171" s="67">
        <f t="shared" ref="U1171" si="686">B1171-C1171-F805</f>
        <v>30675369.54368411</v>
      </c>
      <c r="V1171" s="70">
        <f t="shared" ref="V1171" si="687">U1171/B805</f>
        <v>0.81214917682861976</v>
      </c>
      <c r="W1171" s="87">
        <f t="shared" ref="W1171" si="688">O1171/P1171</f>
        <v>0.61345162272190912</v>
      </c>
      <c r="X1171" s="142">
        <f t="shared" si="192"/>
        <v>1.7857142857142857E-4</v>
      </c>
      <c r="Y1171" s="139">
        <f t="shared" ref="Y1171" si="689">I1171-X1171</f>
        <v>3.289758446377386E-2</v>
      </c>
      <c r="Z1171" s="139">
        <f t="shared" ref="Z1171" si="690">IF(Y1171&lt;0,Y1171,0)</f>
        <v>0</v>
      </c>
      <c r="AA1171" s="139">
        <f t="shared" ref="AA1171" si="691">Z1171^2</f>
        <v>0</v>
      </c>
      <c r="AB1171" s="144">
        <f t="shared" ref="AB1171" si="692">AVERAGE(Y918:Y1171)/AVERAGE(AA918:AA1171)</f>
        <v>3.1426886188258916</v>
      </c>
      <c r="AC1171" s="144">
        <f t="shared" ref="AC1171" si="693">AVERAGE(I1140:I1171)-_xlfn.NORM.S.INV(0.95)*_xlfn.STDEV.S(I1140:I1171)</f>
        <v>-3.6820617686536827E-2</v>
      </c>
      <c r="AD1171" s="144">
        <f t="shared" ref="AD1171" si="694">AVERAGE(I1080:I1171)-_xlfn.NORM.S.INV(0.95)*_xlfn.STDEV.S(I1080:I1171)</f>
        <v>-4.2442355476737872E-2</v>
      </c>
      <c r="AE1171" s="144">
        <f t="shared" ref="AE1171" si="695">AVERAGE(I805:I1171)-_xlfn.NORM.S.INV(0.95)*_xlfn.STDEV.S(I805:I1171)</f>
        <v>-4.791201617788983E-2</v>
      </c>
    </row>
    <row r="1172" spans="1:31">
      <c r="A1172" s="172">
        <f>'Historical NAV'!A1172</f>
        <v>45664</v>
      </c>
      <c r="B1172" s="173">
        <f>'Historical NAV'!B1172</f>
        <v>64784770.194913499</v>
      </c>
      <c r="C1172" s="173">
        <f>'Historical NAV'!C1172</f>
        <v>0</v>
      </c>
      <c r="D1172" s="173" t="e">
        <f>'Historical NAV'!#REF!</f>
        <v>#REF!</v>
      </c>
      <c r="E1172" s="173" t="e">
        <f>'Historical NAV'!#REF!</f>
        <v>#REF!</v>
      </c>
      <c r="F1172" s="67">
        <f t="shared" ref="F1172" si="696">B1172</f>
        <v>64784770.194913499</v>
      </c>
      <c r="G1172" s="67">
        <f t="shared" ref="G1172" si="697">IF(MONTH(A1172)=MONTH(A1171),G1171,F1171)</f>
        <v>71204832.621444106</v>
      </c>
      <c r="H1172" s="176">
        <f>B1172-C1172-F1171-'Daily P&amp;L breakdown'!H180</f>
        <v>-3736400.5787706072</v>
      </c>
      <c r="I1172" s="70">
        <f t="shared" ref="I1172" si="698">H1172/B1171</f>
        <v>-5.4589044122689612E-2</v>
      </c>
      <c r="J1172" s="67">
        <f t="shared" ref="J1172" si="699">IF(MONTH(A1172)=MONTH(A1171),J1171+H1172,H1172)</f>
        <v>2489495.8134694011</v>
      </c>
      <c r="K1172" s="70">
        <f t="shared" ref="K1172" si="700">(1+K1171)*(1+I1172)-1</f>
        <v>0.11913236474364242</v>
      </c>
      <c r="L1172" s="70">
        <f t="shared" ref="L1172" si="701">1+I1172</f>
        <v>0.94541095587731039</v>
      </c>
      <c r="M1172" s="70">
        <f>PRODUCT($L$2:L1172)-1</f>
        <v>0.44505906053663891</v>
      </c>
      <c r="N1172" s="70">
        <f>PRODUCT($L$909:L1172)-1</f>
        <v>0.14190565132214306</v>
      </c>
      <c r="O1172" s="70">
        <f>AVERAGE($I$909:I1172)*252</f>
        <v>0.25180929368461435</v>
      </c>
      <c r="P1172" s="70">
        <f>STDEV($I$909:I1172)*252^0.5</f>
        <v>0.49934361374627606</v>
      </c>
      <c r="Q1172" s="67">
        <f t="shared" ref="Q1172" si="702">B1172-C1172-F1141</f>
        <v>-10346761.451548494</v>
      </c>
      <c r="R1172" s="70">
        <f t="shared" ref="R1172" si="703">Q1172/B1141</f>
        <v>-0.13771530041788696</v>
      </c>
      <c r="S1172" s="67">
        <f t="shared" ref="S1172" si="704">B1172-C1172-F1081</f>
        <v>2579762.032191202</v>
      </c>
      <c r="T1172" s="70">
        <f t="shared" ref="T1172" si="705">S1172/B1081</f>
        <v>4.1471934630131282E-2</v>
      </c>
      <c r="U1172" s="67">
        <f t="shared" ref="U1172" si="706">B1172-C1172-F806</f>
        <v>27644989.484913498</v>
      </c>
      <c r="V1172" s="70">
        <f t="shared" ref="V1172" si="707">U1172/B806</f>
        <v>0.74434983073203764</v>
      </c>
      <c r="W1172" s="87">
        <f t="shared" ref="W1172" si="708">O1172/P1172</f>
        <v>0.50428059306784767</v>
      </c>
      <c r="X1172" s="142">
        <f t="shared" si="192"/>
        <v>1.7857142857142857E-4</v>
      </c>
      <c r="Y1172" s="139">
        <f t="shared" ref="Y1172" si="709">I1172-X1172</f>
        <v>-5.4767615551261042E-2</v>
      </c>
      <c r="Z1172" s="139">
        <f t="shared" ref="Z1172" si="710">IF(Y1172&lt;0,Y1172,0)</f>
        <v>-5.4767615551261042E-2</v>
      </c>
      <c r="AA1172" s="139">
        <f t="shared" ref="AA1172" si="711">Z1172^2</f>
        <v>2.9994917131707303E-3</v>
      </c>
      <c r="AB1172" s="144">
        <f t="shared" ref="AB1172" si="712">AVERAGE(Y919:Y1172)/AVERAGE(AA919:AA1172)</f>
        <v>2.6792493827861774</v>
      </c>
      <c r="AC1172" s="144">
        <f t="shared" ref="AC1172" si="713">AVERAGE(I1141:I1172)-_xlfn.NORM.S.INV(0.95)*_xlfn.STDEV.S(I1141:I1172)</f>
        <v>-4.2017401515694407E-2</v>
      </c>
      <c r="AD1172" s="144">
        <f t="shared" ref="AD1172" si="714">AVERAGE(I1081:I1172)-_xlfn.NORM.S.INV(0.95)*_xlfn.STDEV.S(I1081:I1172)</f>
        <v>-4.3756650009922543E-2</v>
      </c>
      <c r="AE1172" s="144">
        <f t="shared" ref="AE1172" si="715">AVERAGE(I806:I1172)-_xlfn.NORM.S.INV(0.95)*_xlfn.STDEV.S(I806:I1172)</f>
        <v>-4.8275884064888239E-2</v>
      </c>
    </row>
    <row r="1173" spans="1:31">
      <c r="A1173" s="172">
        <f>'Historical NAV'!A1173</f>
        <v>45665</v>
      </c>
      <c r="B1173" s="173">
        <f>'Historical NAV'!B1173</f>
        <v>64378423.867367402</v>
      </c>
      <c r="C1173" s="173">
        <f>'Historical NAV'!C1173</f>
        <v>0</v>
      </c>
      <c r="D1173" s="173" t="e">
        <f>'Historical NAV'!#REF!</f>
        <v>#REF!</v>
      </c>
      <c r="E1173" s="173" t="e">
        <f>'Historical NAV'!#REF!</f>
        <v>#REF!</v>
      </c>
      <c r="F1173" s="67">
        <f t="shared" ref="F1173" si="716">B1173</f>
        <v>64378423.867367402</v>
      </c>
      <c r="G1173" s="67">
        <f t="shared" ref="G1173" si="717">IF(MONTH(A1173)=MONTH(A1172),G1172,F1172)</f>
        <v>71204832.621444106</v>
      </c>
      <c r="H1173" s="176">
        <f>B1173-C1173-F1172-'Daily P&amp;L breakdown'!H181</f>
        <v>-438980.17754609731</v>
      </c>
      <c r="I1173" s="70">
        <f t="shared" ref="I1173" si="718">H1173/B1172</f>
        <v>-6.7759779995416785E-3</v>
      </c>
      <c r="J1173" s="67">
        <f t="shared" ref="J1173" si="719">IF(MONTH(A1173)=MONTH(A1172),J1172+H1173,H1173)</f>
        <v>2050515.6359233037</v>
      </c>
      <c r="K1173" s="70">
        <f t="shared" ref="K1173" si="720">(1+K1172)*(1+I1173)-1</f>
        <v>0.1115491484615645</v>
      </c>
      <c r="L1173" s="70">
        <f t="shared" ref="L1173" si="721">1+I1173</f>
        <v>0.99322402200045834</v>
      </c>
      <c r="M1173" s="70">
        <f>PRODUCT($L$2:L1173)-1</f>
        <v>0.43526737213440425</v>
      </c>
      <c r="N1173" s="70">
        <f>PRODUCT($L$909:L1173)-1</f>
        <v>0.13416812375123199</v>
      </c>
      <c r="O1173" s="70">
        <f>AVERAGE($I$909:I1173)*252</f>
        <v>0.24441549840322147</v>
      </c>
      <c r="P1173" s="70">
        <f>STDEV($I$909:I1173)*252^0.5</f>
        <v>0.49845465988978127</v>
      </c>
      <c r="Q1173" s="67">
        <f t="shared" ref="Q1173" si="722">B1173-C1173-F1142</f>
        <v>-9402758.5361699015</v>
      </c>
      <c r="R1173" s="70">
        <f t="shared" ref="R1173" si="723">Q1173/B1142</f>
        <v>-0.1274411473205003</v>
      </c>
      <c r="S1173" s="67">
        <f t="shared" ref="S1173" si="724">B1173-C1173-F1082</f>
        <v>2417034.1727496982</v>
      </c>
      <c r="T1173" s="70">
        <f t="shared" ref="T1173" si="725">S1173/B1082</f>
        <v>3.9008714695752775E-2</v>
      </c>
      <c r="U1173" s="67">
        <f t="shared" ref="U1173" si="726">B1173-C1173-F807</f>
        <v>27318552.547367401</v>
      </c>
      <c r="V1173" s="70">
        <f t="shared" ref="V1173" si="727">U1173/B807</f>
        <v>0.73714644909261928</v>
      </c>
      <c r="W1173" s="87">
        <f t="shared" ref="W1173" si="728">O1173/P1173</f>
        <v>0.49034650103836291</v>
      </c>
      <c r="X1173" s="142">
        <f t="shared" si="192"/>
        <v>1.7857142857142857E-4</v>
      </c>
      <c r="Y1173" s="139">
        <f t="shared" ref="Y1173" si="729">I1173-X1173</f>
        <v>-6.9545494281131074E-3</v>
      </c>
      <c r="Z1173" s="139">
        <f t="shared" ref="Z1173" si="730">IF(Y1173&lt;0,Y1173,0)</f>
        <v>-6.9545494281131074E-3</v>
      </c>
      <c r="AA1173" s="139">
        <f t="shared" ref="AA1173" si="731">Z1173^2</f>
        <v>4.8365757748068348E-5</v>
      </c>
      <c r="AB1173" s="144">
        <f t="shared" ref="AB1173" si="732">AVERAGE(Y920:Y1173)/AVERAGE(AA920:AA1173)</f>
        <v>2.6293408551529258</v>
      </c>
      <c r="AC1173" s="144">
        <f t="shared" ref="AC1173" si="733">AVERAGE(I1142:I1173)-_xlfn.NORM.S.INV(0.95)*_xlfn.STDEV.S(I1142:I1173)</f>
        <v>-4.2149742913038885E-2</v>
      </c>
      <c r="AD1173" s="144">
        <f t="shared" ref="AD1173" si="734">AVERAGE(I1082:I1173)-_xlfn.NORM.S.INV(0.95)*_xlfn.STDEV.S(I1082:I1173)</f>
        <v>-4.3917580521928332E-2</v>
      </c>
      <c r="AE1173" s="144">
        <f t="shared" ref="AE1173" si="735">AVERAGE(I807:I1173)-_xlfn.NORM.S.INV(0.95)*_xlfn.STDEV.S(I807:I1173)</f>
        <v>-4.8229076455636608E-2</v>
      </c>
    </row>
    <row r="1174" spans="1:31">
      <c r="A1174" s="172">
        <f>'Historical NAV'!A1174</f>
        <v>45666</v>
      </c>
      <c r="B1174" s="173">
        <f>'Historical NAV'!B1174</f>
        <v>64340660.011150397</v>
      </c>
      <c r="C1174" s="173">
        <f>'Historical NAV'!C1174</f>
        <v>0</v>
      </c>
      <c r="D1174" s="173" t="e">
        <f>'Historical NAV'!#REF!</f>
        <v>#REF!</v>
      </c>
      <c r="E1174" s="173" t="e">
        <f>'Historical NAV'!#REF!</f>
        <v>#REF!</v>
      </c>
      <c r="F1174" s="67">
        <f t="shared" ref="F1174" si="736">B1174</f>
        <v>64340660.011150397</v>
      </c>
      <c r="G1174" s="67">
        <f t="shared" ref="G1174" si="737">IF(MONTH(A1174)=MONTH(A1173),G1173,F1173)</f>
        <v>71204832.621444106</v>
      </c>
      <c r="H1174" s="176">
        <f>B1174-C1174-F1173-'Daily P&amp;L breakdown'!H182</f>
        <v>-42788.386217004358</v>
      </c>
      <c r="I1174" s="70">
        <f t="shared" ref="I1174" si="738">H1174/B1173</f>
        <v>-6.6463861099111561E-4</v>
      </c>
      <c r="J1174" s="67">
        <f t="shared" ref="J1174" si="739">IF(MONTH(A1174)=MONTH(A1173),J1173+H1174,H1174)</f>
        <v>2007727.2497062993</v>
      </c>
      <c r="K1174" s="70">
        <f t="shared" ref="K1174" si="740">(1+K1173)*(1+I1174)-1</f>
        <v>0.11081036997948268</v>
      </c>
      <c r="L1174" s="70">
        <f t="shared" ref="L1174" si="741">1+I1174</f>
        <v>0.99933536138900891</v>
      </c>
      <c r="M1174" s="70">
        <f>PRODUCT($L$2:L1174)-1</f>
        <v>0.43431343802178812</v>
      </c>
      <c r="N1174" s="70">
        <f>PRODUCT($L$909:L1174)-1</f>
        <v>0.13341431182483166</v>
      </c>
      <c r="O1174" s="70">
        <f>AVERAGE($I$909:I1174)*252</f>
        <v>0.24286698551460123</v>
      </c>
      <c r="P1174" s="70">
        <f>STDEV($I$909:I1174)*252^0.5</f>
        <v>0.49751583422874729</v>
      </c>
      <c r="Q1174" s="67">
        <f t="shared" ref="Q1174" si="742">B1174-C1174-F1143</f>
        <v>-9648307.5048066005</v>
      </c>
      <c r="R1174" s="70">
        <f t="shared" ref="R1174" si="743">Q1174/B1143</f>
        <v>-0.13040197516914634</v>
      </c>
      <c r="S1174" s="67">
        <f t="shared" ref="S1174" si="744">B1174-C1174-F1083</f>
        <v>8642026.9040554985</v>
      </c>
      <c r="T1174" s="70">
        <f t="shared" ref="T1174" si="745">S1174/B1083</f>
        <v>0.15515689384044642</v>
      </c>
      <c r="U1174" s="67">
        <f t="shared" ref="U1174" si="746">B1174-C1174-F808</f>
        <v>27830965.941150397</v>
      </c>
      <c r="V1174" s="70">
        <f t="shared" ref="V1174" si="747">U1174/B808</f>
        <v>0.76228976029736417</v>
      </c>
      <c r="W1174" s="87">
        <f t="shared" ref="W1174" si="748">O1174/P1174</f>
        <v>0.48815930831848886</v>
      </c>
      <c r="X1174" s="142">
        <f t="shared" si="192"/>
        <v>1.7857142857142857E-4</v>
      </c>
      <c r="Y1174" s="139">
        <f t="shared" ref="Y1174" si="749">I1174-X1174</f>
        <v>-8.4321003956254416E-4</v>
      </c>
      <c r="Z1174" s="139">
        <f t="shared" ref="Z1174" si="750">IF(Y1174&lt;0,Y1174,0)</f>
        <v>-8.4321003956254416E-4</v>
      </c>
      <c r="AA1174" s="139">
        <f t="shared" ref="AA1174" si="751">Z1174^2</f>
        <v>7.1100317081906732E-7</v>
      </c>
      <c r="AB1174" s="144">
        <f t="shared" ref="AB1174" si="752">AVERAGE(Y921:Y1174)/AVERAGE(AA921:AA1174)</f>
        <v>2.7960136083032743</v>
      </c>
      <c r="AC1174" s="144">
        <f t="shared" ref="AC1174" si="753">AVERAGE(I1143:I1174)-_xlfn.NORM.S.INV(0.95)*_xlfn.STDEV.S(I1143:I1174)</f>
        <v>-4.1166355493530662E-2</v>
      </c>
      <c r="AD1174" s="144">
        <f t="shared" ref="AD1174" si="754">AVERAGE(I1083:I1174)-_xlfn.NORM.S.INV(0.95)*_xlfn.STDEV.S(I1083:I1174)</f>
        <v>-4.3872376842952081E-2</v>
      </c>
      <c r="AE1174" s="144">
        <f t="shared" ref="AE1174" si="755">AVERAGE(I808:I1174)-_xlfn.NORM.S.INV(0.95)*_xlfn.STDEV.S(I808:I1174)</f>
        <v>-4.822433292430009E-2</v>
      </c>
    </row>
    <row r="1175" spans="1:31">
      <c r="A1175" s="172"/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A1176" s="172"/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6:31">
      <c r="F1221" s="67"/>
      <c r="G1221" s="67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6:31">
      <c r="F1222" s="67"/>
      <c r="G1222" s="67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6:31">
      <c r="F1223" s="67"/>
      <c r="G1223" s="67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  <c r="AD1223" s="144"/>
      <c r="AE1223" s="144"/>
    </row>
    <row r="1224" spans="6:31">
      <c r="F1224" s="67"/>
      <c r="G1224" s="67"/>
      <c r="H1224" s="67"/>
      <c r="I1224" s="70"/>
      <c r="J1224" s="67"/>
      <c r="K1224" s="70"/>
      <c r="L1224" s="70"/>
      <c r="M1224" s="70"/>
      <c r="N1224" s="70"/>
      <c r="O1224" s="70"/>
      <c r="P1224" s="70"/>
      <c r="Q1224" s="67"/>
      <c r="R1224" s="70"/>
      <c r="S1224" s="67"/>
      <c r="T1224" s="70"/>
      <c r="U1224" s="67"/>
      <c r="V1224" s="70"/>
      <c r="W1224" s="87"/>
      <c r="X1224" s="142"/>
      <c r="Y1224" s="139"/>
      <c r="Z1224" s="139"/>
      <c r="AA1224" s="139"/>
      <c r="AB1224" s="144"/>
      <c r="AC1224" s="144"/>
      <c r="AD1224" s="144"/>
      <c r="AE1224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36" t="s">
        <v>20</v>
      </c>
      <c r="D5" s="336"/>
      <c r="E5" s="337"/>
      <c r="F5" s="13" t="s">
        <v>46</v>
      </c>
      <c r="G5" s="13" t="s">
        <v>47</v>
      </c>
      <c r="H5" s="13" t="s">
        <v>48</v>
      </c>
      <c r="J5" s="41" t="s">
        <v>92</v>
      </c>
      <c r="K5" s="327" t="s">
        <v>93</v>
      </c>
      <c r="L5" s="327"/>
      <c r="M5" s="327"/>
      <c r="N5" s="327"/>
      <c r="O5" s="327"/>
    </row>
    <row r="6" spans="1:15">
      <c r="A6" s="328" t="s">
        <v>50</v>
      </c>
      <c r="B6" s="329"/>
      <c r="C6" s="335">
        <f ca="1">SUM(F6:H6)</f>
        <v>86672148.311444104</v>
      </c>
      <c r="D6" s="340"/>
      <c r="E6" s="341"/>
      <c r="F6" s="335">
        <f ca="1">OFFSET('Historical NAV'!E1, COUNT('Historical NAV'!A:A),,,)</f>
        <v>71204832.621444106</v>
      </c>
      <c r="G6" s="335">
        <v>15365477.27</v>
      </c>
      <c r="H6" s="335">
        <v>101838.42</v>
      </c>
      <c r="K6" s="327"/>
      <c r="L6" s="327"/>
      <c r="M6" s="327"/>
      <c r="N6" s="327"/>
      <c r="O6" s="327"/>
    </row>
    <row r="7" spans="1:15">
      <c r="A7" s="328"/>
      <c r="B7" s="329"/>
      <c r="C7" s="335"/>
      <c r="D7" s="340"/>
      <c r="E7" s="341"/>
      <c r="F7" s="335"/>
      <c r="G7" s="335"/>
      <c r="H7" s="335"/>
    </row>
    <row r="8" spans="1:15">
      <c r="A8" s="322" t="s">
        <v>52</v>
      </c>
      <c r="B8" s="323"/>
      <c r="C8" s="338">
        <f ca="1">SUM(F8:H8)</f>
        <v>1</v>
      </c>
      <c r="D8" s="342"/>
      <c r="E8" s="343"/>
      <c r="F8" s="338">
        <f ca="1">F6/$C$6</f>
        <v>0.82154226021466104</v>
      </c>
      <c r="G8" s="338">
        <f ca="1">G6/$C$6</f>
        <v>0.17728275541049623</v>
      </c>
      <c r="H8" s="338">
        <f ca="1">H6/$C$6</f>
        <v>1.1749843748427469E-3</v>
      </c>
    </row>
    <row r="9" spans="1:15">
      <c r="A9" s="322"/>
      <c r="B9" s="323"/>
      <c r="C9" s="338"/>
      <c r="D9" s="342"/>
      <c r="E9" s="343"/>
      <c r="F9" s="338"/>
      <c r="G9" s="338"/>
      <c r="H9" s="338"/>
    </row>
    <row r="10" spans="1:15">
      <c r="A10" s="330" t="s">
        <v>53</v>
      </c>
      <c r="B10" s="331"/>
      <c r="C10" s="332" t="e">
        <f ca="1">SUM(F10:H10)</f>
        <v>#REF!</v>
      </c>
      <c r="D10" s="333"/>
      <c r="E10" s="334"/>
      <c r="F10" s="332">
        <f ca="1">OFFSET('Historical NAV'!B1, COUNT('Historical NAV'!A:A),,,)</f>
        <v>60426206.230531901</v>
      </c>
      <c r="G10" s="332" t="e">
        <f>G6+G12</f>
        <v>#REF!</v>
      </c>
      <c r="H10" s="332" t="e">
        <f>H6+H12</f>
        <v>#REF!</v>
      </c>
    </row>
    <row r="11" spans="1:15">
      <c r="A11" s="330"/>
      <c r="B11" s="331"/>
      <c r="C11" s="332"/>
      <c r="D11" s="333"/>
      <c r="E11" s="334"/>
      <c r="F11" s="332"/>
      <c r="G11" s="332"/>
      <c r="H11" s="332"/>
    </row>
    <row r="12" spans="1:15">
      <c r="A12" s="322" t="s">
        <v>54</v>
      </c>
      <c r="B12" s="323"/>
      <c r="C12" s="324" t="e">
        <f ca="1">SUM(F12:H12)</f>
        <v>#REF!</v>
      </c>
      <c r="D12" s="325"/>
      <c r="E12" s="326"/>
      <c r="F12" s="324">
        <f ca="1">OFFSET('Historical NAV'!J1, COUNT('Historical NAV'!A:A),,,)</f>
        <v>-1778626.3909121975</v>
      </c>
      <c r="G12" s="339" t="e">
        <f>G14*G6</f>
        <v>#REF!</v>
      </c>
      <c r="H12" s="324" t="e">
        <f>H14*H6</f>
        <v>#REF!</v>
      </c>
    </row>
    <row r="13" spans="1:15">
      <c r="A13" s="322"/>
      <c r="B13" s="323"/>
      <c r="C13" s="324"/>
      <c r="D13" s="325"/>
      <c r="E13" s="326"/>
      <c r="F13" s="324"/>
      <c r="G13" s="339"/>
      <c r="H13" s="324"/>
    </row>
    <row r="14" spans="1:15">
      <c r="A14" s="330" t="s">
        <v>94</v>
      </c>
      <c r="B14" s="331"/>
      <c r="C14" s="346" t="e">
        <f ca="1">C12/C6</f>
        <v>#REF!</v>
      </c>
      <c r="D14" s="347"/>
      <c r="E14" s="348"/>
      <c r="F14" s="349">
        <f ca="1">OFFSET('Historical NAV'!K1, COUNT('Historical NAV'!A:A),,,)</f>
        <v>-3.0632388516009024E-2</v>
      </c>
      <c r="G14" s="39" t="e">
        <f>IB_html!#REF!</f>
        <v>#REF!</v>
      </c>
      <c r="H14" s="14" t="e">
        <f>IB_html!#REF!</f>
        <v>#REF!</v>
      </c>
    </row>
    <row r="15" spans="1:15">
      <c r="A15" s="330"/>
      <c r="B15" s="331"/>
      <c r="C15" s="346"/>
      <c r="D15" s="347"/>
      <c r="E15" s="348"/>
      <c r="F15" s="349"/>
      <c r="G15" s="15" t="e">
        <f>IB_html!#REF!</f>
        <v>#REF!</v>
      </c>
      <c r="H15" s="15" t="e">
        <f>IB_html!#REF!</f>
        <v>#REF!</v>
      </c>
    </row>
    <row r="16" spans="1:15">
      <c r="A16" s="323" t="s">
        <v>95</v>
      </c>
      <c r="B16" s="323"/>
      <c r="C16" s="16"/>
      <c r="D16" s="16"/>
      <c r="E16" s="17"/>
      <c r="F16" s="324">
        <f ca="1">OFFSET('Historical NAV'!F1, COUNT('Historical NAV'!A:A),,,)</f>
        <v>-1344879.2429772019</v>
      </c>
      <c r="G16" s="324"/>
      <c r="H16" s="324"/>
      <c r="N16" s="8"/>
    </row>
    <row r="17" spans="1:11">
      <c r="A17" s="323"/>
      <c r="B17" s="323"/>
      <c r="C17" s="16"/>
      <c r="D17" s="16"/>
      <c r="E17" s="17"/>
      <c r="F17" s="324"/>
      <c r="G17" s="324"/>
      <c r="H17" s="324"/>
    </row>
    <row r="18" spans="1:11">
      <c r="A18" s="330" t="s">
        <v>57</v>
      </c>
      <c r="B18" s="331"/>
      <c r="C18" s="18"/>
      <c r="D18" s="18"/>
      <c r="E18" s="19"/>
      <c r="F18" s="349">
        <f ca="1">OFFSET('Historical NAV'!G1, COUNT('Historical NAV'!A:A),,,)</f>
        <v>-2.1771986564069066E-2</v>
      </c>
      <c r="G18" s="344"/>
      <c r="H18" s="344"/>
    </row>
    <row r="19" spans="1:11">
      <c r="A19" s="354"/>
      <c r="B19" s="355"/>
      <c r="C19" s="20"/>
      <c r="D19" s="20"/>
      <c r="E19" s="21"/>
      <c r="F19" s="356"/>
      <c r="G19" s="345"/>
      <c r="H19" s="345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36" t="s">
        <v>59</v>
      </c>
      <c r="B21" s="337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52" t="s">
        <v>57</v>
      </c>
      <c r="B22" s="353"/>
      <c r="C22" s="25" t="e">
        <f>_xll.BDP(C27,$A27)/100</f>
        <v>#VALUE!</v>
      </c>
      <c r="D22" s="25" t="e">
        <f>_xll.BDP(D27,$A27)/100</f>
        <v>#VALUE!</v>
      </c>
      <c r="E22" s="26" t="e">
        <f>_xll.BDP(E27,$A27)/100</f>
        <v>#VALUE!</v>
      </c>
      <c r="F22" s="27" t="e">
        <f>_xll.BDP(F27,$A27)/100</f>
        <v>#VALUE!</v>
      </c>
      <c r="G22" s="27" t="e">
        <f>_xll.BDP(G27,$A27)/100</f>
        <v>#VALUE!</v>
      </c>
      <c r="H22" s="25" t="e">
        <f>_xll.BDP(H27,$A27)/100</f>
        <v>#VALUE!</v>
      </c>
    </row>
    <row r="23" spans="1:11">
      <c r="A23" s="350" t="s">
        <v>66</v>
      </c>
      <c r="B23" s="351"/>
      <c r="C23" s="28" t="e">
        <f>_xll.BDP(C27,$A28)/100</f>
        <v>#VALUE!</v>
      </c>
      <c r="D23" s="28" t="e">
        <f>_xll.BDP(D27,$A28)/100</f>
        <v>#VALUE!</v>
      </c>
      <c r="E23" s="29" t="e">
        <f>_xll.BDP(E27,$A28)/100</f>
        <v>#VALUE!</v>
      </c>
      <c r="F23" s="30" t="e">
        <f>_xll.BDP(F27,$A28)/100</f>
        <v>#VALUE!</v>
      </c>
      <c r="G23" s="30" t="e">
        <f>_xll.BDP(G27,$A28)/100</f>
        <v>#VALUE!</v>
      </c>
      <c r="H23" s="28" t="e">
        <f>_xll.BDP(H27,$A28)/100</f>
        <v>#VALUE!</v>
      </c>
    </row>
    <row r="24" spans="1:11" s="1" customFormat="1">
      <c r="A24" s="38"/>
      <c r="B24" s="38"/>
      <c r="C24" s="38" t="str">
        <f>_xll.BDP("")</f>
        <v>#N/A Requesting Data...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23:B23"/>
    <mergeCell ref="A21:B21"/>
    <mergeCell ref="A22:B22"/>
    <mergeCell ref="A16:B17"/>
    <mergeCell ref="F16:F17"/>
    <mergeCell ref="A18:B19"/>
    <mergeCell ref="F18:F19"/>
    <mergeCell ref="G18:G19"/>
    <mergeCell ref="H18:H19"/>
    <mergeCell ref="A14:B15"/>
    <mergeCell ref="C14:E15"/>
    <mergeCell ref="F14:F15"/>
    <mergeCell ref="G16:G17"/>
    <mergeCell ref="H16:H17"/>
    <mergeCell ref="C6:E7"/>
    <mergeCell ref="F6:F7"/>
    <mergeCell ref="G6:G7"/>
    <mergeCell ref="G8:G9"/>
    <mergeCell ref="C8:E9"/>
    <mergeCell ref="F8:F9"/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2025-01-14T06:56:49Z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