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C21A00B2-D296-4D93-BA49-C52C1EA05AD3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" i="16" l="1" a="1"/>
  <c r="E10" i="16"/>
  <c r="L10" i="16" a="1"/>
  <c r="L10" i="16"/>
  <c r="G7" i="16" a="1"/>
  <c r="G7" i="16"/>
  <c r="D7" i="16" a="1"/>
  <c r="D7" i="16"/>
  <c r="K9" i="16"/>
  <c r="G22" i="4"/>
  <c r="H10" i="16" a="1"/>
  <c r="H10" i="16"/>
  <c r="G9" i="16" a="1"/>
  <c r="G9" i="16"/>
  <c r="E23" i="4"/>
  <c r="I9" i="16" a="1"/>
  <c r="I9" i="16"/>
  <c r="J9" i="16" a="1"/>
  <c r="J9" i="16"/>
  <c r="G8" i="16" a="1"/>
  <c r="G8" i="16"/>
  <c r="G6" i="16" a="1"/>
  <c r="G6" i="16"/>
  <c r="D10" i="16" a="1"/>
  <c r="D10" i="16"/>
  <c r="K10" i="16"/>
  <c r="L6" i="16" a="1"/>
  <c r="L6" i="16"/>
  <c r="L9" i="16" a="1"/>
  <c r="L9" i="16"/>
  <c r="H22" i="4"/>
  <c r="H8" i="16" a="1"/>
  <c r="H8" i="16"/>
  <c r="H7" i="16" a="1"/>
  <c r="H7" i="16"/>
  <c r="D9" i="16" a="1"/>
  <c r="D9" i="16"/>
  <c r="F23" i="4"/>
  <c r="J10" i="16" a="1"/>
  <c r="J10" i="16"/>
  <c r="L8" i="16" a="1"/>
  <c r="L8" i="16"/>
  <c r="K8" i="16"/>
  <c r="I7" i="16" a="1"/>
  <c r="I7" i="16"/>
  <c r="K6" i="16"/>
  <c r="H6" i="16" a="1"/>
  <c r="H6" i="16"/>
  <c r="J8" i="16" a="1"/>
  <c r="J8" i="16"/>
  <c r="F10" i="16" a="1"/>
  <c r="F10" i="16"/>
  <c r="E7" i="16" a="1"/>
  <c r="E7" i="16"/>
  <c r="F9" i="16" a="1"/>
  <c r="F9" i="16"/>
  <c r="D6" i="16" a="1"/>
  <c r="D6" i="16"/>
  <c r="I10" i="16"/>
  <c r="J7" i="16" a="1"/>
  <c r="J7" i="16"/>
  <c r="E9" i="16" a="1"/>
  <c r="E9" i="16"/>
  <c r="L7" i="16" a="1"/>
  <c r="L7" i="16"/>
  <c r="I8" i="16" a="1"/>
  <c r="I8" i="16"/>
  <c r="H9" i="16" a="1"/>
  <c r="H9" i="16"/>
  <c r="D22" i="4"/>
  <c r="D8" i="16" a="1"/>
  <c r="D8" i="16"/>
  <c r="H23" i="4"/>
  <c r="C23" i="4"/>
  <c r="D23" i="4"/>
  <c r="E6" i="16" a="1"/>
  <c r="E6" i="16"/>
  <c r="E8" i="16" a="1"/>
  <c r="E8" i="16"/>
  <c r="C22" i="4"/>
  <c r="F7" i="16" a="1"/>
  <c r="F7" i="16"/>
  <c r="G23" i="4"/>
  <c r="E22" i="4"/>
  <c r="F6" i="16" a="1"/>
  <c r="F6" i="16"/>
  <c r="K7" i="16"/>
  <c r="G10" i="16" a="1"/>
  <c r="G10" i="16"/>
  <c r="F22" i="4"/>
  <c r="F8" i="16" a="1"/>
  <c r="F8" i="16"/>
  <c r="J6" i="16"/>
  <c r="I6" i="16"/>
  <c r="C24" i="4"/>
  <c r="A188" i="13"/>
  <c r="X1180" i="3"/>
  <c r="U1180" i="3"/>
  <c r="V1180" i="3" s="1"/>
  <c r="S1180" i="3"/>
  <c r="T1180" i="3" s="1"/>
  <c r="Q1180" i="3"/>
  <c r="R1180" i="3" s="1"/>
  <c r="J1180" i="3"/>
  <c r="H1180" i="3"/>
  <c r="F1180" i="3"/>
  <c r="G1180" i="3" s="1"/>
  <c r="E1180" i="3"/>
  <c r="D1180" i="3"/>
  <c r="X1178" i="14"/>
  <c r="E1178" i="14"/>
  <c r="D1178" i="14"/>
  <c r="C1178" i="14"/>
  <c r="B1178" i="14"/>
  <c r="A1178" i="14"/>
  <c r="AE1180" i="3" l="1"/>
  <c r="AD1180" i="3"/>
  <c r="Y1180" i="3"/>
  <c r="I1180" i="3"/>
  <c r="L1180" i="3"/>
  <c r="AC1180" i="3"/>
  <c r="O1180" i="3"/>
  <c r="K1180" i="3"/>
  <c r="P1180" i="3"/>
  <c r="F1178" i="14"/>
  <c r="J19" i="16"/>
  <c r="E17" i="16"/>
  <c r="F17" i="16" s="1"/>
  <c r="G17" i="16" s="1"/>
  <c r="H17" i="16" s="1"/>
  <c r="T16" i="16"/>
  <c r="F16" i="16"/>
  <c r="G16" i="16" s="1"/>
  <c r="H16" i="16" s="1"/>
  <c r="T12" i="16"/>
  <c r="T10" i="16"/>
  <c r="W1180" i="3" l="1"/>
  <c r="N1180" i="3"/>
  <c r="M1180" i="3"/>
  <c r="AB1180" i="3"/>
  <c r="Z1180" i="3"/>
  <c r="AA1180" i="3" s="1"/>
  <c r="U8" i="16"/>
  <c r="U7" i="16" l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G4" i="16"/>
  <c r="E4" i="16"/>
  <c r="D4" i="16"/>
  <c r="T3" i="16"/>
  <c r="O4" i="16" s="1"/>
  <c r="O6" i="16" l="1"/>
  <c r="Q4" i="16"/>
  <c r="P9" i="16"/>
  <c r="P8" i="16" s="1"/>
  <c r="L5" i="16"/>
  <c r="K5" i="16"/>
  <c r="P10" i="16"/>
  <c r="P6" i="16"/>
  <c r="T8" i="16"/>
  <c r="T7" i="16"/>
  <c r="T6" i="16"/>
  <c r="T5" i="16"/>
  <c r="X1177" i="14"/>
  <c r="E1177" i="14"/>
  <c r="D1177" i="14"/>
  <c r="C1177" i="14"/>
  <c r="B1177" i="14"/>
  <c r="A1177" i="14"/>
  <c r="L187" i="13"/>
  <c r="A187" i="13"/>
  <c r="X1179" i="3"/>
  <c r="D1179" i="3"/>
  <c r="T9" i="16" l="1"/>
  <c r="Q6" i="16"/>
  <c r="F1177" i="14"/>
  <c r="H1178" i="14" s="1"/>
  <c r="I1178" i="14" s="1"/>
  <c r="L1178" i="14" l="1"/>
  <c r="Y1178" i="14"/>
  <c r="Z1178" i="14" s="1"/>
  <c r="AA1178" i="14" s="1"/>
  <c r="V9" i="16"/>
  <c r="T13" i="16"/>
  <c r="T17" i="16" s="1"/>
  <c r="T18" i="16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O7" i="16" s="1"/>
  <c r="Q7" i="16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79" i="3" l="1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P1169" i="3"/>
  <c r="O1169" i="3"/>
  <c r="Y1169" i="3"/>
  <c r="Z1169" i="3" s="1"/>
  <c r="AA1169" i="3" s="1"/>
  <c r="K1169" i="3"/>
  <c r="L1169" i="3"/>
  <c r="N1179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79" i="3" l="1"/>
  <c r="N1177" i="3"/>
  <c r="N1178" i="3"/>
  <c r="W1178" i="3"/>
  <c r="W1177" i="3"/>
  <c r="J1176" i="3"/>
  <c r="J1177" i="3" s="1"/>
  <c r="J1178" i="3" s="1"/>
  <c r="J1179" i="3" s="1"/>
  <c r="O8" i="16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O10" i="16" l="1"/>
  <c r="Q10" i="16" s="1"/>
  <c r="Q8" i="16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O9" i="16" s="1"/>
  <c r="G1166" i="3"/>
  <c r="F1163" i="14"/>
  <c r="H1164" i="14" s="1"/>
  <c r="I1164" i="14" s="1"/>
  <c r="L1164" i="14" l="1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X1153" i="14"/>
  <c r="E1153" i="14"/>
  <c r="D1153" i="14"/>
  <c r="C1153" i="14"/>
  <c r="B1153" i="14"/>
  <c r="F1153" i="14" s="1"/>
  <c r="H1154" i="14" s="1"/>
  <c r="I1154" i="14" s="1"/>
  <c r="A1153" i="14"/>
  <c r="L162" i="13"/>
  <c r="A162" i="13"/>
  <c r="X1155" i="3"/>
  <c r="D1155" i="3"/>
  <c r="F1156" i="3" s="1"/>
  <c r="L1157" i="3" l="1"/>
  <c r="Y1157" i="3"/>
  <c r="Z1157" i="3" s="1"/>
  <c r="AA1157" i="3" s="1"/>
  <c r="L1154" i="14"/>
  <c r="Y1154" i="14"/>
  <c r="Z1154" i="14" s="1"/>
  <c r="AA1154" i="14" s="1"/>
  <c r="G1156" i="3"/>
  <c r="X1152" i="14"/>
  <c r="E1152" i="14"/>
  <c r="D1152" i="14"/>
  <c r="C1152" i="14"/>
  <c r="B1152" i="14"/>
  <c r="A1152" i="14"/>
  <c r="L161" i="13"/>
  <c r="A161" i="13"/>
  <c r="X1154" i="3"/>
  <c r="D1154" i="3"/>
  <c r="F1155" i="3" s="1"/>
  <c r="G1155" i="3" s="1"/>
  <c r="Y1156" i="3" l="1"/>
  <c r="Z1156" i="3" s="1"/>
  <c r="AA1156" i="3" s="1"/>
  <c r="L1156" i="3"/>
  <c r="Y1155" i="3"/>
  <c r="Z1155" i="3" s="1"/>
  <c r="AA1155" i="3" s="1"/>
  <c r="L1155" i="3"/>
  <c r="F1152" i="14"/>
  <c r="H1153" i="14" s="1"/>
  <c r="I1153" i="14" s="1"/>
  <c r="L1153" i="14" l="1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F1154" i="3" s="1"/>
  <c r="X1150" i="14"/>
  <c r="E1150" i="14"/>
  <c r="D1150" i="14"/>
  <c r="C1150" i="14"/>
  <c r="B1150" i="14"/>
  <c r="A1150" i="14"/>
  <c r="L159" i="13"/>
  <c r="A159" i="13"/>
  <c r="X1152" i="3"/>
  <c r="D1152" i="3"/>
  <c r="F1153" i="3" s="1"/>
  <c r="G1153" i="3" s="1"/>
  <c r="X1149" i="14"/>
  <c r="E1149" i="14"/>
  <c r="D1149" i="14"/>
  <c r="C1149" i="14"/>
  <c r="B1149" i="14"/>
  <c r="F1149" i="14" s="1"/>
  <c r="A1149" i="14"/>
  <c r="L158" i="13"/>
  <c r="A158" i="13"/>
  <c r="X1151" i="3"/>
  <c r="D1151" i="3"/>
  <c r="F1152" i="3" s="1"/>
  <c r="X1148" i="14"/>
  <c r="E1148" i="14"/>
  <c r="D1148" i="14"/>
  <c r="C1148" i="14"/>
  <c r="B1148" i="14"/>
  <c r="F1148" i="14" s="1"/>
  <c r="A1148" i="14"/>
  <c r="L157" i="13"/>
  <c r="A157" i="13"/>
  <c r="X1150" i="3"/>
  <c r="D1150" i="3"/>
  <c r="F1151" i="3" s="1"/>
  <c r="G1151" i="3" s="1"/>
  <c r="X1147" i="14"/>
  <c r="E1147" i="14"/>
  <c r="D1147" i="14"/>
  <c r="C1147" i="14"/>
  <c r="B1147" i="14"/>
  <c r="A1147" i="14"/>
  <c r="L156" i="13"/>
  <c r="A156" i="13"/>
  <c r="X1149" i="3"/>
  <c r="D1149" i="3"/>
  <c r="F1150" i="3" s="1"/>
  <c r="G1150" i="3" s="1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49" i="3" l="1"/>
  <c r="G1149" i="3" s="1"/>
  <c r="Q1179" i="3"/>
  <c r="R1179" i="3" s="1"/>
  <c r="F1148" i="3"/>
  <c r="G1148" i="3" s="1"/>
  <c r="Q1178" i="3"/>
  <c r="R1178" i="3" s="1"/>
  <c r="F1147" i="3"/>
  <c r="G1147" i="3" s="1"/>
  <c r="Y1147" i="3" s="1"/>
  <c r="Z1147" i="3" s="1"/>
  <c r="AA1147" i="3" s="1"/>
  <c r="Q1177" i="3"/>
  <c r="R1177" i="3" s="1"/>
  <c r="K1147" i="3"/>
  <c r="I1147" i="3" s="1"/>
  <c r="G1154" i="3"/>
  <c r="G1152" i="3"/>
  <c r="I1152" i="3" s="1"/>
  <c r="I1153" i="3" s="1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I1148" i="3"/>
  <c r="I1149" i="3" s="1"/>
  <c r="I1150" i="3" s="1"/>
  <c r="I1151" i="3" s="1"/>
  <c r="F1151" i="14"/>
  <c r="H1152" i="14" s="1"/>
  <c r="I1152" i="14" s="1"/>
  <c r="Y1153" i="3"/>
  <c r="Z1153" i="3" s="1"/>
  <c r="AA1153" i="3" s="1"/>
  <c r="L1153" i="3"/>
  <c r="H1150" i="14"/>
  <c r="I1150" i="14" s="1"/>
  <c r="F1150" i="14"/>
  <c r="H1151" i="14" s="1"/>
  <c r="I1151" i="14" s="1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L1150" i="3"/>
  <c r="Y1150" i="3"/>
  <c r="Z1150" i="3" s="1"/>
  <c r="AA1150" i="3" s="1"/>
  <c r="F1147" i="14"/>
  <c r="H1147" i="14"/>
  <c r="I1147" i="14" s="1"/>
  <c r="L1149" i="3"/>
  <c r="Y1149" i="3"/>
  <c r="Z1149" i="3" s="1"/>
  <c r="AA1149" i="3" s="1"/>
  <c r="L1148" i="3"/>
  <c r="Y1148" i="3"/>
  <c r="Z1148" i="3" s="1"/>
  <c r="AA1148" i="3" s="1"/>
  <c r="F1145" i="14"/>
  <c r="L1147" i="3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48" i="14" l="1"/>
  <c r="I1148" i="14" s="1"/>
  <c r="AC117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Q1174" i="3"/>
  <c r="R1174" i="3" s="1"/>
  <c r="F1143" i="3"/>
  <c r="G1143" i="3" s="1"/>
  <c r="Y1143" i="3" s="1"/>
  <c r="Z1143" i="3" s="1"/>
  <c r="AA1143" i="3" s="1"/>
  <c r="Q1173" i="3"/>
  <c r="R1173" i="3" s="1"/>
  <c r="I1154" i="3"/>
  <c r="I1155" i="3" s="1"/>
  <c r="L1152" i="14"/>
  <c r="Y1152" i="14"/>
  <c r="Z1152" i="14" s="1"/>
  <c r="AA1152" i="14" s="1"/>
  <c r="J1147" i="14"/>
  <c r="J1148" i="14" s="1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8" i="14"/>
  <c r="Y1148" i="14"/>
  <c r="Z1148" i="14" s="1"/>
  <c r="AA1148" i="14" s="1"/>
  <c r="L1147" i="14"/>
  <c r="Y1147" i="14"/>
  <c r="Z1147" i="14" s="1"/>
  <c r="AA1147" i="14" s="1"/>
  <c r="F1142" i="14"/>
  <c r="L1144" i="3"/>
  <c r="Y1144" i="3"/>
  <c r="Z1144" i="3" s="1"/>
  <c r="AA1144" i="3" s="1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46" i="3" l="1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G1142" i="3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Q1128" i="3" s="1"/>
  <c r="R1128" i="3" s="1"/>
  <c r="D94" i="13"/>
  <c r="X1096" i="14"/>
  <c r="E1096" i="14"/>
  <c r="D1096" i="14"/>
  <c r="C1096" i="14"/>
  <c r="B1096" i="14"/>
  <c r="A1096" i="14"/>
  <c r="L104" i="13"/>
  <c r="A104" i="13"/>
  <c r="X1096" i="3"/>
  <c r="D1096" i="3"/>
  <c r="X1095" i="14"/>
  <c r="E1095" i="14"/>
  <c r="D1095" i="14"/>
  <c r="C1095" i="14"/>
  <c r="B1095" i="14"/>
  <c r="A1095" i="14"/>
  <c r="L103" i="13"/>
  <c r="A103" i="13"/>
  <c r="X1095" i="3"/>
  <c r="D1095" i="3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X1093" i="14"/>
  <c r="E1093" i="14"/>
  <c r="D1093" i="14"/>
  <c r="C1093" i="14"/>
  <c r="B1093" i="14"/>
  <c r="A1093" i="14"/>
  <c r="L101" i="13"/>
  <c r="A101" i="13"/>
  <c r="X1093" i="3"/>
  <c r="D1093" i="3"/>
  <c r="X1092" i="14"/>
  <c r="E1092" i="14"/>
  <c r="D1092" i="14"/>
  <c r="C1092" i="14"/>
  <c r="B1092" i="14"/>
  <c r="A1092" i="14"/>
  <c r="L100" i="13"/>
  <c r="A100" i="13"/>
  <c r="X1092" i="3"/>
  <c r="D1092" i="3"/>
  <c r="X1091" i="14"/>
  <c r="E1091" i="14"/>
  <c r="D1091" i="14"/>
  <c r="C1091" i="14"/>
  <c r="B1091" i="14"/>
  <c r="A1091" i="14"/>
  <c r="L99" i="13"/>
  <c r="A99" i="13"/>
  <c r="X1091" i="3"/>
  <c r="D1091" i="3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Y1138" i="3" l="1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L1096" i="3" s="1"/>
  <c r="Q1126" i="3"/>
  <c r="R1126" i="3" s="1"/>
  <c r="F1095" i="3"/>
  <c r="G1095" i="3" s="1"/>
  <c r="Y1095" i="3" s="1"/>
  <c r="Z1095" i="3" s="1"/>
  <c r="AA1095" i="3" s="1"/>
  <c r="Q1125" i="3"/>
  <c r="R1125" i="3" s="1"/>
  <c r="F1094" i="3"/>
  <c r="G1094" i="3" s="1"/>
  <c r="Y1094" i="3" s="1"/>
  <c r="Z1094" i="3" s="1"/>
  <c r="AA1094" i="3" s="1"/>
  <c r="Q1124" i="3"/>
  <c r="R1124" i="3" s="1"/>
  <c r="F1093" i="3"/>
  <c r="G1093" i="3" s="1"/>
  <c r="Y1093" i="3" s="1"/>
  <c r="Z1093" i="3" s="1"/>
  <c r="AA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Y1091" i="3" s="1"/>
  <c r="Z1091" i="3" s="1"/>
  <c r="AA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Q1092" i="3"/>
  <c r="R1092" i="3" s="1"/>
  <c r="F1092" i="14"/>
  <c r="Q1091" i="14"/>
  <c r="R1091" i="14" s="1"/>
  <c r="F1091" i="14"/>
  <c r="Q1091" i="3"/>
  <c r="R1091" i="3" s="1"/>
  <c r="F1090" i="14"/>
  <c r="Q1090" i="3"/>
  <c r="R1090" i="3" s="1"/>
  <c r="Q1087" i="14"/>
  <c r="R1087" i="14" s="1"/>
  <c r="F1089" i="14"/>
  <c r="F1088" i="14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L1078" i="3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141" i="14" l="1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Y1097" i="3" s="1"/>
  <c r="Z1097" i="3" s="1"/>
  <c r="AA1097" i="3" s="1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Y1093" i="14" s="1"/>
  <c r="Z1093" i="14" s="1"/>
  <c r="AA1093" i="14" s="1"/>
  <c r="Q1123" i="14"/>
  <c r="R1123" i="14" s="1"/>
  <c r="L1090" i="3"/>
  <c r="L1093" i="3"/>
  <c r="L1091" i="3"/>
  <c r="H1092" i="14"/>
  <c r="I1092" i="14" s="1"/>
  <c r="L1092" i="14" s="1"/>
  <c r="Q1122" i="14"/>
  <c r="R1122" i="14" s="1"/>
  <c r="H1091" i="14"/>
  <c r="I1091" i="14" s="1"/>
  <c r="L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087" i="14" l="1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F18" i="16" s="1"/>
  <c r="F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H819" i="14" s="1"/>
  <c r="I819" i="14" s="1"/>
  <c r="X817" i="14"/>
  <c r="F817" i="14"/>
  <c r="H818" i="14" s="1"/>
  <c r="I818" i="14" s="1"/>
  <c r="X816" i="14"/>
  <c r="F816" i="14"/>
  <c r="H817" i="14" s="1"/>
  <c r="I817" i="14" s="1"/>
  <c r="X815" i="14"/>
  <c r="F815" i="14"/>
  <c r="H816" i="14" s="1"/>
  <c r="I816" i="14" s="1"/>
  <c r="X814" i="14"/>
  <c r="F814" i="14"/>
  <c r="H815" i="14" s="1"/>
  <c r="I815" i="14" s="1"/>
  <c r="X813" i="14"/>
  <c r="F813" i="14"/>
  <c r="H814" i="14" s="1"/>
  <c r="I814" i="14" s="1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3" i="14" l="1"/>
  <c r="I813" i="14" s="1"/>
  <c r="U1178" i="14"/>
  <c r="V1178" i="14" s="1"/>
  <c r="H812" i="14"/>
  <c r="I812" i="14" s="1"/>
  <c r="U1177" i="14"/>
  <c r="V1177" i="14" s="1"/>
  <c r="H811" i="14"/>
  <c r="I811" i="14" s="1"/>
  <c r="U1176" i="14"/>
  <c r="V1176" i="14" s="1"/>
  <c r="H810" i="14"/>
  <c r="I810" i="14" s="1"/>
  <c r="U1175" i="14"/>
  <c r="V1175" i="14" s="1"/>
  <c r="H809" i="14"/>
  <c r="I809" i="14" s="1"/>
  <c r="U1174" i="14"/>
  <c r="V1174" i="14" s="1"/>
  <c r="H808" i="14"/>
  <c r="I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Z927" i="14" s="1"/>
  <c r="AA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Y811" i="14"/>
  <c r="L811" i="14"/>
  <c r="S912" i="14"/>
  <c r="T912" i="14" s="1"/>
  <c r="L794" i="14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Y803" i="14"/>
  <c r="Y808" i="14"/>
  <c r="L808" i="14"/>
  <c r="L817" i="14"/>
  <c r="Y817" i="14"/>
  <c r="Y883" i="14"/>
  <c r="L883" i="14"/>
  <c r="Y795" i="14"/>
  <c r="L795" i="14"/>
  <c r="Y814" i="14"/>
  <c r="L814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Y804" i="14"/>
  <c r="L804" i="14"/>
  <c r="Y810" i="14"/>
  <c r="L810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Z930" i="14" s="1"/>
  <c r="AA930" i="14" s="1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06" i="14" l="1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8" i="14"/>
  <c r="AA808" i="14" s="1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Z928" i="14" s="1"/>
  <c r="AA928" i="14" s="1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Z931" i="14" s="1"/>
  <c r="AA931" i="14" s="1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Z929" i="14" s="1"/>
  <c r="AA929" i="14" s="1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Z926" i="14" s="1"/>
  <c r="AA926" i="14" s="1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25" i="14" l="1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78" i="14" l="1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77" i="14" l="1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78" i="14" l="1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S909" i="3" s="1"/>
  <c r="T909" i="3" s="1"/>
  <c r="D821" i="3"/>
  <c r="S910" i="3" s="1"/>
  <c r="T910" i="3" s="1"/>
  <c r="D822" i="3"/>
  <c r="S911" i="3" s="1"/>
  <c r="T911" i="3" s="1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F817" i="3" s="1"/>
  <c r="G817" i="3" s="1"/>
  <c r="D817" i="3"/>
  <c r="F818" i="3" s="1"/>
  <c r="G818" i="3" s="1"/>
  <c r="D818" i="3"/>
  <c r="F819" i="3" s="1"/>
  <c r="G819" i="3" s="1"/>
  <c r="D819" i="3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F816" i="3" l="1"/>
  <c r="G816" i="3" s="1"/>
  <c r="U1179" i="3"/>
  <c r="V1179" i="3" s="1"/>
  <c r="F815" i="3"/>
  <c r="G815" i="3" s="1"/>
  <c r="Y815" i="3" s="1"/>
  <c r="U1178" i="3"/>
  <c r="V1178" i="3" s="1"/>
  <c r="F814" i="3"/>
  <c r="G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L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L815" i="3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L813" i="3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L819" i="3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Y816" i="3"/>
  <c r="L814" i="3"/>
  <c r="Y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2" i="3" l="1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2" i="3"/>
  <c r="AA802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78" i="3" l="1"/>
  <c r="AE1179" i="3"/>
  <c r="AE1176" i="3"/>
  <c r="AE1177" i="3"/>
  <c r="AE1174" i="3"/>
  <c r="AE1175" i="3"/>
  <c r="AE1172" i="3"/>
  <c r="AE1173" i="3"/>
  <c r="AE1169" i="3"/>
  <c r="AE1171" i="3"/>
  <c r="Y792" i="3"/>
  <c r="L784" i="3"/>
  <c r="AE1170" i="3"/>
  <c r="O1168" i="3"/>
  <c r="P1168" i="3"/>
  <c r="AE1168" i="3"/>
  <c r="O1167" i="3"/>
  <c r="P1167" i="3"/>
  <c r="Y793" i="3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Z793" i="3"/>
  <c r="AA793" i="3" s="1"/>
  <c r="AC984" i="3"/>
  <c r="AD1046" i="3"/>
  <c r="O1046" i="3"/>
  <c r="P1046" i="3"/>
  <c r="Z792" i="3"/>
  <c r="AA792" i="3" s="1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Z786" i="3"/>
  <c r="AA786" i="3" s="1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Z932" i="3" s="1"/>
  <c r="AA932" i="3" s="1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Z930" i="3" s="1"/>
  <c r="AA930" i="3" s="1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Z935" i="3" s="1"/>
  <c r="AA935" i="3" s="1"/>
  <c r="L934" i="3"/>
  <c r="Y934" i="3"/>
  <c r="Z934" i="3" s="1"/>
  <c r="AA934" i="3" s="1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Z933" i="3" s="1"/>
  <c r="AA933" i="3" s="1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Z931" i="3" s="1"/>
  <c r="AA931" i="3" s="1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Z929" i="3" s="1"/>
  <c r="AA929" i="3" s="1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28" i="3" l="1"/>
  <c r="AA928" i="3" s="1"/>
  <c r="AB1179" i="3" s="1"/>
  <c r="Z927" i="3"/>
  <c r="AA927" i="3" s="1"/>
  <c r="AB1178" i="3" s="1"/>
  <c r="Z926" i="3"/>
  <c r="AA926" i="3" s="1"/>
  <c r="Z925" i="3"/>
  <c r="AA925" i="3" s="1"/>
  <c r="Z924" i="3"/>
  <c r="AA924" i="3" s="1"/>
  <c r="Z923" i="3"/>
  <c r="AA923" i="3" s="1"/>
  <c r="Z922" i="3"/>
  <c r="AA922" i="3" s="1"/>
  <c r="AB1173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4" i="3" l="1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200" i="3"/>
  <c r="N178" i="3"/>
  <c r="N194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N273" i="3" l="1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33" i="8"/>
  <c r="J45" i="8" s="1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<sst xmlns="http://schemas.openxmlformats.org/spreadsheetml/2006/main" count="1141" uniqueCount="436">
  <si>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</si>
  <si>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</si>
  <si>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</si>
  <si>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</si>
  <si>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</si>
  <si>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</si>
  <si>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</si>
  <si>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</si>
  <si>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</si>
  <si>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</si>
  <si>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</si>
  <si>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</si>
  <si>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</si>
  <si>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</si>
  <si>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</si>
  <si>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</si>
  <si>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</si>
  <si>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</si>
  <si>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</si>
  <si>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</si>
  <si>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</si>
  <si>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</si>
  <si>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</si>
  <si>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</si>
  <si>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</si>
  <si>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</si>
  <si>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</si>
  <si>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</si>
  <si>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</si>
  <si>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</si>
  <si>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</si>
  <si>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</si>
  <si>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</si>
  <si>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</si>
  <si>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</si>
  <si>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</si>
  <si>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</si>
  <si>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</si>
  <si>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</si>
  <si>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</si>
  <si>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</si>
  <si>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</si>
  <si>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</si>
  <si>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</si>
  <si>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</si>
  <si>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</si>
  <si>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</si>
  <si>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</si>
  <si>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</si>
  <si>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</si>
  <si>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</si>
  <si>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</si>
  <si>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</si>
  <si>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</si>
  <si>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</si>
  <si>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</si>
  <si>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</si>
  <si>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</si>
  <si>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</si>
  <si>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</si>
  <si>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</si>
  <si>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</si>
  <si>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</si>
  <si>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</si>
  <si>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</si>
  <si>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</si>
  <si>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</si>
  <si>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</si>
  <si>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</si>
  <si>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</si>
  <si>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</si>
  <si>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</si>
  <si>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</si>
  <si>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</si>
  <si>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</si>
  <si>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</si>
  <si>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</si>
  <si>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</si>
  <si>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</si>
  <si>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</si>
  <si>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</si>
  <si>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</si>
  <si>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</si>
  <si>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</si>
  <si>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</si>
  <si>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</si>
  <si>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</si>
  <si>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</si>
  <si>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</si>
  <si>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</si>
  <si>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</si>
  <si>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</si>
  <si>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</si>
  <si>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</si>
  <si>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</si>
  <si>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</si>
  <si>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</si>
  <si>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</si>
  <si>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</si>
  <si>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</si>
  <si>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</si>
  <si>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</si>
  <si>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</si>
  <si>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</si>
  <si>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</si>
  <si>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</si>
  <si>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</si>
  <si>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</si>
  <si>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</si>
  <si>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</si>
  <si>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</si>
  <si>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</si>
  <si>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</si>
  <si>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</si>
  <si>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</si>
  <si>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</si>
  <si>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</si>
  <si>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</si>
  <si>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</si>
  <si>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</si>
  <si>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</si>
  <si>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</si>
  <si>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</si>
  <si>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</si>
  <si>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</si>
  <si>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</si>
  <si>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</si>
  <si>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</si>
  <si>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</si>
  <si>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</si>
  <si>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</si>
  <si>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</si>
  <si>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</si>
  <si>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</si>
  <si>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</si>
  <si>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</si>
  <si>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</si>
  <si>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</si>
  <si>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</si>
  <si>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</si>
  <si>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</si>
  <si>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</si>
  <si>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</si>
  <si>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</si>
  <si>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</si>
  <si>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</si>
  <si>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</si>
  <si>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</si>
  <si>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</si>
  <si>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</si>
  <si>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</si>
  <si>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</si>
  <si>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</si>
  <si>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</si>
  <si>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</si>
  <si>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</si>
  <si>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</si>
  <si>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</si>
  <si>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</si>
  <si>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</si>
  <si>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</si>
  <si>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</si>
  <si>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</si>
  <si>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</si>
  <si>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</si>
  <si>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</si>
  <si>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</si>
  <si>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</si>
  <si>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</si>
  <si>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</si>
  <si>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</si>
  <si>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</si>
  <si>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</si>
  <si>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</si>
  <si>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</si>
  <si>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</si>
  <si>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</si>
  <si>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</si>
  <si>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</si>
  <si>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</si>
  <si>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</si>
  <si>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</si>
  <si>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</si>
  <si>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</si>
  <si>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</si>
  <si>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</si>
  <si>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</si>
  <si>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</si>
  <si>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</si>
  <si>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</si>
  <si>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</si>
  <si>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</si>
  <si>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</si>
  <si>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</si>
  <si>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</si>
  <si>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</si>
  <si>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</si>
  <si>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</si>
  <si>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</si>
  <si>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</si>
  <si>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</si>
  <si>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</si>
  <si>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</si>
  <si>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</si>
  <si>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</si>
  <si>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</si>
  <si>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</si>
  <si>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</si>
  <si>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</si>
  <si>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</si>
  <si>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</si>
  <si>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</si>
  <si>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</si>
  <si>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</si>
  <si>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</si>
  <si>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</si>
  <si>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</si>
  <si>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</si>
  <si>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</si>
  <si>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</si>
  <si>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</si>
  <si>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</si>
  <si>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</si>
  <si>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</si>
  <si>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</si>
  <si>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</si>
  <si>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</si>
  <si>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</si>
  <si>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</si>
  <si>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</si>
  <si>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</si>
  <si>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</si>
  <si>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</si>
  <si>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</si>
  <si>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</si>
  <si>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</si>
  <si>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</si>
  <si>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</si>
  <si>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</si>
  <si>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</si>
  <si>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</si>
  <si>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</si>
  <si>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</si>
  <si>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</si>
  <si>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</si>
  <si>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</si>
  <si>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</si>
  <si>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</si>
  <si>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</si>
  <si>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</si>
  <si>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</si>
  <si>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</si>
  <si>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</si>
  <si>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</si>
  <si>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</si>
  <si>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</si>
  <si>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</si>
  <si>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</si>
  <si>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</si>
  <si>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</si>
  <si>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</si>
  <si>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</si>
  <si>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</si>
  <si>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</si>
  <si>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</si>
  <si>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</si>
  <si>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</si>
  <si>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</si>
  <si>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</si>
  <si>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</si>
  <si>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</si>
  <si>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</si>
  <si>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</si>
  <si>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</si>
  <si>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</si>
  <si>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</si>
  <si>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</si>
  <si>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</si>
  <si>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</si>
  <si>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</si>
  <si>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</si>
  <si>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</si>
  <si>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</si>
  <si>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</si>
  <si>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</si>
  <si>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</si>
  <si>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</si>
  <si>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</si>
  <si>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</si>
  <si>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</si>
  <si>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</si>
  <si>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</si>
  <si>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</si>
  <si>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</si>
  <si>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</si>
  <si>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</si>
  <si>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</si>
  <si>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</si>
  <si>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</si>
  <si>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MCD 17JAN25 315 C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</si>
  <si>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</si>
  <si>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</si>
  <si>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</si>
  <si>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</si>
  <si>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</si>
  <si>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</si>
  <si>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</si>
  <si>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</si>
  <si>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</si>
  <si>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</si>
  <si>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</si>
  <si>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</si>
  <si>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</si>
  <si>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</si>
  <si>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</si>
  <si>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</si>
  <si>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</si>
  <si>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</si>
  <si>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</si>
  <si>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</si>
  <si>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</si>
  <si>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</si>
  <si>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</si>
  <si>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</si>
  <si>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</si>
  <si>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</si>
  <si>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</si>
  <si>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</si>
  <si>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</si>
  <si>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</si>
  <si>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</si>
  <si>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</si>
  <si>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</si>
  <si>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</si>
  <si>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</si>
  <si>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</si>
  <si>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</si>
  <si>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</si>
  <si>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</si>
  <si>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</si>
  <si>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</si>
  <si>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</si>
  <si>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</si>
  <si>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</si>
  <si>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</si>
  <si>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</si>
  <si>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</si>
  <si>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</si>
  <si>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</si>
  <si>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</si>
  <si>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</si>
  <si>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</si>
  <si>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</si>
  <si>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</si>
  <si>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</si>
  <si>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</si>
  <si>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</si>
  <si>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</si>
  <si>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</si>
  <si>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</si>
  <si>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</si>
  <si>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</si>
  <si>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</si>
  <si>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</si>
  <si>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</si>
  <si>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</si>
  <si>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</si>
  <si>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XSW 17JAN25 200 C</t>
  </si>
  <si>
    <t>Change in NAV</t>
  </si>
  <si>
    <t>Field Name</t>
  </si>
  <si>
    <t>Field Value</t>
  </si>
  <si>
    <t>CRM</t>
  </si>
  <si>
    <t>DIA</t>
  </si>
  <si>
    <t>KO</t>
  </si>
  <si>
    <t>ORCL</t>
  </si>
  <si>
    <t>ES 31JAN25 6075 C</t>
  </si>
  <si>
    <t>ESH5</t>
  </si>
  <si>
    <t>NQH5</t>
  </si>
  <si>
    <t>IJH 17JAN25 63 C</t>
  </si>
  <si>
    <t>NQ 31JAN25 22200 C</t>
  </si>
  <si>
    <t>Straits Multi-Asset Macro Strategy</t>
  </si>
  <si>
    <t>Inhouse</t>
  </si>
  <si>
    <t>ASML</t>
  </si>
  <si>
    <t>NVDA 17JAN25 130 P</t>
  </si>
  <si>
    <t>TSM 31JAN25 180 P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</si>
  <si>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</si>
  <si>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</si>
  <si>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</si>
  <si>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</si>
  <si>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</si>
  <si>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</si>
  <si>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</si>
  <si>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</si>
  <si>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</si>
  <si>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</si>
  <si>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</si>
  <si>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</si>
  <si>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</si>
  <si>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1211 17JAN25 245 P</t>
  </si>
  <si>
    <t>700 17JAN25 360 P</t>
  </si>
  <si>
    <t>NVDA 21MAR25 135 C</t>
  </si>
  <si>
    <t>PDD 17JAN25 100 C</t>
  </si>
  <si>
    <t>QQQ 20JUN25 500 C</t>
  </si>
  <si>
    <t>SE 17JAN25 105 P</t>
  </si>
  <si>
    <t>SNOW</t>
  </si>
  <si>
    <t>SNOW 17JAN25 160 P</t>
  </si>
  <si>
    <t>941 27JAN25 75 C</t>
  </si>
  <si>
    <t>SE 17JAN25 110 P</t>
  </si>
  <si>
    <t>MSFT 17JAN25 430 C</t>
  </si>
  <si>
    <t>TSM 17JAN25 215 C</t>
  </si>
  <si>
    <t>XLF 24JAN25 50 C</t>
  </si>
  <si>
    <t>XLK 17JAN25 235 C</t>
  </si>
  <si>
    <t>CAT 24JAN25 380 P</t>
  </si>
  <si>
    <t>CCJ 24JAN25 50 P</t>
  </si>
  <si>
    <t>DIA 24JAN25 439 C</t>
  </si>
  <si>
    <t>ES 17JAN25 6055 C</t>
  </si>
  <si>
    <t>GLD 24JAN25 252.5 C</t>
  </si>
  <si>
    <t>IBIT 24JAN25 60 C</t>
  </si>
  <si>
    <t>IBIT 24JAN25 63 C</t>
  </si>
  <si>
    <t>ICE 21FEB25 150 P</t>
  </si>
  <si>
    <t>NQ 17JAN25 21530 P</t>
  </si>
  <si>
    <t>NQ 17JAN25 21600 C</t>
  </si>
  <si>
    <t>NQ 17JAN25 21625 P</t>
  </si>
  <si>
    <t>NQ 17JAN25 21650 C</t>
  </si>
  <si>
    <t>NQ 17JAN25 21700 C</t>
  </si>
  <si>
    <t>NQ 17JAN25 21750 C</t>
  </si>
  <si>
    <t>NQ 21JAN25 21700 C</t>
  </si>
  <si>
    <t>QQQ 21JAN25 525 C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</si>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</sst>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Data...1221966415</v>
        <stp/>
        <stp>BDP|17488990371770934291</stp>
        <tr r="L9" s="16"/>
      </tp>
      <tp t="s">
        <v>#N/A Requesting Data...790548056</v>
        <stp/>
        <stp>BDP|12334903160624343193</stp>
        <tr r="H7" s="16"/>
      </tp>
      <tp t="s">
        <v>#N/A Requesting Data...362973405</v>
        <stp/>
        <stp>BDP|11631739781717341169</stp>
        <tr r="D10" s="16"/>
      </tp>
      <tp t="s">
        <v>#N/A Requesting Data...3500830421</v>
        <stp/>
        <stp>BDP|12503804164161346560</stp>
        <tr r="H23" s="4"/>
      </tp>
      <tp t="s">
        <v>#N/A Requesting Data...1399642317</v>
        <stp/>
        <stp>BDP|15038974491608239300</stp>
        <tr r="E8" s="16"/>
      </tp>
      <tp t="s">
        <v>#N/A Requesting Data...762224173</v>
        <stp/>
        <stp>BDP|18194437827130447215</stp>
        <tr r="K6" s="16"/>
      </tp>
      <tp t="s">
        <v>#N/A Requesting Data...2983048152</v>
        <stp/>
        <stp>BDP|14342216399620183288</stp>
        <tr r="F7" s="16"/>
      </tp>
      <tp t="s">
        <v>#N/A Requesting Data...2547927536</v>
        <stp/>
        <stp>BDP|12868917489186433836</stp>
        <tr r="D22" s="4"/>
      </tp>
      <tp t="s">
        <v>#N/A Requesting Data...4185677464</v>
        <stp/>
        <stp>BDP|17458564132487035495</stp>
        <tr r="G6" s="16"/>
      </tp>
      <tp t="s">
        <v>#N/A Requesting Data...4097590283</v>
        <stp/>
        <stp>BDP|11441239167720550763</stp>
        <tr r="G22" s="4"/>
      </tp>
      <tp t="s">
        <v>#N/A Requesting Data...546170956</v>
        <stp/>
        <stp>BDP|12134806195186667708</stp>
        <tr r="F9" s="16"/>
      </tp>
      <tp t="s">
        <v>#N/A Requesting Data...1565287431</v>
        <stp/>
        <stp>BDP|15571183826414458091</stp>
        <tr r="F23" s="4"/>
      </tp>
      <tp t="s">
        <v>#N/A Requesting Data...3277594452</v>
        <stp/>
        <stp>BDP|16691583684581330968</stp>
        <tr r="F22" s="4"/>
      </tp>
      <tp t="s">
        <v>#N/A Requesting Data...3844186696</v>
        <stp/>
        <stp>BDP|10851542879122214334</stp>
        <tr r="K7" s="16"/>
      </tp>
      <tp t="s">
        <v>#N/A Requesting Data...428605440</v>
        <stp/>
        <stp>BDP|13033893993631589338</stp>
        <tr r="C24" s="4"/>
      </tp>
      <tp t="s">
        <v>#N/A Requesting Data...3069478658</v>
        <stp/>
        <stp>BDP|15628696981164784920</stp>
        <tr r="F6" s="16"/>
      </tp>
      <tp t="s">
        <v>#N/A Requesting Data...1753745220</v>
        <stp/>
        <stp>BDP|17421494076265054774</stp>
        <tr r="D6" s="16"/>
      </tp>
      <tp t="s">
        <v>#N/A Requesting Data...1310703946</v>
        <stp/>
        <stp>BDP|11395363488884515847</stp>
        <tr r="E22" s="4"/>
      </tp>
      <tp t="s">
        <v>#N/A Requesting Data...3364767729</v>
        <stp/>
        <stp>BDP|11453968001806112847</stp>
        <tr r="L10" s="16"/>
      </tp>
      <tp t="s">
        <v>#N/A Requesting Data...2651147523</v>
        <stp/>
        <stp>BDP|14662245951000286439</stp>
        <tr r="C22" s="4"/>
      </tp>
      <tp t="s">
        <v>#N/A Requesting Data...1389256859</v>
        <stp/>
        <stp>BDP|16854102045504656375</stp>
        <tr r="K10" s="16"/>
      </tp>
      <tp t="s">
        <v>#N/A Requesting Data...3194563689</v>
        <stp/>
        <stp>BDP|17541570393706762923</stp>
        <tr r="K9" s="16"/>
      </tp>
      <tp t="s">
        <v>#N/A Requesting Data...4245390232</v>
        <stp/>
        <stp>BDP|14370156815235148488</stp>
        <tr r="F8" s="16"/>
      </tp>
      <tp t="s">
        <v>#N/A Requesting Data...367970166</v>
        <stp/>
        <stp>BDP|16879443774998906816</stp>
        <tr r="K8" s="16"/>
      </tp>
    </main>
    <main first="bofaddin.rtdserver">
      <tp t="s">
        <v>#N/A Requesting Data...1798830357</v>
        <stp/>
        <stp>BDP|1413003601749412533</stp>
        <tr r="L6" s="16"/>
      </tp>
      <tp t="s">
        <v>#N/A Requesting Data...4283051322</v>
        <stp/>
        <stp>BDP|8485886604566386829</stp>
        <tr r="H22" s="4"/>
      </tp>
      <tp t="s">
        <v>#N/A Requesting Data...3176350139</v>
        <stp/>
        <stp>BDP|9958272376154164648</stp>
        <tr r="J9" s="16"/>
      </tp>
      <tp t="s">
        <v>#N/A Requesting Data...1400499129</v>
        <stp/>
        <stp>BDP|4155052320638790009</stp>
        <tr r="L7" s="16"/>
      </tp>
      <tp t="s">
        <v>#N/A Requesting Data...3624096707</v>
        <stp/>
        <stp>BDP|4997210966577515802</stp>
        <tr r="G9" s="16"/>
      </tp>
      <tp t="s">
        <v>#N/A Requesting Data...1121735866</v>
        <stp/>
        <stp>BDP|3599663092060873385</stp>
        <tr r="G23" s="4"/>
      </tp>
      <tp t="s">
        <v>#N/A Requesting Data...2089255896</v>
        <stp/>
        <stp>BDP|2715175043958188031</stp>
        <tr r="C23" s="4"/>
      </tp>
      <tp t="s">
        <v>#N/A Requesting Data...231136609</v>
        <stp/>
        <stp>BDP|4938759477168674381</stp>
        <tr r="E23" s="4"/>
      </tp>
      <tp t="s">
        <v>#N/A Requesting Data...3460602778</v>
        <stp/>
        <stp>BDP|5516778511589823234</stp>
        <tr r="F10" s="16"/>
      </tp>
      <tp t="s">
        <v>#N/A Requesting Data...444902705</v>
        <stp/>
        <stp>BDP|4120548091556971632</stp>
        <tr r="J8" s="16"/>
      </tp>
      <tp t="s">
        <v>#N/A Requesting Data...398402927</v>
        <stp/>
        <stp>BDP|6229753396345444597</stp>
        <tr r="J10" s="16"/>
      </tp>
      <tp t="s">
        <v>#N/A Requesting Data...4207366699</v>
        <stp/>
        <stp>BDP|6992386206898388576</stp>
        <tr r="I6" s="16"/>
      </tp>
      <tp t="s">
        <v>#N/A Requesting Data...4221655965</v>
        <stp/>
        <stp>BDP|4532089580725904075</stp>
        <tr r="H6" s="16"/>
      </tp>
      <tp t="s">
        <v>#N/A Requesting Data...2774724026</v>
        <stp/>
        <stp>BDP|3379476956402510911</stp>
        <tr r="G7" s="16"/>
      </tp>
      <tp t="s">
        <v>#N/A Requesting Data...1024077150</v>
        <stp/>
        <stp>BDP|1440775866201456872</stp>
        <tr r="I10" s="16"/>
      </tp>
      <tp t="s">
        <v>#N/A Requesting Data...3255587940</v>
        <stp/>
        <stp>BDP|2558557980072118785</stp>
        <tr r="I9" s="16"/>
      </tp>
      <tp t="s">
        <v>#N/A Requesting Data...253535222</v>
        <stp/>
        <stp>BDP|9567764807640019488</stp>
        <tr r="D23" s="4"/>
      </tp>
      <tp t="s">
        <v>#N/A Requesting Data...3202442676</v>
        <stp/>
        <stp>BDP|6919533648008043579</stp>
        <tr r="J6" s="16"/>
      </tp>
      <tp t="s">
        <v>#N/A Requesting Data...314584367</v>
        <stp/>
        <stp>BDP|9795865377547352559</stp>
        <tr r="H9" s="16"/>
      </tp>
      <tp t="s">
        <v>#N/A Requesting Data...2988852391</v>
        <stp/>
        <stp>BDP|3621777069803976439</stp>
        <tr r="D8" s="16"/>
      </tp>
      <tp t="s">
        <v>#N/A Requesting Data...3256739925</v>
        <stp/>
        <stp>BDP|2634117571192198044</stp>
        <tr r="E10" s="16"/>
      </tp>
      <tp t="s">
        <v>#N/A Requesting Data...3636377889</v>
        <stp/>
        <stp>BDP|4088085636931872034</stp>
        <tr r="H8" s="16"/>
      </tp>
      <tp t="s">
        <v>#N/A Requesting Data...739722089</v>
        <stp/>
        <stp>BDP|3917812088037969338</stp>
        <tr r="I8" s="16"/>
      </tp>
      <tp t="s">
        <v>#N/A Requesting Data...1648362881</v>
        <stp/>
        <stp>BDP|8329996959595020626</stp>
        <tr r="G8" s="16"/>
      </tp>
      <tp t="s">
        <v>#N/A Requesting Data...1972055655</v>
        <stp/>
        <stp>BDP|9551902812626788049</stp>
        <tr r="E9" s="16"/>
      </tp>
      <tp t="s">
        <v>#N/A Requesting Data...1824441066</v>
        <stp/>
        <stp>BDP|4245519764736732652</stp>
        <tr r="D9" s="16"/>
      </tp>
      <tp t="s">
        <v>#N/A Requesting Data...292866690</v>
        <stp/>
        <stp>BDP|2172564009019829930</stp>
        <tr r="H10" s="16"/>
      </tp>
      <tp t="s">
        <v>#N/A Requesting Data...907846170</v>
        <stp/>
        <stp>BDP|1538312403986856411</stp>
        <tr r="G10" s="16"/>
      </tp>
      <tp t="s">
        <v>#N/A Requesting Data...2154228340</v>
        <stp/>
        <stp>BDP|3016032546861645645</stp>
        <tr r="L8" s="16"/>
      </tp>
      <tp t="s">
        <v>#N/A Requesting Data...3482149912</v>
        <stp/>
        <stp>BDP|4274184704243147681</stp>
        <tr r="E6" s="16"/>
      </tp>
      <tp t="s">
        <v>#N/A Requesting Data...2945491744</v>
        <stp/>
        <stp>BDP|5342164155427751487</stp>
        <tr r="I7" s="16"/>
      </tp>
      <tp t="s">
        <v>#N/A Requesting Data...2268187418</v>
        <stp/>
        <stp>BDP|2470954931023095833</stp>
        <tr r="J7" s="16"/>
      </tp>
      <tp t="s">
        <v>#N/A Requesting Data...3131600964</v>
        <stp/>
        <stp>BDP|808002419262414195</stp>
        <tr r="D7" s="16"/>
      </tp>
      <tp t="s">
        <v>#N/A Requesting Data...2458073108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NAV'!$A$1169:$A$1480</c:f>
              <c:numCache>
                <c:formatCode>[$-409]d\-mmm\-yy;@</c:formatCode>
                <c:ptCount val="312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</c:numCache>
            </c:numRef>
          </c:cat>
          <c:val>
            <c:numRef>
              <c:f>'Historical NAV'!$N$1169:$N$1479</c:f>
              <c:numCache>
                <c:formatCode>0.00%;[Red]\(0.00%\)</c:formatCode>
                <c:ptCount val="311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NAV'!$A$2:$A$1480</c:f>
              <c:numCache>
                <c:formatCode>[$-409]d\-mmm\-yy;@</c:formatCode>
                <c:ptCount val="1479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</c:numCache>
            </c:numRef>
          </c:cat>
          <c:val>
            <c:numRef>
              <c:f>'Historical NAV'!$M$2:$M$1479</c:f>
              <c:numCache>
                <c:formatCode>0.00%;[Red]\(0.00%\)</c:formatCode>
                <c:ptCount val="1478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1977931.7799999998</c:v>
                </c:pt>
                <c:pt idx="1">
                  <c:v>1973498.4900000002</c:v>
                </c:pt>
                <c:pt idx="2">
                  <c:v>-432931.58000000007</c:v>
                </c:pt>
                <c:pt idx="3">
                  <c:v>94823.809999999969</c:v>
                </c:pt>
                <c:pt idx="4">
                  <c:v>1166891.92</c:v>
                </c:pt>
                <c:pt idx="5">
                  <c:v>233512.5</c:v>
                </c:pt>
                <c:pt idx="6">
                  <c:v>587778.9</c:v>
                </c:pt>
                <c:pt idx="7">
                  <c:v>0</c:v>
                </c:pt>
                <c:pt idx="8">
                  <c:v>-497866.0453772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1977931.7799999998</c:v>
                </c:pt>
                <c:pt idx="1">
                  <c:v>1973498.4900000002</c:v>
                </c:pt>
                <c:pt idx="2">
                  <c:v>-432931.58000000007</c:v>
                </c:pt>
                <c:pt idx="3">
                  <c:v>94823.809999999969</c:v>
                </c:pt>
                <c:pt idx="4">
                  <c:v>1166891.92</c:v>
                </c:pt>
                <c:pt idx="5">
                  <c:v>233512.5</c:v>
                </c:pt>
                <c:pt idx="6">
                  <c:v>587778.9</c:v>
                </c:pt>
                <c:pt idx="7">
                  <c:v>0</c:v>
                </c:pt>
                <c:pt idx="8">
                  <c:v>-497866.0453772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22</xdr:col>
      <xdr:colOff>582706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opLeftCell="C1" zoomScale="85" zoomScaleNormal="85" workbookViewId="0">
      <selection activeCell="Z27" sqref="Z2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45674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313</v>
      </c>
      <c r="B4" s="8">
        <f ca="1">OFFSET('Historical NAV'!I1,COUNT('Historical NAV'!A:A),,,)</f>
        <v>9.1411159083884017E-2</v>
      </c>
      <c r="D4" s="91"/>
      <c r="E4" s="92"/>
    </row>
    <row r="5" spans="1:23">
      <c r="A5" t="s">
        <v>66</v>
      </c>
      <c r="B5" s="8">
        <f ca="1">OFFSET('Historical NAV'!K1,COUNT('Historical NAV'!A:A),,,)</f>
        <v>8.2710760149813156E-2</v>
      </c>
      <c r="E5" s="146"/>
    </row>
    <row r="6" spans="1:23">
      <c r="A6" t="s">
        <v>295</v>
      </c>
      <c r="B6" s="8">
        <f ca="1">OFFSET('Historical NAV'!N1,COUNT('Historical NAV'!A:A),,,)</f>
        <v>8.2710760149813156E-2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2.8795144947225477E-2</v>
      </c>
      <c r="D9" t="s">
        <v>188</v>
      </c>
      <c r="E9" s="146">
        <f ca="1">OFFSET('Historical NAV'!B1,COUNT('Historical NAV'!A:A),,,)</f>
        <v>67491530.463527396</v>
      </c>
    </row>
    <row r="10" spans="1:23">
      <c r="A10" t="s">
        <v>181</v>
      </c>
      <c r="B10" s="2">
        <f ca="1">E13/E9</f>
        <v>2.9555184214972794</v>
      </c>
      <c r="D10" t="s">
        <v>159</v>
      </c>
      <c r="E10" s="146">
        <v>35054316.409999996</v>
      </c>
    </row>
    <row r="11" spans="1:23">
      <c r="A11" t="s">
        <v>146</v>
      </c>
      <c r="B11" s="8">
        <f ca="1">OFFSET('Historical NAV'!R1,COUNT('Historical NAV'!A:A),,,)</f>
        <v>-0.14673631738285917</v>
      </c>
      <c r="D11" t="s">
        <v>160</v>
      </c>
      <c r="E11" s="8">
        <f ca="1">E10/E9</f>
        <v>0.51938837613029742</v>
      </c>
    </row>
    <row r="12" spans="1:23">
      <c r="A12" t="s">
        <v>147</v>
      </c>
      <c r="B12" s="8">
        <f ca="1">OFFSET('Historical NAV'!T1,COUNT('Historical NAV'!A:A),,,)</f>
        <v>0.13235688709777635</v>
      </c>
    </row>
    <row r="13" spans="1:23">
      <c r="A13" t="s">
        <v>148</v>
      </c>
      <c r="B13" s="8">
        <f ca="1">OFFSET('Historical NAV'!V1,COUNT('Historical NAV'!A:A),,,)</f>
        <v>0.88203872328777089</v>
      </c>
      <c r="D13" s="99" t="s">
        <v>180</v>
      </c>
      <c r="E13" s="152">
        <f>K25</f>
        <v>199472461.58000004</v>
      </c>
    </row>
    <row r="14" spans="1:23">
      <c r="A14" t="s">
        <v>125</v>
      </c>
      <c r="B14" s="51">
        <f ca="1">OFFSET('Historical NAV'!W1,COUNT('Historical NAV'!A:A),,,)</f>
        <v>3.2784362097916837</v>
      </c>
      <c r="D14" s="303">
        <v>5.0000000000000001E-3</v>
      </c>
      <c r="E14" s="123">
        <f>(D14*$E$13)/(1-D14)</f>
        <v>1002374.1787939701</v>
      </c>
    </row>
    <row r="15" spans="1:23">
      <c r="A15" t="s">
        <v>144</v>
      </c>
      <c r="B15" s="51">
        <f ca="1">OFFSET('Historical NAV'!AB1,COUNT('Historical NAV'!A:A),,,)</f>
        <v>4.1753688985842112</v>
      </c>
      <c r="D15" s="303">
        <v>0.01</v>
      </c>
      <c r="E15" s="123">
        <f>(D15*$E$13)/(1-D15)</f>
        <v>2014873.3492929297</v>
      </c>
      <c r="F15" s="133"/>
    </row>
    <row r="16" spans="1:23">
      <c r="A16" t="s">
        <v>145</v>
      </c>
      <c r="B16" s="51">
        <f ca="1">OFFSET('Historical NAV'!P1,COUNT('Historical NAV'!A:A),,,)</f>
        <v>0.55337281553151674</v>
      </c>
      <c r="D16" s="303">
        <v>1.4999999999999999E-2</v>
      </c>
      <c r="E16" s="123">
        <f>(D16*$E$13)/(1-D16)</f>
        <v>3037651.699187818</v>
      </c>
      <c r="F16" s="169"/>
    </row>
    <row r="17" spans="1:23">
      <c r="A17" t="s">
        <v>185</v>
      </c>
      <c r="B17" s="51">
        <f ca="1">OFFSET('Historical NAV'!AC1,COUNT('Historical NAV'!A:A),,,)</f>
        <v>-4.8438980275713965E-2</v>
      </c>
      <c r="D17" s="303">
        <v>0.05</v>
      </c>
      <c r="E17" s="123">
        <f>(D17*$E$13)/(1-D17)</f>
        <v>10498550.609473687</v>
      </c>
    </row>
    <row r="18" spans="1:23">
      <c r="A18" t="s">
        <v>186</v>
      </c>
      <c r="B18" s="51">
        <f ca="1">OFFSET('Historical NAV'!AD1,COUNT('Historical NAV'!A:A),,,)</f>
        <v>-3.825057902839997E-2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-4.8299378125727946E-2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26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46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129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75586331.49000001</v>
      </c>
      <c r="C25" s="102">
        <f>SUMIF('Mark to Market'!$B$3:$B$1028,C23,'Mark to Market'!$H$3:$H$1028)</f>
        <v>56909568</v>
      </c>
      <c r="D25" s="102">
        <f>SUMIF('Mark to Market'!$B$3:$B$1028,D23,'Mark to Market'!$H$3:$H$1028)</f>
        <v>19907904.02</v>
      </c>
      <c r="E25" s="102">
        <f>SUMIF('Mark to Market'!$B$3:$B$1028,E23,'Mark to Market'!$H$3:$H$1028)</f>
        <v>19496592.18</v>
      </c>
      <c r="F25" s="102">
        <f>SUMIF('Mark to Market'!$B$3:$B$1028,F23,'Mark to Market'!$H$3:$H$1028)</f>
        <v>26614618.870000001</v>
      </c>
      <c r="G25" s="102">
        <f>SUMIF('Mark to Market'!$B$3:$B$1028,G23,'Mark to Market'!$H$3:$H$1028)</f>
        <v>954292.5</v>
      </c>
      <c r="H25" s="102">
        <f>SUMIF('Mark to Market'!$B$3:$B$1028,H23,'Mark to Market'!$H$3:$H$1028)</f>
        <v>3154.5200000000004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199472461.58000004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76553918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10777340</v>
      </c>
      <c r="N25" s="35">
        <f>F25-M25</f>
        <v>15837278.870000001</v>
      </c>
    </row>
    <row r="26" spans="1:23">
      <c r="A26" s="99" t="s">
        <v>197</v>
      </c>
      <c r="B26" s="103">
        <f t="shared" ref="B26:J26" si="0">B25/$K$25</f>
        <v>0.37893116118028902</v>
      </c>
      <c r="C26" s="103">
        <f>C25/$K$25</f>
        <v>0.28530037454406187</v>
      </c>
      <c r="D26" s="103">
        <f>D25/$K$25</f>
        <v>9.9802769075548678E-2</v>
      </c>
      <c r="E26" s="103">
        <f>E25/$K$25</f>
        <v>9.7740770959407516E-2</v>
      </c>
      <c r="F26" s="103">
        <f t="shared" si="0"/>
        <v>0.13342502849359983</v>
      </c>
      <c r="G26" s="103">
        <f t="shared" si="0"/>
        <v>4.7840814338036995E-3</v>
      </c>
      <c r="H26" s="103">
        <f t="shared" si="0"/>
        <v>1.5814313289229924E-5</v>
      </c>
      <c r="I26" s="103">
        <f t="shared" si="0"/>
        <v>0</v>
      </c>
      <c r="J26" s="103">
        <f t="shared" si="0"/>
        <v>0</v>
      </c>
      <c r="K26" s="103">
        <f>SUM(B26:J26)</f>
        <v>0.99999999999999978</v>
      </c>
      <c r="L26" s="103">
        <f>L25/$K$25</f>
        <v>0.38378188845530153</v>
      </c>
      <c r="M26" s="103">
        <f>M25/$K$25</f>
        <v>5.4029212426787349E-2</v>
      </c>
      <c r="N26" s="216">
        <f>F26-M26</f>
        <v>7.939581606681248E-2</v>
      </c>
    </row>
    <row r="27" spans="1:23">
      <c r="A27" s="99" t="s">
        <v>196</v>
      </c>
      <c r="B27" s="165">
        <f ca="1">B25/$E$9</f>
        <v>1.1199380273476991</v>
      </c>
      <c r="C27" s="165">
        <f ca="1">C25/$E$9</f>
        <v>0.84321051262504831</v>
      </c>
      <c r="D27" s="165">
        <f ca="1">D25/$E$9</f>
        <v>0.29496892251922313</v>
      </c>
      <c r="E27" s="165">
        <f t="shared" ref="E27:K27" ca="1" si="1">E25/$E$9</f>
        <v>0.28887464910187521</v>
      </c>
      <c r="F27" s="165">
        <f t="shared" ca="1" si="1"/>
        <v>0.39434012960163367</v>
      </c>
      <c r="G27" s="165">
        <f t="shared" ca="1" si="1"/>
        <v>1.4139440807549952E-2</v>
      </c>
      <c r="H27" s="165">
        <f t="shared" ca="1" si="1"/>
        <v>4.6739494249648283E-5</v>
      </c>
      <c r="I27" s="165">
        <f t="shared" ca="1" si="1"/>
        <v>0</v>
      </c>
      <c r="J27" s="165">
        <f t="shared" ca="1" si="1"/>
        <v>0</v>
      </c>
      <c r="K27" s="165">
        <f t="shared" ca="1" si="1"/>
        <v>2.9555184214972794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801373.58</v>
      </c>
      <c r="C29" s="155">
        <f ca="1">OFFSET('Daily P&amp;L breakdown'!D1,COUNT('Daily P&amp;L breakdown'!$A:$A),,,)</f>
        <v>515321</v>
      </c>
      <c r="D29" s="155">
        <f ca="1">OFFSET('Daily P&amp;L breakdown'!C1,COUNT('Daily P&amp;L breakdown'!$A:$A),,,)</f>
        <v>62549.440000000002</v>
      </c>
      <c r="E29" s="155">
        <f ca="1">OFFSET('Daily P&amp;L breakdown'!E1,COUNT('Daily P&amp;L breakdown'!$A:$A),,,)</f>
        <v>41605.5</v>
      </c>
      <c r="F29" s="155">
        <f ca="1">OFFSET('Daily P&amp;L breakdown'!F1,COUNT('Daily P&amp;L breakdown'!$A:$A),,,)</f>
        <v>84477.27</v>
      </c>
      <c r="G29" s="155">
        <f ca="1">OFFSET('Daily P&amp;L breakdown'!G1,COUNT('Daily P&amp;L breakdown'!$A:$A),,,)</f>
        <v>244450</v>
      </c>
      <c r="H29" s="155">
        <f ca="1">OFFSET('Daily P&amp;L breakdown'!H1,COUNT('Daily P&amp;L breakdown'!$A:$A),,,)</f>
        <v>156856.21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1906633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386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1977931.7799999998</v>
      </c>
      <c r="C33" s="154">
        <f>SUMIFS('Daily P&amp;L breakdown'!D:D, 'Daily P&amp;L breakdown'!$A:$A, "&gt;=" &amp; EOMONTH($A33, -1) + 1, 'Daily P&amp;L breakdown'!$A:$A, "&lt;=" &amp; EOMONTH($A33, 0))</f>
        <v>1973498.4900000002</v>
      </c>
      <c r="D33" s="154">
        <f>SUMIFS('Daily P&amp;L breakdown'!C:C, 'Daily P&amp;L breakdown'!$A:$A, "&gt;=" &amp; EOMONTH($A33, -1) + 1, 'Daily P&amp;L breakdown'!$A:$A, "&lt;=" &amp; EOMONTH($A33, 0))</f>
        <v>-432931.58000000007</v>
      </c>
      <c r="E33" s="154">
        <f>SUMIFS('Daily P&amp;L breakdown'!E:E, 'Daily P&amp;L breakdown'!$A:$A, "&gt;=" &amp; EOMONTH($A33, -1) + 1, 'Daily P&amp;L breakdown'!$A:$A, "&lt;=" &amp; EOMONTH($A33, 0))</f>
        <v>94823.809999999969</v>
      </c>
      <c r="F33" s="154">
        <f>SUMIFS('Daily P&amp;L breakdown'!F:F, 'Daily P&amp;L breakdown'!$A:$A, "&gt;=" &amp; EOMONTH($A33, -1) + 1, 'Daily P&amp;L breakdown'!$A:$A, "&lt;=" &amp; EOMONTH($A33, 0))</f>
        <v>1166891.92</v>
      </c>
      <c r="G33" s="154">
        <f>SUMIFS('Daily P&amp;L breakdown'!G:G, 'Daily P&amp;L breakdown'!$A:$A, "&gt;=" &amp; EOMONTH($A33, -1) + 1, 'Daily P&amp;L breakdown'!$A:$A, "&lt;=" &amp; EOMONTH($A33, 0))</f>
        <v>233512.5</v>
      </c>
      <c r="H33" s="154">
        <f>SUMIFS('Daily P&amp;L breakdown'!H:H, 'Daily P&amp;L breakdown'!$A:$A, "&gt;=" &amp; EOMONTH($A33, -1) + 1, 'Daily P&amp;L breakdown'!$A:$A, "&lt;=" &amp; EOMONTH($A33, 0))</f>
        <v>587778.9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</f>
        <v>-497866.0453772</v>
      </c>
      <c r="K33" s="154">
        <f t="shared" ref="K33:K44" si="2">SUM(B33:J33)</f>
        <v>5103639.7746227998</v>
      </c>
      <c r="L33" s="154">
        <f>SUM(Email!$T$9:$T$11)-K33</f>
        <v>1019402.2440716755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387</v>
      </c>
      <c r="B45" s="164">
        <f t="shared" ref="B45:I45" si="3">SUM(B33:B44)</f>
        <v>1977931.7799999998</v>
      </c>
      <c r="C45" s="164">
        <f>SUM(C33:C44)</f>
        <v>1973498.4900000002</v>
      </c>
      <c r="D45" s="164">
        <f>SUM(D33:D44)</f>
        <v>-432931.58000000007</v>
      </c>
      <c r="E45" s="164">
        <f t="shared" si="3"/>
        <v>94823.809999999969</v>
      </c>
      <c r="F45" s="164">
        <f t="shared" si="3"/>
        <v>1166891.92</v>
      </c>
      <c r="G45" s="164">
        <f t="shared" si="3"/>
        <v>233512.5</v>
      </c>
      <c r="H45" s="164">
        <f t="shared" si="3"/>
        <v>587778.9</v>
      </c>
      <c r="I45" s="164">
        <f t="shared" si="3"/>
        <v>0</v>
      </c>
      <c r="J45" s="164">
        <f>SUM(J33:J44)</f>
        <v>-497866.0453772</v>
      </c>
      <c r="K45" s="164">
        <f>SUM(K33:K44)</f>
        <v>5103639.7746227998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3.126894618855567E-2</v>
      </c>
      <c r="C50" s="299">
        <f>C33/'Historical NAV'!$B$1169</f>
        <v>3.1198860704389861E-2</v>
      </c>
      <c r="D50" s="299">
        <f>D33/'Historical NAV'!$B$1169</f>
        <v>-6.8441765359300655E-3</v>
      </c>
      <c r="E50" s="299">
        <f>E33/'Historical NAV'!$B$1169</f>
        <v>1.499061111341174E-3</v>
      </c>
      <c r="F50" s="299">
        <f>F33/'Historical NAV'!$B$1169</f>
        <v>1.8447289751490018E-2</v>
      </c>
      <c r="G50" s="299">
        <f>G33/'Historical NAV'!$B$1169</f>
        <v>3.691578178118513E-3</v>
      </c>
      <c r="H50" s="299">
        <f>H33/'Historical NAV'!$B$1169</f>
        <v>9.2921439357572019E-3</v>
      </c>
      <c r="I50" s="299">
        <f>I33/'Historical NAV'!$B$1169</f>
        <v>0</v>
      </c>
      <c r="J50" s="299">
        <f>J33/'Historical NAV'!$B$1169</f>
        <v>-7.8707196777073295E-3</v>
      </c>
      <c r="K50" s="299">
        <f>K33/'Historical NAV'!$B$1169</f>
        <v>8.0682983656015048E-2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387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25"/>
  <sheetViews>
    <sheetView zoomScale="85" zoomScaleNormal="85" workbookViewId="0">
      <pane xSplit="1" ySplit="1" topLeftCell="D1161" activePane="bottomRight" state="frozen"/>
      <selection pane="topRight" activeCell="B1" sqref="B1"/>
      <selection pane="bottomLeft" activeCell="A2" sqref="A2"/>
      <selection pane="bottomRight" activeCell="D1180" sqref="D1180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312</v>
      </c>
      <c r="I1" s="128" t="s">
        <v>311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0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/>
      <c r="B1181" s="78"/>
      <c r="D1181" s="67"/>
      <c r="E1181" s="67"/>
      <c r="F1181" s="67"/>
      <c r="G1181" s="70"/>
      <c r="H1181" s="67"/>
      <c r="I1181" s="70"/>
      <c r="J1181" s="67"/>
      <c r="K1181" s="70"/>
      <c r="L1181" s="70"/>
      <c r="M1181" s="70"/>
      <c r="N1181" s="70"/>
      <c r="O1181" s="70"/>
      <c r="P1181" s="70"/>
      <c r="Q1181" s="67"/>
      <c r="R1181" s="70"/>
      <c r="S1181" s="67"/>
      <c r="T1181" s="70"/>
      <c r="U1181" s="67"/>
      <c r="V1181" s="70"/>
      <c r="W1181" s="87"/>
      <c r="X1181" s="142"/>
      <c r="Y1181" s="139"/>
      <c r="Z1181" s="139"/>
      <c r="AA1181" s="139"/>
      <c r="AB1181" s="144"/>
      <c r="AC1181" s="144"/>
      <c r="AD1181" s="144"/>
      <c r="AE1181" s="144"/>
    </row>
    <row r="1182" spans="1:31">
      <c r="A1182" s="88"/>
      <c r="B1182" s="78"/>
      <c r="D1182" s="67"/>
      <c r="E1182" s="67"/>
      <c r="F1182" s="67"/>
      <c r="G1182" s="70"/>
      <c r="H1182" s="67"/>
      <c r="I1182" s="70"/>
      <c r="J1182" s="67"/>
      <c r="K1182" s="70"/>
      <c r="L1182" s="70"/>
      <c r="M1182" s="70"/>
      <c r="N1182" s="70"/>
      <c r="O1182" s="70"/>
      <c r="P1182" s="70"/>
      <c r="Q1182" s="67"/>
      <c r="R1182" s="70"/>
      <c r="S1182" s="67"/>
      <c r="T1182" s="70"/>
      <c r="U1182" s="67"/>
      <c r="V1182" s="70"/>
      <c r="W1182" s="87"/>
      <c r="X1182" s="142"/>
      <c r="Y1182" s="139"/>
      <c r="Z1182" s="139"/>
      <c r="AA1182" s="139"/>
      <c r="AB1182" s="144"/>
      <c r="AC1182" s="144"/>
      <c r="AD1182" s="144"/>
      <c r="AE1182" s="144"/>
    </row>
    <row r="1183" spans="1:31">
      <c r="A1183" s="88"/>
      <c r="B1183" s="78"/>
      <c r="D1183" s="67"/>
      <c r="E1183" s="67"/>
      <c r="F1183" s="67"/>
      <c r="G1183" s="70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A1184" s="88"/>
      <c r="B1184" s="78"/>
      <c r="D1184" s="67"/>
      <c r="E1184" s="67"/>
      <c r="F1184" s="67"/>
      <c r="G1184" s="70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1:31">
      <c r="A1185" s="88"/>
      <c r="B1185" s="78"/>
      <c r="D1185" s="67"/>
      <c r="E1185" s="67"/>
      <c r="F1185" s="67"/>
      <c r="G1185" s="70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A1186" s="88"/>
      <c r="B1186" s="78"/>
      <c r="D1186" s="67"/>
      <c r="E1186" s="67"/>
      <c r="F1186" s="67"/>
      <c r="G1186" s="70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6" activePane="bottomLeft" state="frozen"/>
      <selection activeCell="B1099" sqref="B1099"/>
      <selection pane="bottomLeft" activeCell="C41" sqref="C41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190000</v>
      </c>
      <c r="E3" s="153">
        <v>23.1</v>
      </c>
      <c r="F3" s="153">
        <v>4389000</v>
      </c>
      <c r="G3" s="153">
        <v>7.785736530675802</v>
      </c>
      <c r="H3" s="153">
        <v>563723.16</v>
      </c>
      <c r="I3" s="218">
        <v>0.28000000000000003</v>
      </c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25500</v>
      </c>
      <c r="E4" s="153">
        <v>263.8</v>
      </c>
      <c r="F4" s="153">
        <v>6726900</v>
      </c>
      <c r="G4" s="153">
        <v>7.785736530675802</v>
      </c>
      <c r="H4" s="153">
        <v>864003.04</v>
      </c>
      <c r="I4" s="218">
        <v>0.43</v>
      </c>
      <c r="J4"/>
      <c r="K4"/>
    </row>
    <row r="5" spans="1:11">
      <c r="A5" s="221" t="s">
        <v>398</v>
      </c>
      <c r="B5" s="153" t="s">
        <v>140</v>
      </c>
      <c r="C5" s="153" t="s">
        <v>33</v>
      </c>
      <c r="D5" s="153">
        <v>0</v>
      </c>
      <c r="E5" s="153">
        <v>0</v>
      </c>
      <c r="F5" s="153">
        <v>0</v>
      </c>
      <c r="G5" s="153">
        <v>7.785736530675802</v>
      </c>
      <c r="H5" s="153">
        <v>0</v>
      </c>
      <c r="I5" s="218">
        <v>0</v>
      </c>
      <c r="J5"/>
      <c r="K5"/>
    </row>
    <row r="6" spans="1:11">
      <c r="A6" s="221">
        <v>1288</v>
      </c>
      <c r="B6" s="153" t="s">
        <v>138</v>
      </c>
      <c r="C6" s="153" t="s">
        <v>33</v>
      </c>
      <c r="D6" s="153">
        <v>2625000</v>
      </c>
      <c r="E6" s="153">
        <v>4.18</v>
      </c>
      <c r="F6" s="153">
        <v>10972500</v>
      </c>
      <c r="G6" s="153">
        <v>7.785736530675802</v>
      </c>
      <c r="H6" s="153">
        <v>1409307.9</v>
      </c>
      <c r="I6" s="218">
        <v>0.71000000000000008</v>
      </c>
      <c r="J6"/>
      <c r="K6"/>
    </row>
    <row r="7" spans="1:11">
      <c r="A7" s="221">
        <v>1810</v>
      </c>
      <c r="B7" s="153" t="s">
        <v>138</v>
      </c>
      <c r="C7" s="153" t="s">
        <v>33</v>
      </c>
      <c r="D7" s="153">
        <v>150000</v>
      </c>
      <c r="E7" s="153">
        <v>34.950000000000003</v>
      </c>
      <c r="F7" s="153">
        <v>5242500</v>
      </c>
      <c r="G7" s="153">
        <v>7.785736530675802</v>
      </c>
      <c r="H7" s="153">
        <v>673346.7</v>
      </c>
      <c r="I7" s="218">
        <v>0.34</v>
      </c>
      <c r="J7"/>
      <c r="K7"/>
    </row>
    <row r="8" spans="1:11">
      <c r="A8" s="221">
        <v>2020</v>
      </c>
      <c r="B8" s="153" t="s">
        <v>138</v>
      </c>
      <c r="C8" s="153" t="s">
        <v>33</v>
      </c>
      <c r="D8" s="153">
        <v>5000</v>
      </c>
      <c r="E8" s="153">
        <v>78.099999999999994</v>
      </c>
      <c r="F8" s="153">
        <v>390500</v>
      </c>
      <c r="G8" s="153">
        <v>7.785736530675802</v>
      </c>
      <c r="H8" s="153">
        <v>50155.82</v>
      </c>
      <c r="I8" s="218">
        <v>0.03</v>
      </c>
      <c r="J8"/>
      <c r="K8"/>
    </row>
    <row r="9" spans="1:11">
      <c r="A9" s="221">
        <v>2318</v>
      </c>
      <c r="B9" s="153" t="s">
        <v>138</v>
      </c>
      <c r="C9" s="153" t="s">
        <v>33</v>
      </c>
      <c r="D9" s="153">
        <v>125000</v>
      </c>
      <c r="E9" s="153">
        <v>41.7</v>
      </c>
      <c r="F9" s="153">
        <v>5212500</v>
      </c>
      <c r="G9" s="153">
        <v>7.785736530675802</v>
      </c>
      <c r="H9" s="153">
        <v>669493.5</v>
      </c>
      <c r="I9" s="218">
        <v>0.34</v>
      </c>
      <c r="J9"/>
      <c r="K9"/>
    </row>
    <row r="10" spans="1:11">
      <c r="A10" s="221">
        <v>2359</v>
      </c>
      <c r="B10" s="153" t="s">
        <v>138</v>
      </c>
      <c r="C10" s="153" t="s">
        <v>33</v>
      </c>
      <c r="D10" s="153">
        <v>20000</v>
      </c>
      <c r="E10" s="153">
        <v>51.9</v>
      </c>
      <c r="F10" s="153">
        <v>1038000</v>
      </c>
      <c r="G10" s="153">
        <v>7.785736530675802</v>
      </c>
      <c r="H10" s="153">
        <v>133320.72</v>
      </c>
      <c r="I10" s="218">
        <v>6.9999999999999993E-2</v>
      </c>
      <c r="J10"/>
      <c r="K10"/>
    </row>
    <row r="11" spans="1:11">
      <c r="A11" s="221">
        <v>2828</v>
      </c>
      <c r="B11" s="153" t="s">
        <v>138</v>
      </c>
      <c r="C11" s="153" t="s">
        <v>33</v>
      </c>
      <c r="D11" s="153">
        <v>435000</v>
      </c>
      <c r="E11" s="153">
        <v>72.72</v>
      </c>
      <c r="F11" s="153">
        <v>31633200</v>
      </c>
      <c r="G11" s="153">
        <v>7.785736530675802</v>
      </c>
      <c r="H11" s="153">
        <v>4062968.21</v>
      </c>
      <c r="I11" s="218">
        <v>2.04</v>
      </c>
      <c r="J11"/>
      <c r="K11"/>
    </row>
    <row r="12" spans="1:11">
      <c r="A12" s="221">
        <v>3067</v>
      </c>
      <c r="B12" s="153" t="s">
        <v>138</v>
      </c>
      <c r="C12" s="153" t="s">
        <v>33</v>
      </c>
      <c r="D12" s="153">
        <v>600000</v>
      </c>
      <c r="E12" s="153">
        <v>9.3800000000000008</v>
      </c>
      <c r="F12" s="153">
        <v>5628000.0000000009</v>
      </c>
      <c r="G12" s="153">
        <v>7.785736530675802</v>
      </c>
      <c r="H12" s="153">
        <v>722860.32</v>
      </c>
      <c r="I12" s="218">
        <v>0.36</v>
      </c>
      <c r="J12"/>
      <c r="K12"/>
    </row>
    <row r="13" spans="1:11">
      <c r="A13" s="221">
        <v>3690</v>
      </c>
      <c r="B13" s="153" t="s">
        <v>138</v>
      </c>
      <c r="C13" s="153" t="s">
        <v>33</v>
      </c>
      <c r="D13" s="153">
        <v>12500</v>
      </c>
      <c r="E13" s="153">
        <v>147.80000000000001</v>
      </c>
      <c r="F13" s="153">
        <v>1847500</v>
      </c>
      <c r="G13" s="153">
        <v>7.785736530675802</v>
      </c>
      <c r="H13" s="153">
        <v>237292.9</v>
      </c>
      <c r="I13" s="218">
        <v>0.12</v>
      </c>
      <c r="J13"/>
      <c r="K13"/>
    </row>
    <row r="14" spans="1:11">
      <c r="A14" s="221" t="s">
        <v>290</v>
      </c>
      <c r="B14" s="153" t="s">
        <v>138</v>
      </c>
      <c r="C14" s="153" t="s">
        <v>34</v>
      </c>
      <c r="D14" s="153">
        <v>10000</v>
      </c>
      <c r="E14" s="153">
        <v>1524.5</v>
      </c>
      <c r="F14" s="153">
        <v>15245000</v>
      </c>
      <c r="G14" s="153">
        <v>156.29884338855891</v>
      </c>
      <c r="H14" s="153">
        <v>97537.51</v>
      </c>
      <c r="I14" s="218">
        <v>0.05</v>
      </c>
      <c r="J14"/>
      <c r="K14"/>
    </row>
    <row r="15" spans="1:11">
      <c r="A15" s="221">
        <v>6181</v>
      </c>
      <c r="B15" s="153" t="s">
        <v>138</v>
      </c>
      <c r="C15" s="153" t="s">
        <v>33</v>
      </c>
      <c r="D15" s="153">
        <v>2000</v>
      </c>
      <c r="E15" s="153">
        <v>287.39999999999998</v>
      </c>
      <c r="F15" s="153">
        <v>574800</v>
      </c>
      <c r="G15" s="153">
        <v>7.785736530675802</v>
      </c>
      <c r="H15" s="153">
        <v>73827.31</v>
      </c>
      <c r="I15" s="218">
        <v>0.04</v>
      </c>
      <c r="J15"/>
      <c r="K15"/>
    </row>
    <row r="16" spans="1:11">
      <c r="A16" s="221" t="s">
        <v>287</v>
      </c>
      <c r="B16" s="153" t="s">
        <v>138</v>
      </c>
      <c r="C16" s="153" t="s">
        <v>34</v>
      </c>
      <c r="D16" s="153">
        <v>15000</v>
      </c>
      <c r="E16" s="153">
        <v>3697</v>
      </c>
      <c r="F16" s="153">
        <v>55455000</v>
      </c>
      <c r="G16" s="153">
        <v>156.29884338855891</v>
      </c>
      <c r="H16" s="153">
        <v>354801.09</v>
      </c>
      <c r="I16" s="218">
        <v>0.18</v>
      </c>
      <c r="J16"/>
      <c r="K16"/>
    </row>
    <row r="17" spans="1:11">
      <c r="A17" s="221">
        <v>688</v>
      </c>
      <c r="B17" s="153" t="s">
        <v>138</v>
      </c>
      <c r="C17" s="153" t="s">
        <v>33</v>
      </c>
      <c r="D17" s="153">
        <v>240000</v>
      </c>
      <c r="E17" s="153">
        <v>12.8</v>
      </c>
      <c r="F17" s="153">
        <v>3072000</v>
      </c>
      <c r="G17" s="153">
        <v>7.785736530675802</v>
      </c>
      <c r="H17" s="153">
        <v>394567.67999999999</v>
      </c>
      <c r="I17" s="218">
        <v>0.2</v>
      </c>
      <c r="J17"/>
      <c r="K17"/>
    </row>
    <row r="18" spans="1:11">
      <c r="A18" s="221">
        <v>700</v>
      </c>
      <c r="B18" s="153" t="s">
        <v>138</v>
      </c>
      <c r="C18" s="153" t="s">
        <v>33</v>
      </c>
      <c r="D18" s="153">
        <v>41500</v>
      </c>
      <c r="E18" s="153">
        <v>379.8</v>
      </c>
      <c r="F18" s="153">
        <v>15761700</v>
      </c>
      <c r="G18" s="153">
        <v>7.785736530675802</v>
      </c>
      <c r="H18" s="153">
        <v>2024432.75</v>
      </c>
      <c r="I18" s="218">
        <v>1.01</v>
      </c>
      <c r="J18"/>
      <c r="K18"/>
    </row>
    <row r="19" spans="1:11">
      <c r="A19" s="221" t="s">
        <v>399</v>
      </c>
      <c r="B19" s="153" t="s">
        <v>140</v>
      </c>
      <c r="C19" s="153" t="s">
        <v>33</v>
      </c>
      <c r="D19" s="153">
        <v>0</v>
      </c>
      <c r="E19" s="153">
        <v>0</v>
      </c>
      <c r="F19" s="153">
        <v>0</v>
      </c>
      <c r="G19" s="153">
        <v>7.785736530675802</v>
      </c>
      <c r="H19" s="153">
        <v>0</v>
      </c>
      <c r="I19" s="218">
        <v>0</v>
      </c>
      <c r="J19"/>
      <c r="K19"/>
    </row>
    <row r="20" spans="1:11">
      <c r="A20" s="221" t="s">
        <v>391</v>
      </c>
      <c r="B20" s="153" t="s">
        <v>140</v>
      </c>
      <c r="C20" s="153" t="s">
        <v>33</v>
      </c>
      <c r="D20" s="153">
        <v>-15</v>
      </c>
      <c r="E20" s="153">
        <v>2.84</v>
      </c>
      <c r="F20" s="153">
        <v>-42.599999999999987</v>
      </c>
      <c r="G20" s="153">
        <v>7.785736530675802</v>
      </c>
      <c r="H20" s="153">
        <v>-5.47</v>
      </c>
      <c r="I20" s="218">
        <v>0</v>
      </c>
      <c r="J20"/>
      <c r="K20"/>
    </row>
    <row r="21" spans="1:11">
      <c r="A21" s="221" t="s">
        <v>392</v>
      </c>
      <c r="B21" s="153" t="s">
        <v>140</v>
      </c>
      <c r="C21" s="153" t="s">
        <v>38</v>
      </c>
      <c r="D21" s="153">
        <v>-15</v>
      </c>
      <c r="E21" s="153">
        <v>6.5</v>
      </c>
      <c r="F21" s="153">
        <v>-97.5</v>
      </c>
      <c r="G21" s="153">
        <v>1</v>
      </c>
      <c r="H21" s="153">
        <v>-97.5</v>
      </c>
      <c r="I21" s="218">
        <v>0</v>
      </c>
      <c r="J21"/>
      <c r="K21"/>
    </row>
    <row r="22" spans="1:11">
      <c r="A22" s="221">
        <v>883</v>
      </c>
      <c r="B22" s="153" t="s">
        <v>138</v>
      </c>
      <c r="C22" s="153" t="s">
        <v>33</v>
      </c>
      <c r="D22" s="153">
        <v>500000</v>
      </c>
      <c r="E22" s="153">
        <v>19.600000000000001</v>
      </c>
      <c r="F22" s="153">
        <v>9800000</v>
      </c>
      <c r="G22" s="153">
        <v>7.785736530675802</v>
      </c>
      <c r="H22" s="153">
        <v>1258712</v>
      </c>
      <c r="I22" s="218">
        <v>0.63</v>
      </c>
      <c r="J22"/>
      <c r="K22"/>
    </row>
    <row r="23" spans="1:11">
      <c r="A23" s="221">
        <v>941</v>
      </c>
      <c r="B23" s="153" t="s">
        <v>138</v>
      </c>
      <c r="C23" s="153" t="s">
        <v>33</v>
      </c>
      <c r="D23" s="153">
        <v>125000</v>
      </c>
      <c r="E23" s="153">
        <v>75.099999999999994</v>
      </c>
      <c r="F23" s="153">
        <v>9387500</v>
      </c>
      <c r="G23" s="153">
        <v>7.785736530675802</v>
      </c>
      <c r="H23" s="153">
        <v>1205730.5</v>
      </c>
      <c r="I23" s="218">
        <v>0.6</v>
      </c>
      <c r="J23"/>
      <c r="K23"/>
    </row>
    <row r="24" spans="1:11">
      <c r="A24" s="221" t="s">
        <v>406</v>
      </c>
      <c r="B24" s="153" t="s">
        <v>140</v>
      </c>
      <c r="C24" s="153" t="s">
        <v>33</v>
      </c>
      <c r="D24" s="153">
        <v>-50</v>
      </c>
      <c r="E24" s="153">
        <v>0.78</v>
      </c>
      <c r="F24" s="153">
        <v>-39</v>
      </c>
      <c r="G24" s="153">
        <v>7.785736530675802</v>
      </c>
      <c r="H24" s="153">
        <v>-5.01</v>
      </c>
      <c r="I24" s="218">
        <v>0</v>
      </c>
      <c r="J24"/>
      <c r="K24"/>
    </row>
    <row r="25" spans="1:11">
      <c r="A25" s="221">
        <v>9618</v>
      </c>
      <c r="B25" s="153" t="s">
        <v>138</v>
      </c>
      <c r="C25" s="153" t="s">
        <v>33</v>
      </c>
      <c r="D25" s="153">
        <v>12500</v>
      </c>
      <c r="E25" s="153">
        <v>146.69999999999999</v>
      </c>
      <c r="F25" s="153">
        <v>1833750</v>
      </c>
      <c r="G25" s="153">
        <v>7.785736530675802</v>
      </c>
      <c r="H25" s="153">
        <v>235526.85</v>
      </c>
      <c r="I25" s="218">
        <v>0.12</v>
      </c>
      <c r="J25"/>
      <c r="K25"/>
    </row>
    <row r="26" spans="1:11">
      <c r="A26" s="221">
        <v>992</v>
      </c>
      <c r="B26" s="153" t="s">
        <v>138</v>
      </c>
      <c r="C26" s="153" t="s">
        <v>33</v>
      </c>
      <c r="D26" s="153">
        <v>50000</v>
      </c>
      <c r="E26" s="153">
        <v>9.23</v>
      </c>
      <c r="F26" s="153">
        <v>461500</v>
      </c>
      <c r="G26" s="153">
        <v>7.785736530675802</v>
      </c>
      <c r="H26" s="153">
        <v>59275.06</v>
      </c>
      <c r="I26" s="218">
        <v>0.03</v>
      </c>
      <c r="J26"/>
      <c r="K26" s="153"/>
    </row>
    <row r="27" spans="1:11">
      <c r="A27" s="221">
        <v>9961</v>
      </c>
      <c r="B27" s="153" t="s">
        <v>138</v>
      </c>
      <c r="C27" s="153" t="s">
        <v>33</v>
      </c>
      <c r="D27" s="153">
        <v>9500</v>
      </c>
      <c r="E27" s="153">
        <v>513</v>
      </c>
      <c r="F27" s="153">
        <v>4873500</v>
      </c>
      <c r="G27" s="153">
        <v>7.785736530675802</v>
      </c>
      <c r="H27" s="153">
        <v>625952.34</v>
      </c>
      <c r="I27" s="218">
        <v>0.31</v>
      </c>
      <c r="J27"/>
      <c r="K27"/>
    </row>
    <row r="28" spans="1:11">
      <c r="A28" s="221">
        <v>9988</v>
      </c>
      <c r="B28" s="153" t="s">
        <v>138</v>
      </c>
      <c r="C28" s="153" t="s">
        <v>33</v>
      </c>
      <c r="D28" s="153">
        <v>30000</v>
      </c>
      <c r="E28" s="153">
        <v>80.75</v>
      </c>
      <c r="F28" s="153">
        <v>2422500</v>
      </c>
      <c r="G28" s="153">
        <v>7.785736530675802</v>
      </c>
      <c r="H28" s="153">
        <v>311145.90000000002</v>
      </c>
      <c r="I28" s="218">
        <v>0.16</v>
      </c>
      <c r="J28"/>
      <c r="K28"/>
    </row>
    <row r="29" spans="1:11">
      <c r="A29" s="221" t="s">
        <v>292</v>
      </c>
      <c r="B29" s="153" t="s">
        <v>138</v>
      </c>
      <c r="C29" s="153" t="s">
        <v>37</v>
      </c>
      <c r="D29" s="153">
        <v>400000</v>
      </c>
      <c r="E29" s="153">
        <v>2.4700000000000002</v>
      </c>
      <c r="F29" s="153">
        <v>988000.00000000012</v>
      </c>
      <c r="G29" s="153">
        <v>1.3696941472969091</v>
      </c>
      <c r="H29" s="153">
        <v>721328.92</v>
      </c>
      <c r="I29" s="218">
        <v>0.36</v>
      </c>
      <c r="J29"/>
      <c r="K29"/>
    </row>
    <row r="30" spans="1:11">
      <c r="A30" s="221" t="s">
        <v>82</v>
      </c>
      <c r="B30" s="153" t="s">
        <v>23</v>
      </c>
      <c r="C30" s="153" t="s">
        <v>38</v>
      </c>
      <c r="D30" s="153">
        <v>2000</v>
      </c>
      <c r="E30" s="153">
        <v>229.98</v>
      </c>
      <c r="F30" s="153">
        <v>459960</v>
      </c>
      <c r="G30" s="153">
        <v>1</v>
      </c>
      <c r="H30" s="153">
        <v>459960</v>
      </c>
      <c r="I30" s="218">
        <v>0.23</v>
      </c>
      <c r="J30"/>
      <c r="K30"/>
    </row>
    <row r="31" spans="1:11">
      <c r="A31" s="221" t="s">
        <v>365</v>
      </c>
      <c r="B31" s="153" t="s">
        <v>23</v>
      </c>
      <c r="C31" s="153" t="s">
        <v>38</v>
      </c>
      <c r="D31" s="153">
        <v>2000</v>
      </c>
      <c r="E31" s="153">
        <v>225.94</v>
      </c>
      <c r="F31" s="153">
        <v>451880</v>
      </c>
      <c r="G31" s="153">
        <v>1</v>
      </c>
      <c r="H31" s="153">
        <v>451880</v>
      </c>
      <c r="I31" s="218">
        <v>0.23</v>
      </c>
      <c r="J31"/>
      <c r="K31"/>
    </row>
    <row r="32" spans="1:11">
      <c r="A32" s="221" t="s">
        <v>300</v>
      </c>
      <c r="B32" s="153" t="s">
        <v>23</v>
      </c>
      <c r="C32" s="153" t="s">
        <v>38</v>
      </c>
      <c r="D32" s="153">
        <v>500</v>
      </c>
      <c r="E32" s="153">
        <v>130.35</v>
      </c>
      <c r="F32" s="153">
        <v>65175</v>
      </c>
      <c r="G32" s="153">
        <v>1</v>
      </c>
      <c r="H32" s="153">
        <v>65175</v>
      </c>
      <c r="I32" s="218">
        <v>0.03</v>
      </c>
      <c r="J32"/>
      <c r="K32"/>
    </row>
    <row r="33" spans="1:11">
      <c r="A33" s="221" t="s">
        <v>382</v>
      </c>
      <c r="B33" s="153" t="s">
        <v>23</v>
      </c>
      <c r="C33" s="153" t="s">
        <v>38</v>
      </c>
      <c r="D33" s="153">
        <v>500</v>
      </c>
      <c r="E33" s="153">
        <v>756.33</v>
      </c>
      <c r="F33" s="153">
        <v>378165</v>
      </c>
      <c r="G33" s="153">
        <v>1</v>
      </c>
      <c r="H33" s="153">
        <v>378165</v>
      </c>
      <c r="I33" s="218">
        <v>0.19</v>
      </c>
      <c r="J33"/>
      <c r="K33"/>
    </row>
    <row r="34" spans="1:11">
      <c r="A34" s="221" t="s">
        <v>306</v>
      </c>
      <c r="B34" s="153" t="s">
        <v>138</v>
      </c>
      <c r="C34" s="153" t="s">
        <v>38</v>
      </c>
      <c r="D34" s="153">
        <v>2500</v>
      </c>
      <c r="E34" s="153">
        <v>17.47</v>
      </c>
      <c r="F34" s="153">
        <v>43675</v>
      </c>
      <c r="G34" s="153">
        <v>1</v>
      </c>
      <c r="H34" s="153">
        <v>43675</v>
      </c>
      <c r="I34" s="218">
        <v>0.02</v>
      </c>
      <c r="J34"/>
      <c r="K34"/>
    </row>
    <row r="35" spans="1:11">
      <c r="A35" s="221" t="s">
        <v>294</v>
      </c>
      <c r="B35" s="153" t="s">
        <v>23</v>
      </c>
      <c r="C35" s="153" t="s">
        <v>38</v>
      </c>
      <c r="D35" s="153">
        <v>2000</v>
      </c>
      <c r="E35" s="153">
        <v>467.95</v>
      </c>
      <c r="F35" s="153">
        <v>935900</v>
      </c>
      <c r="G35" s="153">
        <v>1</v>
      </c>
      <c r="H35" s="153">
        <v>935900</v>
      </c>
      <c r="I35" s="218">
        <v>0.47</v>
      </c>
      <c r="J35"/>
      <c r="K35"/>
    </row>
    <row r="36" spans="1:11">
      <c r="A36" s="221" t="s">
        <v>298</v>
      </c>
      <c r="B36" s="153" t="s">
        <v>23</v>
      </c>
      <c r="C36" s="153" t="s">
        <v>38</v>
      </c>
      <c r="D36" s="153">
        <v>2000</v>
      </c>
      <c r="E36" s="153">
        <v>179.95</v>
      </c>
      <c r="F36" s="153">
        <v>359900</v>
      </c>
      <c r="G36" s="153">
        <v>1</v>
      </c>
      <c r="H36" s="153">
        <v>359900</v>
      </c>
      <c r="I36" s="218">
        <v>0.18</v>
      </c>
      <c r="J36"/>
      <c r="K36"/>
    </row>
    <row r="37" spans="1:11">
      <c r="A37" s="221" t="s">
        <v>388</v>
      </c>
      <c r="B37" s="153" t="s">
        <v>23</v>
      </c>
      <c r="C37" s="153" t="s">
        <v>38</v>
      </c>
      <c r="D37" s="153">
        <v>800</v>
      </c>
      <c r="E37" s="153">
        <v>386.02</v>
      </c>
      <c r="F37" s="153">
        <v>308816</v>
      </c>
      <c r="G37" s="153">
        <v>1</v>
      </c>
      <c r="H37" s="153">
        <v>308816</v>
      </c>
      <c r="I37" s="218">
        <v>0.15</v>
      </c>
      <c r="J37"/>
      <c r="K37"/>
    </row>
    <row r="38" spans="1:11">
      <c r="A38" s="221" t="s">
        <v>412</v>
      </c>
      <c r="B38" s="153" t="s">
        <v>140</v>
      </c>
      <c r="C38" s="153" t="s">
        <v>38</v>
      </c>
      <c r="D38" s="153">
        <v>-4</v>
      </c>
      <c r="E38" s="153">
        <v>2.6</v>
      </c>
      <c r="F38" s="153">
        <v>-10.4</v>
      </c>
      <c r="G38" s="153">
        <v>1</v>
      </c>
      <c r="H38" s="153">
        <v>-10.4</v>
      </c>
      <c r="I38" s="218">
        <v>0</v>
      </c>
      <c r="J38"/>
      <c r="K38"/>
    </row>
    <row r="39" spans="1:11">
      <c r="A39" s="221" t="s">
        <v>305</v>
      </c>
      <c r="B39" s="153" t="s">
        <v>44</v>
      </c>
      <c r="C39" s="153" t="s">
        <v>38</v>
      </c>
      <c r="D39" s="153">
        <v>2000</v>
      </c>
      <c r="E39" s="153">
        <v>51.63</v>
      </c>
      <c r="F39" s="153">
        <v>103260</v>
      </c>
      <c r="G39" s="153">
        <v>1</v>
      </c>
      <c r="H39" s="308">
        <v>103260</v>
      </c>
      <c r="I39" s="218">
        <v>0.05</v>
      </c>
      <c r="J39"/>
      <c r="K39"/>
    </row>
    <row r="40" spans="1:11">
      <c r="A40" s="221" t="s">
        <v>413</v>
      </c>
      <c r="B40" s="153" t="s">
        <v>140</v>
      </c>
      <c r="C40" s="153" t="s">
        <v>38</v>
      </c>
      <c r="D40" s="153">
        <v>-10</v>
      </c>
      <c r="E40" s="153">
        <v>0.46</v>
      </c>
      <c r="F40" s="153">
        <v>-4.6000000000000014</v>
      </c>
      <c r="G40" s="153">
        <v>1</v>
      </c>
      <c r="H40" s="153">
        <v>-4.5999999999999996</v>
      </c>
      <c r="I40" s="218">
        <v>0</v>
      </c>
      <c r="J40"/>
      <c r="K40"/>
    </row>
    <row r="41" spans="1:11">
      <c r="A41" s="221" t="s">
        <v>371</v>
      </c>
      <c r="B41" s="153" t="s">
        <v>23</v>
      </c>
      <c r="C41" s="153" t="s">
        <v>38</v>
      </c>
      <c r="D41" s="153">
        <v>1000</v>
      </c>
      <c r="E41" s="153">
        <v>324.56</v>
      </c>
      <c r="F41" s="153">
        <v>324560</v>
      </c>
      <c r="G41" s="153">
        <v>1</v>
      </c>
      <c r="H41" s="153">
        <v>324560</v>
      </c>
      <c r="I41" s="218">
        <v>0.16</v>
      </c>
      <c r="J41"/>
      <c r="K41"/>
    </row>
    <row r="42" spans="1:11">
      <c r="A42" s="221" t="s">
        <v>285</v>
      </c>
      <c r="B42" s="153" t="s">
        <v>23</v>
      </c>
      <c r="C42" s="153" t="s">
        <v>38</v>
      </c>
      <c r="D42" s="153">
        <v>10000</v>
      </c>
      <c r="E42" s="153">
        <v>198.31</v>
      </c>
      <c r="F42" s="153">
        <v>1983100</v>
      </c>
      <c r="G42" s="153">
        <v>1</v>
      </c>
      <c r="H42" s="308">
        <v>1983100</v>
      </c>
      <c r="I42" s="218">
        <v>0.9900000000000001</v>
      </c>
      <c r="J42"/>
      <c r="K42"/>
    </row>
    <row r="43" spans="1:11">
      <c r="A43" s="221" t="s">
        <v>103</v>
      </c>
      <c r="B43" s="153" t="s">
        <v>42</v>
      </c>
      <c r="C43" s="153" t="s">
        <v>38</v>
      </c>
      <c r="D43" s="153">
        <v>38350</v>
      </c>
      <c r="E43" s="153">
        <v>79.900000000000006</v>
      </c>
      <c r="F43" s="153">
        <v>3064165</v>
      </c>
      <c r="G43" s="153">
        <v>1</v>
      </c>
      <c r="H43" s="153">
        <v>3064165</v>
      </c>
      <c r="I43" s="218">
        <v>1.54</v>
      </c>
      <c r="J43" s="153"/>
      <c r="K43"/>
    </row>
    <row r="44" spans="1:11">
      <c r="A44" s="221" t="s">
        <v>293</v>
      </c>
      <c r="B44" s="153" t="s">
        <v>138</v>
      </c>
      <c r="C44" s="153" t="s">
        <v>37</v>
      </c>
      <c r="D44" s="153">
        <v>50000</v>
      </c>
      <c r="E44" s="153">
        <v>43.85</v>
      </c>
      <c r="F44" s="153">
        <v>2192500</v>
      </c>
      <c r="G44" s="153">
        <v>1.3696941472969091</v>
      </c>
      <c r="H44" s="308">
        <v>1600722.32</v>
      </c>
      <c r="I44" s="218">
        <v>0.8</v>
      </c>
      <c r="J44"/>
      <c r="K44"/>
    </row>
    <row r="45" spans="1:11">
      <c r="A45" s="221" t="s">
        <v>110</v>
      </c>
      <c r="B45" s="153" t="s">
        <v>44</v>
      </c>
      <c r="C45" s="153" t="s">
        <v>38</v>
      </c>
      <c r="D45" s="153">
        <v>55000</v>
      </c>
      <c r="E45" s="153">
        <v>26.6</v>
      </c>
      <c r="F45" s="153">
        <v>1463000</v>
      </c>
      <c r="G45" s="153">
        <v>1</v>
      </c>
      <c r="H45" s="153">
        <v>1463000</v>
      </c>
      <c r="I45" s="218">
        <v>0.73</v>
      </c>
      <c r="J45"/>
      <c r="K45"/>
    </row>
    <row r="46" spans="1:11">
      <c r="A46" s="221" t="s">
        <v>372</v>
      </c>
      <c r="B46" s="153" t="s">
        <v>139</v>
      </c>
      <c r="C46" s="153" t="s">
        <v>38</v>
      </c>
      <c r="D46" s="153">
        <v>2000</v>
      </c>
      <c r="E46" s="153">
        <v>434.72</v>
      </c>
      <c r="F46" s="153">
        <v>869440</v>
      </c>
      <c r="G46" s="153">
        <v>1</v>
      </c>
      <c r="H46" s="153">
        <v>869440</v>
      </c>
      <c r="I46" s="218">
        <v>0.44</v>
      </c>
      <c r="J46"/>
      <c r="K46"/>
    </row>
    <row r="47" spans="1:11">
      <c r="A47" s="221" t="s">
        <v>414</v>
      </c>
      <c r="B47" s="153" t="s">
        <v>140</v>
      </c>
      <c r="C47" s="153" t="s">
        <v>38</v>
      </c>
      <c r="D47" s="153">
        <v>-10</v>
      </c>
      <c r="E47" s="153">
        <v>1.08</v>
      </c>
      <c r="F47" s="153">
        <v>-10.8</v>
      </c>
      <c r="G47" s="153">
        <v>1</v>
      </c>
      <c r="H47" s="153">
        <v>-10.8</v>
      </c>
      <c r="I47" s="218">
        <v>0</v>
      </c>
      <c r="J47"/>
      <c r="K47"/>
    </row>
    <row r="48" spans="1:11">
      <c r="A48" s="221" t="s">
        <v>114</v>
      </c>
      <c r="B48" s="153" t="s">
        <v>139</v>
      </c>
      <c r="C48" s="153" t="s">
        <v>38</v>
      </c>
      <c r="D48" s="153">
        <v>30000</v>
      </c>
      <c r="E48" s="153">
        <v>44.03</v>
      </c>
      <c r="F48" s="153">
        <v>1320900</v>
      </c>
      <c r="G48" s="153">
        <v>1</v>
      </c>
      <c r="H48" s="153">
        <v>1320900</v>
      </c>
      <c r="I48" s="218">
        <v>0.66</v>
      </c>
      <c r="J48"/>
      <c r="K48"/>
    </row>
    <row r="49" spans="1:11">
      <c r="A49" s="221" t="s">
        <v>415</v>
      </c>
      <c r="B49" s="153" t="s">
        <v>140</v>
      </c>
      <c r="C49" s="153" t="s">
        <v>38</v>
      </c>
      <c r="D49" s="153">
        <v>0</v>
      </c>
      <c r="E49" s="153">
        <v>0</v>
      </c>
      <c r="F49" s="153">
        <v>0</v>
      </c>
      <c r="G49" s="153">
        <v>1</v>
      </c>
      <c r="H49" s="308">
        <v>0</v>
      </c>
      <c r="I49" s="218">
        <v>0</v>
      </c>
      <c r="J49"/>
      <c r="K49"/>
    </row>
    <row r="50" spans="1:11">
      <c r="A50" s="221" t="s">
        <v>375</v>
      </c>
      <c r="B50" s="153" t="s">
        <v>140</v>
      </c>
      <c r="C50" s="153" t="s">
        <v>38</v>
      </c>
      <c r="D50" s="153">
        <v>25</v>
      </c>
      <c r="E50" s="153">
        <v>40.5</v>
      </c>
      <c r="F50" s="153">
        <v>1012.5</v>
      </c>
      <c r="G50" s="153">
        <v>1</v>
      </c>
      <c r="H50" s="308">
        <v>1012.5</v>
      </c>
      <c r="I50" s="218">
        <v>0</v>
      </c>
      <c r="J50"/>
      <c r="K50"/>
    </row>
    <row r="51" spans="1:11">
      <c r="A51" s="221" t="s">
        <v>376</v>
      </c>
      <c r="B51" s="153" t="s">
        <v>155</v>
      </c>
      <c r="C51" s="153" t="s">
        <v>38</v>
      </c>
      <c r="D51" s="153">
        <v>15</v>
      </c>
      <c r="E51" s="153">
        <v>6033.5</v>
      </c>
      <c r="F51" s="153">
        <v>90502.5</v>
      </c>
      <c r="G51" s="153">
        <v>1</v>
      </c>
      <c r="H51" s="153">
        <v>90502.5</v>
      </c>
      <c r="I51" s="218">
        <v>0.05</v>
      </c>
      <c r="J51"/>
      <c r="K51"/>
    </row>
    <row r="52" spans="1:11">
      <c r="A52" s="221" t="s">
        <v>76</v>
      </c>
      <c r="B52" s="153" t="s">
        <v>42</v>
      </c>
      <c r="C52" s="153" t="s">
        <v>38</v>
      </c>
      <c r="D52" s="153">
        <v>150000</v>
      </c>
      <c r="E52" s="153">
        <v>17.760000000000002</v>
      </c>
      <c r="F52" s="153">
        <v>2664000</v>
      </c>
      <c r="G52" s="153">
        <v>1</v>
      </c>
      <c r="H52" s="153">
        <v>2664000</v>
      </c>
      <c r="I52" s="218">
        <v>1.34</v>
      </c>
      <c r="J52"/>
      <c r="K52"/>
    </row>
    <row r="53" spans="1:11">
      <c r="A53" s="221" t="s">
        <v>108</v>
      </c>
      <c r="B53" s="153" t="s">
        <v>44</v>
      </c>
      <c r="C53" s="153" t="s">
        <v>38</v>
      </c>
      <c r="D53" s="153">
        <v>69481</v>
      </c>
      <c r="E53" s="153">
        <v>249.27</v>
      </c>
      <c r="F53" s="153">
        <v>17319528.870000001</v>
      </c>
      <c r="G53" s="153">
        <v>1</v>
      </c>
      <c r="H53" s="153">
        <v>17319528.870000001</v>
      </c>
      <c r="I53" s="218">
        <v>8.68</v>
      </c>
      <c r="J53"/>
      <c r="K53"/>
    </row>
    <row r="54" spans="1:11">
      <c r="A54" s="221" t="s">
        <v>416</v>
      </c>
      <c r="B54" s="153" t="s">
        <v>140</v>
      </c>
      <c r="C54" s="153" t="s">
        <v>38</v>
      </c>
      <c r="D54" s="153">
        <v>-50</v>
      </c>
      <c r="E54" s="153">
        <v>0.74</v>
      </c>
      <c r="F54" s="153">
        <v>-37</v>
      </c>
      <c r="G54" s="153">
        <v>1</v>
      </c>
      <c r="H54" s="308">
        <v>-37</v>
      </c>
      <c r="I54" s="218">
        <v>0</v>
      </c>
      <c r="J54"/>
      <c r="K54"/>
    </row>
    <row r="55" spans="1:11">
      <c r="A55" s="221" t="s">
        <v>307</v>
      </c>
      <c r="B55" s="153" t="s">
        <v>23</v>
      </c>
      <c r="C55" s="153" t="s">
        <v>38</v>
      </c>
      <c r="D55" s="153">
        <v>3000</v>
      </c>
      <c r="E55" s="153">
        <v>197.55</v>
      </c>
      <c r="F55" s="153">
        <v>592650</v>
      </c>
      <c r="G55" s="153">
        <v>1</v>
      </c>
      <c r="H55" s="308">
        <v>592650</v>
      </c>
      <c r="I55" s="218">
        <v>0.3</v>
      </c>
      <c r="J55"/>
      <c r="K55"/>
    </row>
    <row r="56" spans="1:11">
      <c r="A56" s="221" t="s">
        <v>303</v>
      </c>
      <c r="B56" s="153" t="s">
        <v>23</v>
      </c>
      <c r="C56" s="153" t="s">
        <v>38</v>
      </c>
      <c r="D56" s="153">
        <v>2000</v>
      </c>
      <c r="E56" s="153">
        <v>625.94000000000005</v>
      </c>
      <c r="F56" s="153">
        <v>1251880</v>
      </c>
      <c r="G56" s="153">
        <v>1</v>
      </c>
      <c r="H56" s="308">
        <v>1251880</v>
      </c>
      <c r="I56" s="218">
        <v>0.63</v>
      </c>
      <c r="J56"/>
      <c r="K56"/>
    </row>
    <row r="57" spans="1:11">
      <c r="A57" s="221" t="s">
        <v>199</v>
      </c>
      <c r="B57" s="153" t="s">
        <v>44</v>
      </c>
      <c r="C57" s="153" t="s">
        <v>38</v>
      </c>
      <c r="D57" s="153">
        <v>11100</v>
      </c>
      <c r="E57" s="153">
        <v>151.35</v>
      </c>
      <c r="F57" s="153">
        <v>1679985</v>
      </c>
      <c r="G57" s="153">
        <v>1</v>
      </c>
      <c r="H57" s="153">
        <v>1679985</v>
      </c>
      <c r="I57" s="218">
        <v>0.84</v>
      </c>
      <c r="J57"/>
      <c r="K57"/>
    </row>
    <row r="58" spans="1:11">
      <c r="A58" s="221" t="s">
        <v>120</v>
      </c>
      <c r="B58" s="153" t="s">
        <v>44</v>
      </c>
      <c r="C58" s="153" t="s">
        <v>38</v>
      </c>
      <c r="D58" s="153">
        <v>55000</v>
      </c>
      <c r="E58" s="153">
        <v>26.95</v>
      </c>
      <c r="F58" s="153">
        <v>1482250</v>
      </c>
      <c r="G58" s="153">
        <v>1</v>
      </c>
      <c r="H58" s="153">
        <v>1482250</v>
      </c>
      <c r="I58" s="218">
        <v>0.74</v>
      </c>
      <c r="J58"/>
      <c r="K58"/>
    </row>
    <row r="59" spans="1:11">
      <c r="A59" s="221" t="s">
        <v>282</v>
      </c>
      <c r="B59" s="153" t="s">
        <v>44</v>
      </c>
      <c r="C59" s="153" t="s">
        <v>38</v>
      </c>
      <c r="D59" s="153">
        <v>55000</v>
      </c>
      <c r="E59" s="153">
        <v>59.62</v>
      </c>
      <c r="F59" s="153">
        <v>3279100</v>
      </c>
      <c r="G59" s="153">
        <v>1</v>
      </c>
      <c r="H59" s="153">
        <v>3279100</v>
      </c>
      <c r="I59" s="218">
        <v>1.64</v>
      </c>
      <c r="J59"/>
      <c r="K59"/>
    </row>
    <row r="60" spans="1:11">
      <c r="A60" s="221" t="s">
        <v>417</v>
      </c>
      <c r="B60" s="153" t="s">
        <v>140</v>
      </c>
      <c r="C60" s="153" t="s">
        <v>38</v>
      </c>
      <c r="D60" s="153">
        <v>-50</v>
      </c>
      <c r="E60" s="153">
        <v>1.92</v>
      </c>
      <c r="F60" s="153">
        <v>-96</v>
      </c>
      <c r="G60" s="153">
        <v>1</v>
      </c>
      <c r="H60" s="153">
        <v>-96</v>
      </c>
      <c r="I60" s="218">
        <v>0</v>
      </c>
      <c r="J60"/>
      <c r="K60"/>
    </row>
    <row r="61" spans="1:11">
      <c r="A61" s="221" t="s">
        <v>418</v>
      </c>
      <c r="B61" s="153" t="s">
        <v>140</v>
      </c>
      <c r="C61" s="153" t="s">
        <v>38</v>
      </c>
      <c r="D61" s="153">
        <v>-50</v>
      </c>
      <c r="E61" s="153">
        <v>0.99</v>
      </c>
      <c r="F61" s="153">
        <v>-49.5</v>
      </c>
      <c r="G61" s="153">
        <v>1</v>
      </c>
      <c r="H61" s="308">
        <v>-49.5</v>
      </c>
      <c r="I61" s="218">
        <v>0</v>
      </c>
      <c r="J61"/>
      <c r="K61"/>
    </row>
    <row r="62" spans="1:11">
      <c r="A62" s="221" t="s">
        <v>310</v>
      </c>
      <c r="B62" s="153" t="s">
        <v>23</v>
      </c>
      <c r="C62" s="153" t="s">
        <v>38</v>
      </c>
      <c r="D62" s="153">
        <v>1000</v>
      </c>
      <c r="E62" s="153">
        <v>149.11000000000001</v>
      </c>
      <c r="F62" s="153">
        <v>149110</v>
      </c>
      <c r="G62" s="153">
        <v>1</v>
      </c>
      <c r="H62" s="153">
        <v>149110</v>
      </c>
      <c r="I62" s="218">
        <v>6.9999999999999993E-2</v>
      </c>
      <c r="J62"/>
      <c r="K62"/>
    </row>
    <row r="63" spans="1:11">
      <c r="A63" s="221" t="s">
        <v>419</v>
      </c>
      <c r="B63" s="153" t="s">
        <v>140</v>
      </c>
      <c r="C63" s="153" t="s">
        <v>38</v>
      </c>
      <c r="D63" s="153">
        <v>-10</v>
      </c>
      <c r="E63" s="153">
        <v>4.1100000000000003</v>
      </c>
      <c r="F63" s="153">
        <v>-41.1</v>
      </c>
      <c r="G63" s="153">
        <v>1</v>
      </c>
      <c r="H63" s="153">
        <v>-41.1</v>
      </c>
      <c r="I63" s="218">
        <v>0</v>
      </c>
      <c r="J63"/>
      <c r="K63"/>
    </row>
    <row r="64" spans="1:11">
      <c r="A64" s="221" t="s">
        <v>308</v>
      </c>
      <c r="B64" s="153" t="s">
        <v>139</v>
      </c>
      <c r="C64" s="153" t="s">
        <v>38</v>
      </c>
      <c r="D64" s="153">
        <v>11000</v>
      </c>
      <c r="E64" s="153">
        <v>100.32</v>
      </c>
      <c r="F64" s="153">
        <v>1103520</v>
      </c>
      <c r="G64" s="153">
        <v>1</v>
      </c>
      <c r="H64" s="153">
        <v>1103520</v>
      </c>
      <c r="I64" s="218">
        <v>0.54999999999999993</v>
      </c>
      <c r="J64"/>
      <c r="K64"/>
    </row>
    <row r="65" spans="1:11">
      <c r="A65" s="221" t="s">
        <v>296</v>
      </c>
      <c r="B65" s="153" t="s">
        <v>139</v>
      </c>
      <c r="C65" s="153" t="s">
        <v>38</v>
      </c>
      <c r="D65" s="153">
        <v>61500</v>
      </c>
      <c r="E65" s="153">
        <v>64.7</v>
      </c>
      <c r="F65" s="153">
        <v>3979050</v>
      </c>
      <c r="G65" s="153">
        <v>1</v>
      </c>
      <c r="H65" s="153">
        <v>3979050</v>
      </c>
      <c r="I65" s="218">
        <v>1.99</v>
      </c>
      <c r="J65"/>
      <c r="K65"/>
    </row>
    <row r="66" spans="1:11">
      <c r="A66" s="221" t="s">
        <v>378</v>
      </c>
      <c r="B66" s="153" t="s">
        <v>140</v>
      </c>
      <c r="C66" s="153" t="s">
        <v>38</v>
      </c>
      <c r="D66" s="153">
        <v>0</v>
      </c>
      <c r="E66" s="153">
        <v>1.7</v>
      </c>
      <c r="F66" s="153">
        <v>0</v>
      </c>
      <c r="G66" s="153">
        <v>1</v>
      </c>
      <c r="H66" s="153">
        <v>0</v>
      </c>
      <c r="I66" s="218">
        <v>0</v>
      </c>
      <c r="J66"/>
      <c r="K66"/>
    </row>
    <row r="67" spans="1:11">
      <c r="A67" s="221" t="s">
        <v>113</v>
      </c>
      <c r="B67" s="153" t="s">
        <v>42</v>
      </c>
      <c r="C67" s="153" t="s">
        <v>38</v>
      </c>
      <c r="D67" s="153">
        <v>21013</v>
      </c>
      <c r="E67" s="153">
        <v>47.86</v>
      </c>
      <c r="F67" s="153">
        <v>1005682.18</v>
      </c>
      <c r="G67" s="153">
        <v>1</v>
      </c>
      <c r="H67" s="153">
        <v>1005682.18</v>
      </c>
      <c r="I67" s="218">
        <v>0.5</v>
      </c>
      <c r="J67"/>
      <c r="K67"/>
    </row>
    <row r="68" spans="1:11">
      <c r="A68" s="221" t="s">
        <v>106</v>
      </c>
      <c r="B68" s="153" t="s">
        <v>139</v>
      </c>
      <c r="C68" s="153" t="s">
        <v>38</v>
      </c>
      <c r="D68" s="153">
        <v>36000</v>
      </c>
      <c r="E68" s="153">
        <v>225.46</v>
      </c>
      <c r="F68" s="153">
        <v>8116560</v>
      </c>
      <c r="G68" s="153">
        <v>1</v>
      </c>
      <c r="H68" s="308">
        <v>8116560</v>
      </c>
      <c r="I68" s="218">
        <v>4.07</v>
      </c>
      <c r="J68"/>
      <c r="K68"/>
    </row>
    <row r="69" spans="1:11">
      <c r="A69" s="221" t="s">
        <v>302</v>
      </c>
      <c r="B69" s="153" t="s">
        <v>23</v>
      </c>
      <c r="C69" s="153" t="s">
        <v>38</v>
      </c>
      <c r="D69" s="153">
        <v>4000</v>
      </c>
      <c r="E69" s="153">
        <v>259.16000000000003</v>
      </c>
      <c r="F69" s="153">
        <v>1036640</v>
      </c>
      <c r="G69" s="153">
        <v>1</v>
      </c>
      <c r="H69" s="308">
        <v>1036640</v>
      </c>
      <c r="I69" s="218">
        <v>0.52</v>
      </c>
      <c r="J69"/>
      <c r="K69"/>
    </row>
    <row r="70" spans="1:11">
      <c r="A70" s="221" t="s">
        <v>373</v>
      </c>
      <c r="B70" s="153" t="s">
        <v>23</v>
      </c>
      <c r="C70" s="153" t="s">
        <v>38</v>
      </c>
      <c r="D70" s="153">
        <v>5000</v>
      </c>
      <c r="E70" s="153">
        <v>62.71</v>
      </c>
      <c r="F70" s="153">
        <v>313550</v>
      </c>
      <c r="G70" s="153">
        <v>1</v>
      </c>
      <c r="H70" s="153">
        <v>313550</v>
      </c>
      <c r="I70" s="218">
        <v>0.16</v>
      </c>
      <c r="J70"/>
      <c r="K70"/>
    </row>
    <row r="71" spans="1:11">
      <c r="A71" s="221" t="s">
        <v>288</v>
      </c>
      <c r="B71" s="153" t="s">
        <v>23</v>
      </c>
      <c r="C71" s="153" t="s">
        <v>38</v>
      </c>
      <c r="D71" s="153">
        <v>400</v>
      </c>
      <c r="E71" s="153">
        <v>725.72</v>
      </c>
      <c r="F71" s="153">
        <v>290288</v>
      </c>
      <c r="G71" s="153">
        <v>1</v>
      </c>
      <c r="H71" s="153">
        <v>290288</v>
      </c>
      <c r="I71" s="218">
        <v>0.15</v>
      </c>
      <c r="J71"/>
      <c r="K71"/>
    </row>
    <row r="72" spans="1:11">
      <c r="A72" s="221" t="s">
        <v>107</v>
      </c>
      <c r="B72" s="153" t="s">
        <v>42</v>
      </c>
      <c r="C72" s="153" t="s">
        <v>38</v>
      </c>
      <c r="D72" s="153">
        <v>20000</v>
      </c>
      <c r="E72" s="153">
        <v>106.78</v>
      </c>
      <c r="F72" s="153">
        <v>2135600</v>
      </c>
      <c r="G72" s="153">
        <v>1</v>
      </c>
      <c r="H72" s="153">
        <v>2135600</v>
      </c>
      <c r="I72" s="218">
        <v>1.07</v>
      </c>
      <c r="J72"/>
      <c r="K72"/>
    </row>
    <row r="73" spans="1:11">
      <c r="A73" s="221" t="s">
        <v>395</v>
      </c>
      <c r="B73" s="153" t="s">
        <v>42</v>
      </c>
      <c r="C73" s="153" t="s">
        <v>38</v>
      </c>
      <c r="D73" s="153">
        <v>4000</v>
      </c>
      <c r="E73" s="153">
        <v>91.59</v>
      </c>
      <c r="F73" s="153">
        <v>366360</v>
      </c>
      <c r="G73" s="153">
        <v>1</v>
      </c>
      <c r="H73" s="153">
        <v>366360</v>
      </c>
      <c r="I73" s="218">
        <v>0.18</v>
      </c>
      <c r="J73"/>
      <c r="K73"/>
    </row>
    <row r="74" spans="1:11">
      <c r="A74" s="221" t="s">
        <v>96</v>
      </c>
      <c r="B74" s="153" t="s">
        <v>23</v>
      </c>
      <c r="C74" s="153" t="s">
        <v>38</v>
      </c>
      <c r="D74" s="153">
        <v>5000</v>
      </c>
      <c r="E74" s="153">
        <v>280.95</v>
      </c>
      <c r="F74" s="153">
        <v>1404750</v>
      </c>
      <c r="G74" s="153">
        <v>1</v>
      </c>
      <c r="H74" s="153">
        <v>1404750</v>
      </c>
      <c r="I74" s="218">
        <v>0.70000000000000007</v>
      </c>
      <c r="J74"/>
      <c r="K74"/>
    </row>
    <row r="75" spans="1:11">
      <c r="A75" s="221" t="s">
        <v>299</v>
      </c>
      <c r="B75" s="153" t="s">
        <v>140</v>
      </c>
      <c r="C75" s="153" t="s">
        <v>38</v>
      </c>
      <c r="D75" s="153">
        <v>0</v>
      </c>
      <c r="E75" s="153">
        <v>0</v>
      </c>
      <c r="F75" s="153">
        <v>0</v>
      </c>
      <c r="G75" s="153">
        <v>1</v>
      </c>
      <c r="H75" s="153">
        <v>0</v>
      </c>
      <c r="I75" s="218">
        <v>0</v>
      </c>
      <c r="J75"/>
      <c r="K75"/>
    </row>
    <row r="76" spans="1:11">
      <c r="A76" s="221" t="s">
        <v>289</v>
      </c>
      <c r="B76" s="153" t="s">
        <v>23</v>
      </c>
      <c r="C76" s="153" t="s">
        <v>38</v>
      </c>
      <c r="D76" s="153">
        <v>1700</v>
      </c>
      <c r="E76" s="153">
        <v>429.03</v>
      </c>
      <c r="F76" s="153">
        <v>729351</v>
      </c>
      <c r="G76" s="153">
        <v>1</v>
      </c>
      <c r="H76" s="153">
        <v>729351</v>
      </c>
      <c r="I76" s="218">
        <v>0.37</v>
      </c>
      <c r="J76"/>
      <c r="K76"/>
    </row>
    <row r="77" spans="1:11">
      <c r="A77" s="221" t="s">
        <v>408</v>
      </c>
      <c r="B77" s="153" t="s">
        <v>140</v>
      </c>
      <c r="C77" s="153" t="s">
        <v>38</v>
      </c>
      <c r="D77" s="153">
        <v>0</v>
      </c>
      <c r="E77" s="153">
        <v>0</v>
      </c>
      <c r="F77" s="153">
        <v>0</v>
      </c>
      <c r="G77" s="153">
        <v>1</v>
      </c>
      <c r="H77" s="153">
        <v>0</v>
      </c>
      <c r="I77" s="218">
        <v>0</v>
      </c>
      <c r="J77"/>
      <c r="K77"/>
    </row>
    <row r="78" spans="1:11">
      <c r="A78" s="221" t="s">
        <v>420</v>
      </c>
      <c r="B78" s="153" t="s">
        <v>140</v>
      </c>
      <c r="C78" s="153" t="s">
        <v>38</v>
      </c>
      <c r="D78" s="153">
        <v>0</v>
      </c>
      <c r="E78" s="153">
        <v>0</v>
      </c>
      <c r="F78" s="153">
        <v>0</v>
      </c>
      <c r="G78" s="153">
        <v>1</v>
      </c>
      <c r="H78" s="153">
        <v>0</v>
      </c>
      <c r="I78" s="218">
        <v>0</v>
      </c>
      <c r="J78"/>
      <c r="K78"/>
    </row>
    <row r="79" spans="1:11">
      <c r="A79" s="221" t="s">
        <v>421</v>
      </c>
      <c r="B79" s="153" t="s">
        <v>140</v>
      </c>
      <c r="C79" s="153" t="s">
        <v>38</v>
      </c>
      <c r="D79" s="153">
        <v>0</v>
      </c>
      <c r="E79" s="153">
        <v>0</v>
      </c>
      <c r="F79" s="153">
        <v>0</v>
      </c>
      <c r="G79" s="153">
        <v>1</v>
      </c>
      <c r="H79" s="153">
        <v>0</v>
      </c>
      <c r="I79" s="218">
        <v>0</v>
      </c>
      <c r="J79"/>
      <c r="K79"/>
    </row>
    <row r="80" spans="1:11">
      <c r="A80" s="221" t="s">
        <v>422</v>
      </c>
      <c r="B80" s="153" t="s">
        <v>140</v>
      </c>
      <c r="C80" s="153" t="s">
        <v>38</v>
      </c>
      <c r="D80" s="153">
        <v>0</v>
      </c>
      <c r="E80" s="153">
        <v>0</v>
      </c>
      <c r="F80" s="153">
        <v>0</v>
      </c>
      <c r="G80" s="153">
        <v>1</v>
      </c>
      <c r="H80" s="153">
        <v>0</v>
      </c>
      <c r="I80" s="218">
        <v>0</v>
      </c>
      <c r="J80"/>
      <c r="K80"/>
    </row>
    <row r="81" spans="1:11">
      <c r="A81" s="221" t="s">
        <v>423</v>
      </c>
      <c r="B81" s="153" t="s">
        <v>140</v>
      </c>
      <c r="C81" s="153" t="s">
        <v>38</v>
      </c>
      <c r="D81" s="153">
        <v>0</v>
      </c>
      <c r="E81" s="153">
        <v>0</v>
      </c>
      <c r="F81" s="153">
        <v>0</v>
      </c>
      <c r="G81" s="153">
        <v>1</v>
      </c>
      <c r="H81" s="153">
        <v>0</v>
      </c>
      <c r="I81" s="218">
        <v>0</v>
      </c>
      <c r="J81"/>
      <c r="K81"/>
    </row>
    <row r="82" spans="1:11">
      <c r="A82" s="221" t="s">
        <v>424</v>
      </c>
      <c r="B82" s="153" t="s">
        <v>140</v>
      </c>
      <c r="C82" s="153" t="s">
        <v>38</v>
      </c>
      <c r="D82" s="153">
        <v>0</v>
      </c>
      <c r="E82" s="153">
        <v>0</v>
      </c>
      <c r="F82" s="153">
        <v>0</v>
      </c>
      <c r="G82" s="153">
        <v>1</v>
      </c>
      <c r="H82" s="153">
        <v>0</v>
      </c>
      <c r="I82" s="218">
        <v>0</v>
      </c>
      <c r="J82"/>
      <c r="K82"/>
    </row>
    <row r="83" spans="1:11">
      <c r="A83" s="221" t="s">
        <v>425</v>
      </c>
      <c r="B83" s="153" t="s">
        <v>140</v>
      </c>
      <c r="C83" s="153" t="s">
        <v>38</v>
      </c>
      <c r="D83" s="153">
        <v>0</v>
      </c>
      <c r="E83" s="153">
        <v>0</v>
      </c>
      <c r="F83" s="153">
        <v>0</v>
      </c>
      <c r="G83" s="153">
        <v>1</v>
      </c>
      <c r="H83" s="153">
        <v>0</v>
      </c>
      <c r="I83" s="218">
        <v>0</v>
      </c>
      <c r="J83"/>
      <c r="K83"/>
    </row>
    <row r="84" spans="1:11">
      <c r="A84" s="221" t="s">
        <v>426</v>
      </c>
      <c r="B84" s="153" t="s">
        <v>140</v>
      </c>
      <c r="C84" s="153" t="s">
        <v>38</v>
      </c>
      <c r="D84" s="153">
        <v>-10</v>
      </c>
      <c r="E84" s="153">
        <v>50.75</v>
      </c>
      <c r="F84" s="153">
        <v>-507.5</v>
      </c>
      <c r="G84" s="153">
        <v>1</v>
      </c>
      <c r="H84" s="153">
        <v>-507.5</v>
      </c>
      <c r="I84" s="218">
        <v>0</v>
      </c>
      <c r="J84"/>
      <c r="K84"/>
    </row>
    <row r="85" spans="1:11">
      <c r="A85" s="221" t="s">
        <v>379</v>
      </c>
      <c r="B85" s="153" t="s">
        <v>140</v>
      </c>
      <c r="C85" s="153" t="s">
        <v>38</v>
      </c>
      <c r="D85" s="153">
        <v>30</v>
      </c>
      <c r="E85" s="153">
        <v>70.5</v>
      </c>
      <c r="F85" s="153">
        <v>2115</v>
      </c>
      <c r="G85" s="153">
        <v>1</v>
      </c>
      <c r="H85" s="153">
        <v>2115</v>
      </c>
      <c r="I85" s="218">
        <v>0</v>
      </c>
      <c r="J85"/>
      <c r="K85"/>
    </row>
    <row r="86" spans="1:11">
      <c r="A86" s="221" t="s">
        <v>377</v>
      </c>
      <c r="B86" s="153" t="s">
        <v>155</v>
      </c>
      <c r="C86" s="153" t="s">
        <v>38</v>
      </c>
      <c r="D86" s="153">
        <v>40</v>
      </c>
      <c r="E86" s="153">
        <v>21594.75</v>
      </c>
      <c r="F86" s="153">
        <v>863790</v>
      </c>
      <c r="G86" s="153">
        <v>1</v>
      </c>
      <c r="H86" s="153">
        <v>863790</v>
      </c>
      <c r="I86" s="218">
        <v>0.43</v>
      </c>
      <c r="J86"/>
      <c r="K86"/>
    </row>
    <row r="87" spans="1:11">
      <c r="A87" s="221" t="s">
        <v>88</v>
      </c>
      <c r="B87" s="153" t="s">
        <v>23</v>
      </c>
      <c r="C87" s="153" t="s">
        <v>38</v>
      </c>
      <c r="D87" s="153">
        <v>172800</v>
      </c>
      <c r="E87" s="153">
        <v>137.71</v>
      </c>
      <c r="F87" s="153">
        <v>23796288</v>
      </c>
      <c r="G87" s="153">
        <v>1</v>
      </c>
      <c r="H87" s="153">
        <v>23796288</v>
      </c>
      <c r="I87" s="218">
        <v>11.93</v>
      </c>
      <c r="J87"/>
      <c r="K87"/>
    </row>
    <row r="88" spans="1:11">
      <c r="A88" s="221" t="s">
        <v>383</v>
      </c>
      <c r="B88" s="153" t="s">
        <v>140</v>
      </c>
      <c r="C88" s="153" t="s">
        <v>38</v>
      </c>
      <c r="D88" s="153">
        <v>0</v>
      </c>
      <c r="E88" s="153">
        <v>0</v>
      </c>
      <c r="F88" s="153">
        <v>0</v>
      </c>
      <c r="G88" s="153">
        <v>1</v>
      </c>
      <c r="H88" s="153">
        <v>0</v>
      </c>
      <c r="I88" s="218">
        <v>0</v>
      </c>
      <c r="J88"/>
      <c r="K88"/>
    </row>
    <row r="89" spans="1:11">
      <c r="A89" s="221" t="s">
        <v>400</v>
      </c>
      <c r="B89" s="153" t="s">
        <v>140</v>
      </c>
      <c r="C89" s="153" t="s">
        <v>38</v>
      </c>
      <c r="D89" s="153">
        <v>100</v>
      </c>
      <c r="E89" s="153">
        <v>12.85</v>
      </c>
      <c r="F89" s="153">
        <v>1285</v>
      </c>
      <c r="G89" s="153">
        <v>1</v>
      </c>
      <c r="H89" s="153">
        <v>1285</v>
      </c>
      <c r="I89" s="218">
        <v>0</v>
      </c>
      <c r="J89"/>
      <c r="K89"/>
    </row>
    <row r="90" spans="1:11">
      <c r="A90" s="221" t="s">
        <v>374</v>
      </c>
      <c r="B90" s="153" t="s">
        <v>23</v>
      </c>
      <c r="C90" s="153" t="s">
        <v>38</v>
      </c>
      <c r="D90" s="153">
        <v>2000</v>
      </c>
      <c r="E90" s="153">
        <v>161.03</v>
      </c>
      <c r="F90" s="153">
        <v>322060</v>
      </c>
      <c r="G90" s="153">
        <v>1</v>
      </c>
      <c r="H90" s="153">
        <v>322060</v>
      </c>
      <c r="I90" s="218">
        <v>0.16</v>
      </c>
      <c r="J90"/>
      <c r="K90"/>
    </row>
    <row r="91" spans="1:11">
      <c r="A91" s="221" t="s">
        <v>309</v>
      </c>
      <c r="B91" s="153" t="s">
        <v>23</v>
      </c>
      <c r="C91" s="153" t="s">
        <v>38</v>
      </c>
      <c r="D91" s="153">
        <v>2500</v>
      </c>
      <c r="E91" s="153">
        <v>177.11</v>
      </c>
      <c r="F91" s="153">
        <v>442775.00000000012</v>
      </c>
      <c r="G91" s="153">
        <v>1</v>
      </c>
      <c r="H91" s="153">
        <v>442775</v>
      </c>
      <c r="I91" s="218">
        <v>0.22</v>
      </c>
      <c r="J91"/>
      <c r="K91"/>
    </row>
    <row r="92" spans="1:11">
      <c r="A92" s="221" t="s">
        <v>291</v>
      </c>
      <c r="B92" s="153" t="s">
        <v>138</v>
      </c>
      <c r="C92" s="153" t="s">
        <v>38</v>
      </c>
      <c r="D92" s="153">
        <v>10000</v>
      </c>
      <c r="E92" s="153">
        <v>105.57</v>
      </c>
      <c r="F92" s="153">
        <v>1055700</v>
      </c>
      <c r="G92" s="153">
        <v>1</v>
      </c>
      <c r="H92" s="153">
        <v>1055700</v>
      </c>
      <c r="I92" s="218">
        <v>0.53</v>
      </c>
      <c r="J92"/>
      <c r="K92"/>
    </row>
    <row r="93" spans="1:11">
      <c r="A93" s="221" t="s">
        <v>401</v>
      </c>
      <c r="B93" s="153" t="s">
        <v>140</v>
      </c>
      <c r="C93" s="153" t="s">
        <v>38</v>
      </c>
      <c r="D93" s="153">
        <v>0</v>
      </c>
      <c r="E93" s="153">
        <v>0</v>
      </c>
      <c r="F93" s="153">
        <v>0</v>
      </c>
      <c r="G93" s="153">
        <v>1</v>
      </c>
      <c r="H93" s="153">
        <v>0</v>
      </c>
      <c r="I93" s="218">
        <v>0</v>
      </c>
      <c r="J93"/>
      <c r="K93"/>
    </row>
    <row r="94" spans="1:11">
      <c r="A94" s="221" t="s">
        <v>385</v>
      </c>
      <c r="B94" s="153" t="s">
        <v>23</v>
      </c>
      <c r="C94" s="153" t="s">
        <v>38</v>
      </c>
      <c r="D94" s="153">
        <v>2500</v>
      </c>
      <c r="E94" s="153">
        <v>71.77</v>
      </c>
      <c r="F94" s="153">
        <v>179425</v>
      </c>
      <c r="G94" s="153">
        <v>1</v>
      </c>
      <c r="H94" s="153">
        <v>179425</v>
      </c>
      <c r="I94" s="218">
        <v>0.09</v>
      </c>
      <c r="J94"/>
      <c r="K94"/>
    </row>
    <row r="95" spans="1:11">
      <c r="A95" s="221" t="s">
        <v>25</v>
      </c>
      <c r="B95" s="153" t="s">
        <v>139</v>
      </c>
      <c r="C95" s="153" t="s">
        <v>38</v>
      </c>
      <c r="D95" s="153">
        <v>62000</v>
      </c>
      <c r="E95" s="153">
        <v>521.74</v>
      </c>
      <c r="F95" s="153">
        <v>32347880</v>
      </c>
      <c r="G95" s="153">
        <v>1</v>
      </c>
      <c r="H95" s="153">
        <v>32347880</v>
      </c>
      <c r="I95" s="218">
        <v>16.22</v>
      </c>
      <c r="J95"/>
      <c r="K95"/>
    </row>
    <row r="96" spans="1:11">
      <c r="A96" s="221" t="s">
        <v>402</v>
      </c>
      <c r="B96" s="153" t="s">
        <v>140</v>
      </c>
      <c r="C96" s="153" t="s">
        <v>38</v>
      </c>
      <c r="D96" s="153">
        <v>0</v>
      </c>
      <c r="E96" s="153">
        <v>45.34</v>
      </c>
      <c r="F96" s="153">
        <v>0</v>
      </c>
      <c r="G96" s="153">
        <v>1</v>
      </c>
      <c r="H96" s="153">
        <v>0</v>
      </c>
      <c r="I96" s="218">
        <v>0</v>
      </c>
      <c r="J96"/>
      <c r="K96"/>
    </row>
    <row r="97" spans="1:11">
      <c r="A97" s="221" t="s">
        <v>427</v>
      </c>
      <c r="B97" s="153" t="s">
        <v>140</v>
      </c>
      <c r="C97" s="153" t="s">
        <v>38</v>
      </c>
      <c r="D97" s="153">
        <v>-20</v>
      </c>
      <c r="E97" s="153">
        <v>1.06</v>
      </c>
      <c r="F97" s="153">
        <v>-21.2</v>
      </c>
      <c r="G97" s="153">
        <v>1</v>
      </c>
      <c r="H97" s="153">
        <v>-21.2</v>
      </c>
      <c r="I97" s="218">
        <v>0</v>
      </c>
      <c r="J97"/>
      <c r="K97"/>
    </row>
    <row r="98" spans="1:11">
      <c r="A98" s="221" t="s">
        <v>304</v>
      </c>
      <c r="B98" s="153" t="s">
        <v>23</v>
      </c>
      <c r="C98" s="153" t="s">
        <v>38</v>
      </c>
      <c r="D98" s="153">
        <v>5000</v>
      </c>
      <c r="E98" s="153">
        <v>121.11</v>
      </c>
      <c r="F98" s="153">
        <v>605550</v>
      </c>
      <c r="G98" s="153">
        <v>1</v>
      </c>
      <c r="H98" s="308">
        <v>605550</v>
      </c>
      <c r="I98" s="218">
        <v>0.3</v>
      </c>
      <c r="J98"/>
      <c r="K98"/>
    </row>
    <row r="99" spans="1:11">
      <c r="A99" s="221" t="s">
        <v>403</v>
      </c>
      <c r="B99" s="153" t="s">
        <v>140</v>
      </c>
      <c r="C99" s="153" t="s">
        <v>38</v>
      </c>
      <c r="D99" s="153">
        <v>0</v>
      </c>
      <c r="E99" s="153">
        <v>0</v>
      </c>
      <c r="F99" s="153">
        <v>0</v>
      </c>
      <c r="G99" s="153">
        <v>1</v>
      </c>
      <c r="H99" s="153">
        <v>0</v>
      </c>
      <c r="I99" s="218">
        <v>0</v>
      </c>
      <c r="J99"/>
      <c r="K99"/>
    </row>
    <row r="100" spans="1:11">
      <c r="A100" s="221" t="s">
        <v>407</v>
      </c>
      <c r="B100" s="153" t="s">
        <v>140</v>
      </c>
      <c r="C100" s="153" t="s">
        <v>38</v>
      </c>
      <c r="D100" s="153">
        <v>0</v>
      </c>
      <c r="E100" s="153">
        <v>0</v>
      </c>
      <c r="F100" s="153">
        <v>0</v>
      </c>
      <c r="G100" s="153">
        <v>1</v>
      </c>
      <c r="H100" s="153">
        <v>0</v>
      </c>
      <c r="I100" s="218">
        <v>0</v>
      </c>
      <c r="J100"/>
      <c r="K100"/>
    </row>
    <row r="101" spans="1:11">
      <c r="A101" s="221" t="s">
        <v>428</v>
      </c>
      <c r="B101" s="153" t="s">
        <v>140</v>
      </c>
      <c r="C101" s="153" t="s">
        <v>38</v>
      </c>
      <c r="D101" s="153">
        <v>-10</v>
      </c>
      <c r="E101" s="153">
        <v>1.55</v>
      </c>
      <c r="F101" s="153">
        <v>-15.5</v>
      </c>
      <c r="G101" s="153">
        <v>1</v>
      </c>
      <c r="H101" s="308">
        <v>-15.5</v>
      </c>
      <c r="I101" s="218">
        <v>0</v>
      </c>
      <c r="J101"/>
      <c r="K101"/>
    </row>
    <row r="102" spans="1:11">
      <c r="A102" s="221" t="s">
        <v>396</v>
      </c>
      <c r="B102" s="153" t="s">
        <v>42</v>
      </c>
      <c r="C102" s="153" t="s">
        <v>38</v>
      </c>
      <c r="D102" s="153">
        <v>12000</v>
      </c>
      <c r="E102" s="153">
        <v>22.63</v>
      </c>
      <c r="F102" s="153">
        <v>271560</v>
      </c>
      <c r="G102" s="153">
        <v>1</v>
      </c>
      <c r="H102" s="308">
        <v>271560</v>
      </c>
      <c r="I102" s="218">
        <v>0.14000000000000001</v>
      </c>
      <c r="J102"/>
      <c r="K102"/>
    </row>
    <row r="103" spans="1:11">
      <c r="A103" s="221" t="s">
        <v>404</v>
      </c>
      <c r="B103" s="153" t="s">
        <v>23</v>
      </c>
      <c r="C103" s="153" t="s">
        <v>38</v>
      </c>
      <c r="D103" s="153">
        <v>500</v>
      </c>
      <c r="E103" s="153">
        <v>170.79</v>
      </c>
      <c r="F103" s="153">
        <v>85395</v>
      </c>
      <c r="G103" s="153">
        <v>1</v>
      </c>
      <c r="H103" s="153">
        <v>85395</v>
      </c>
      <c r="I103" s="218">
        <v>0.04</v>
      </c>
      <c r="J103"/>
      <c r="K103"/>
    </row>
    <row r="104" spans="1:11">
      <c r="A104" s="221" t="s">
        <v>405</v>
      </c>
      <c r="B104" s="153" t="s">
        <v>140</v>
      </c>
      <c r="C104" s="153" t="s">
        <v>38</v>
      </c>
      <c r="D104" s="153">
        <v>0</v>
      </c>
      <c r="E104" s="153">
        <v>0</v>
      </c>
      <c r="F104" s="153">
        <v>0</v>
      </c>
      <c r="G104" s="153">
        <v>1</v>
      </c>
      <c r="H104" s="153">
        <v>0</v>
      </c>
      <c r="I104" s="218">
        <v>0</v>
      </c>
      <c r="J104"/>
      <c r="K104"/>
    </row>
    <row r="105" spans="1:11">
      <c r="A105" s="221" t="s">
        <v>429</v>
      </c>
      <c r="B105" s="153" t="s">
        <v>140</v>
      </c>
      <c r="C105" s="153" t="s">
        <v>38</v>
      </c>
      <c r="D105" s="153">
        <v>-5</v>
      </c>
      <c r="E105" s="153">
        <v>2.64</v>
      </c>
      <c r="F105" s="153">
        <v>-13.2</v>
      </c>
      <c r="G105" s="153">
        <v>1</v>
      </c>
      <c r="H105" s="153">
        <v>-13.2</v>
      </c>
      <c r="I105" s="218">
        <v>0</v>
      </c>
      <c r="J105"/>
      <c r="K105"/>
    </row>
    <row r="106" spans="1:11">
      <c r="A106" s="221" t="s">
        <v>397</v>
      </c>
      <c r="B106" s="153" t="s">
        <v>42</v>
      </c>
      <c r="C106" s="153" t="s">
        <v>38</v>
      </c>
      <c r="D106" s="153">
        <v>15000</v>
      </c>
      <c r="E106" s="153">
        <v>101.15</v>
      </c>
      <c r="F106" s="153">
        <v>1517250</v>
      </c>
      <c r="G106" s="153">
        <v>1</v>
      </c>
      <c r="H106" s="153">
        <v>1517250</v>
      </c>
      <c r="I106" s="218">
        <v>0.76</v>
      </c>
      <c r="J106"/>
      <c r="K106"/>
    </row>
    <row r="107" spans="1:11">
      <c r="A107" s="221" t="s">
        <v>105</v>
      </c>
      <c r="B107" s="153" t="s">
        <v>42</v>
      </c>
      <c r="C107" s="153" t="s">
        <v>38</v>
      </c>
      <c r="D107" s="153">
        <v>52500</v>
      </c>
      <c r="E107" s="153">
        <v>87.19</v>
      </c>
      <c r="F107" s="153">
        <v>4577475</v>
      </c>
      <c r="G107" s="153">
        <v>1</v>
      </c>
      <c r="H107" s="153">
        <v>4577475</v>
      </c>
      <c r="I107" s="218">
        <v>2.29</v>
      </c>
      <c r="J107"/>
      <c r="K107"/>
    </row>
    <row r="108" spans="1:11">
      <c r="A108" s="221" t="s">
        <v>200</v>
      </c>
      <c r="B108" s="153" t="s">
        <v>23</v>
      </c>
      <c r="C108" s="153" t="s">
        <v>38</v>
      </c>
      <c r="D108" s="153">
        <v>96500</v>
      </c>
      <c r="E108" s="153">
        <v>211.5</v>
      </c>
      <c r="F108" s="153">
        <v>20409750</v>
      </c>
      <c r="G108" s="153">
        <v>1</v>
      </c>
      <c r="H108" s="153">
        <v>20409750</v>
      </c>
      <c r="I108" s="218">
        <v>10.23</v>
      </c>
      <c r="J108"/>
      <c r="K108"/>
    </row>
    <row r="109" spans="1:11">
      <c r="A109" s="221" t="s">
        <v>409</v>
      </c>
      <c r="B109" s="153" t="s">
        <v>140</v>
      </c>
      <c r="C109" s="153" t="s">
        <v>38</v>
      </c>
      <c r="D109" s="153">
        <v>0</v>
      </c>
      <c r="E109" s="153">
        <v>0</v>
      </c>
      <c r="F109" s="153">
        <v>0</v>
      </c>
      <c r="G109" s="153">
        <v>1</v>
      </c>
      <c r="H109" s="308">
        <v>0</v>
      </c>
      <c r="I109" s="218">
        <v>0</v>
      </c>
      <c r="J109"/>
      <c r="K109"/>
    </row>
    <row r="110" spans="1:11">
      <c r="A110" s="221" t="s">
        <v>430</v>
      </c>
      <c r="B110" s="153" t="s">
        <v>140</v>
      </c>
      <c r="C110" s="153" t="s">
        <v>38</v>
      </c>
      <c r="D110" s="153">
        <v>-50</v>
      </c>
      <c r="E110" s="153">
        <v>1.34</v>
      </c>
      <c r="F110" s="153">
        <v>-67</v>
      </c>
      <c r="G110" s="153">
        <v>1</v>
      </c>
      <c r="H110" s="308">
        <v>-67</v>
      </c>
      <c r="I110" s="218">
        <v>0</v>
      </c>
      <c r="J110"/>
      <c r="K110"/>
    </row>
    <row r="111" spans="1:11">
      <c r="A111" s="221" t="s">
        <v>431</v>
      </c>
      <c r="B111" s="153" t="s">
        <v>140</v>
      </c>
      <c r="C111" s="153" t="s">
        <v>38</v>
      </c>
      <c r="D111" s="153">
        <v>-50</v>
      </c>
      <c r="E111" s="153">
        <v>0.84</v>
      </c>
      <c r="F111" s="153">
        <v>-42</v>
      </c>
      <c r="G111" s="153">
        <v>1</v>
      </c>
      <c r="H111" s="153">
        <v>-42</v>
      </c>
      <c r="I111" s="218">
        <v>0</v>
      </c>
      <c r="J111"/>
      <c r="K111"/>
    </row>
    <row r="112" spans="1:11">
      <c r="A112" s="221" t="s">
        <v>384</v>
      </c>
      <c r="B112" s="153" t="s">
        <v>140</v>
      </c>
      <c r="C112" s="153" t="s">
        <v>38</v>
      </c>
      <c r="D112" s="153">
        <v>-100</v>
      </c>
      <c r="E112" s="153">
        <v>0.27</v>
      </c>
      <c r="F112" s="153">
        <v>-27</v>
      </c>
      <c r="G112" s="153">
        <v>1</v>
      </c>
      <c r="H112" s="153">
        <v>-27</v>
      </c>
      <c r="I112" s="218">
        <v>0</v>
      </c>
      <c r="J112"/>
      <c r="K112"/>
    </row>
    <row r="113" spans="1:11">
      <c r="A113" s="221" t="s">
        <v>109</v>
      </c>
      <c r="B113" s="153" t="s">
        <v>42</v>
      </c>
      <c r="C113" s="153" t="s">
        <v>38</v>
      </c>
      <c r="D113" s="153">
        <v>40000</v>
      </c>
      <c r="E113" s="153">
        <v>37.19</v>
      </c>
      <c r="F113" s="153">
        <v>1487600</v>
      </c>
      <c r="G113" s="153">
        <v>1</v>
      </c>
      <c r="H113" s="153">
        <v>1487600</v>
      </c>
      <c r="I113" s="218">
        <v>0.75</v>
      </c>
      <c r="J113"/>
      <c r="K113"/>
    </row>
    <row r="114" spans="1:11">
      <c r="A114" s="221" t="s">
        <v>104</v>
      </c>
      <c r="B114" s="153" t="s">
        <v>42</v>
      </c>
      <c r="C114" s="153" t="s">
        <v>38</v>
      </c>
      <c r="D114" s="153">
        <v>30000</v>
      </c>
      <c r="E114" s="153">
        <v>80.23</v>
      </c>
      <c r="F114" s="153">
        <v>2406900</v>
      </c>
      <c r="G114" s="153">
        <v>1</v>
      </c>
      <c r="H114" s="153">
        <v>2406900</v>
      </c>
      <c r="I114" s="218">
        <v>1.21</v>
      </c>
      <c r="J114"/>
      <c r="K114"/>
    </row>
    <row r="115" spans="1:11">
      <c r="A115" s="221" t="s">
        <v>301</v>
      </c>
      <c r="B115" s="153" t="s">
        <v>23</v>
      </c>
      <c r="C115" s="153" t="s">
        <v>38</v>
      </c>
      <c r="D115" s="153">
        <v>1000</v>
      </c>
      <c r="E115" s="153">
        <v>32.65</v>
      </c>
      <c r="F115" s="153">
        <v>32650</v>
      </c>
      <c r="G115" s="153">
        <v>1</v>
      </c>
      <c r="H115" s="153">
        <v>32650</v>
      </c>
      <c r="I115" s="218">
        <v>0.02</v>
      </c>
      <c r="J115"/>
      <c r="K115"/>
    </row>
    <row r="116" spans="1:11">
      <c r="A116" s="221" t="s">
        <v>432</v>
      </c>
      <c r="B116" s="153" t="s">
        <v>140</v>
      </c>
      <c r="C116" s="153" t="s">
        <v>38</v>
      </c>
      <c r="D116" s="153">
        <v>-10</v>
      </c>
      <c r="E116" s="153">
        <v>0.52</v>
      </c>
      <c r="F116" s="153">
        <v>-5.2</v>
      </c>
      <c r="G116" s="153">
        <v>1</v>
      </c>
      <c r="H116" s="153">
        <v>-5.2</v>
      </c>
      <c r="I116" s="218">
        <v>0</v>
      </c>
      <c r="J116"/>
      <c r="K116"/>
    </row>
    <row r="117" spans="1:11">
      <c r="A117" s="221" t="s">
        <v>286</v>
      </c>
      <c r="B117" s="153" t="s">
        <v>139</v>
      </c>
      <c r="C117" s="153" t="s">
        <v>38</v>
      </c>
      <c r="D117" s="153">
        <v>5500</v>
      </c>
      <c r="E117" s="153">
        <v>110.67</v>
      </c>
      <c r="F117" s="153">
        <v>608685</v>
      </c>
      <c r="G117" s="153">
        <v>1</v>
      </c>
      <c r="H117" s="153">
        <v>608685</v>
      </c>
      <c r="I117" s="218">
        <v>0.31</v>
      </c>
      <c r="J117"/>
      <c r="K117"/>
    </row>
    <row r="118" spans="1:11">
      <c r="A118" s="221" t="s">
        <v>26</v>
      </c>
      <c r="B118" s="153" t="s">
        <v>139</v>
      </c>
      <c r="C118" s="153" t="s">
        <v>38</v>
      </c>
      <c r="D118" s="153">
        <v>67500</v>
      </c>
      <c r="E118" s="153">
        <v>93.96</v>
      </c>
      <c r="F118" s="153">
        <v>6342300</v>
      </c>
      <c r="G118" s="153">
        <v>1</v>
      </c>
      <c r="H118" s="153">
        <v>6342300</v>
      </c>
      <c r="I118" s="218">
        <v>3.18</v>
      </c>
      <c r="J118"/>
      <c r="K118"/>
    </row>
    <row r="119" spans="1:11">
      <c r="A119" s="221" t="s">
        <v>433</v>
      </c>
      <c r="B119" s="153" t="s">
        <v>140</v>
      </c>
      <c r="C119" s="153" t="s">
        <v>38</v>
      </c>
      <c r="D119" s="153">
        <v>-20</v>
      </c>
      <c r="E119" s="153">
        <v>0.5</v>
      </c>
      <c r="F119" s="153">
        <v>-10</v>
      </c>
      <c r="G119" s="153">
        <v>1</v>
      </c>
      <c r="H119" s="153">
        <v>-10</v>
      </c>
      <c r="I119" s="218">
        <v>0</v>
      </c>
      <c r="J119"/>
      <c r="K119"/>
    </row>
    <row r="120" spans="1:11">
      <c r="A120" s="221" t="s">
        <v>117</v>
      </c>
      <c r="B120" s="153" t="s">
        <v>139</v>
      </c>
      <c r="C120" s="153" t="s">
        <v>38</v>
      </c>
      <c r="D120" s="153">
        <v>199563</v>
      </c>
      <c r="E120" s="153">
        <v>50.23</v>
      </c>
      <c r="F120" s="153">
        <v>10024049.49</v>
      </c>
      <c r="G120" s="153">
        <v>1</v>
      </c>
      <c r="H120" s="308">
        <v>10024049.49</v>
      </c>
      <c r="I120" s="218">
        <v>5.0299999999999994</v>
      </c>
      <c r="J120"/>
      <c r="K120"/>
    </row>
    <row r="121" spans="1:11">
      <c r="A121" s="221" t="s">
        <v>410</v>
      </c>
      <c r="B121" s="153" t="s">
        <v>140</v>
      </c>
      <c r="C121" s="153" t="s">
        <v>38</v>
      </c>
      <c r="D121" s="153">
        <v>-100</v>
      </c>
      <c r="E121" s="153">
        <v>0.57999999999999996</v>
      </c>
      <c r="F121" s="153">
        <v>-57.999999999999993</v>
      </c>
      <c r="G121" s="153">
        <v>1</v>
      </c>
      <c r="H121" s="153">
        <v>-58</v>
      </c>
      <c r="I121" s="218">
        <v>0</v>
      </c>
      <c r="J121"/>
      <c r="K121"/>
    </row>
    <row r="122" spans="1:11">
      <c r="A122" s="221" t="s">
        <v>434</v>
      </c>
      <c r="B122" s="153" t="s">
        <v>140</v>
      </c>
      <c r="C122" s="153" t="s">
        <v>38</v>
      </c>
      <c r="D122" s="153">
        <v>-100</v>
      </c>
      <c r="E122" s="153">
        <v>0.32</v>
      </c>
      <c r="F122" s="153">
        <v>-32</v>
      </c>
      <c r="G122" s="153">
        <v>1</v>
      </c>
      <c r="H122" s="308">
        <v>-32</v>
      </c>
      <c r="I122" s="218">
        <v>0</v>
      </c>
      <c r="J122"/>
      <c r="K122"/>
    </row>
    <row r="123" spans="1:11">
      <c r="A123" s="221" t="s">
        <v>118</v>
      </c>
      <c r="B123" s="153" t="s">
        <v>139</v>
      </c>
      <c r="C123" s="153" t="s">
        <v>38</v>
      </c>
      <c r="D123" s="153">
        <v>24100</v>
      </c>
      <c r="E123" s="153">
        <v>234.11</v>
      </c>
      <c r="F123" s="153">
        <v>5642051</v>
      </c>
      <c r="G123" s="153">
        <v>1</v>
      </c>
      <c r="H123" s="153">
        <v>5642051</v>
      </c>
      <c r="I123" s="218">
        <v>2.83</v>
      </c>
      <c r="J123"/>
      <c r="K123"/>
    </row>
    <row r="124" spans="1:11">
      <c r="A124" s="221" t="s">
        <v>411</v>
      </c>
      <c r="B124" s="153" t="s">
        <v>140</v>
      </c>
      <c r="C124" s="153" t="s">
        <v>38</v>
      </c>
      <c r="D124" s="153">
        <v>0</v>
      </c>
      <c r="E124" s="153">
        <v>0</v>
      </c>
      <c r="F124" s="153">
        <v>0</v>
      </c>
      <c r="G124" s="153">
        <v>1</v>
      </c>
      <c r="H124" s="153">
        <v>0</v>
      </c>
      <c r="I124" s="218">
        <v>0</v>
      </c>
      <c r="J124"/>
      <c r="K124"/>
    </row>
    <row r="125" spans="1:11">
      <c r="A125" s="221" t="s">
        <v>435</v>
      </c>
      <c r="B125" s="153" t="s">
        <v>140</v>
      </c>
      <c r="C125" s="153" t="s">
        <v>38</v>
      </c>
      <c r="D125" s="153">
        <v>-100</v>
      </c>
      <c r="E125" s="153">
        <v>1.02</v>
      </c>
      <c r="F125" s="153">
        <v>-102</v>
      </c>
      <c r="G125" s="153">
        <v>1</v>
      </c>
      <c r="H125" s="153">
        <v>-102</v>
      </c>
      <c r="I125" s="218">
        <v>0</v>
      </c>
      <c r="J125"/>
      <c r="K125"/>
    </row>
    <row r="126" spans="1:11">
      <c r="A126" s="221" t="s">
        <v>49</v>
      </c>
      <c r="B126" s="153" t="s">
        <v>44</v>
      </c>
      <c r="C126" s="153" t="s">
        <v>38</v>
      </c>
      <c r="D126" s="153">
        <v>6000</v>
      </c>
      <c r="E126" s="153">
        <v>78.84</v>
      </c>
      <c r="F126" s="153">
        <v>473040</v>
      </c>
      <c r="G126" s="153">
        <v>1</v>
      </c>
      <c r="H126" s="308">
        <v>473040</v>
      </c>
      <c r="I126" s="218">
        <v>0.24</v>
      </c>
      <c r="J126"/>
      <c r="K126"/>
    </row>
    <row r="127" spans="1:11">
      <c r="A127" s="221" t="s">
        <v>115</v>
      </c>
      <c r="B127" s="153" t="s">
        <v>139</v>
      </c>
      <c r="C127" s="153" t="s">
        <v>38</v>
      </c>
      <c r="D127" s="153">
        <v>31500</v>
      </c>
      <c r="E127" s="153">
        <v>140.18</v>
      </c>
      <c r="F127" s="153">
        <v>4415670</v>
      </c>
      <c r="G127" s="153">
        <v>1</v>
      </c>
      <c r="H127" s="308">
        <v>4415670</v>
      </c>
      <c r="I127" s="218">
        <v>2.21</v>
      </c>
      <c r="J127"/>
      <c r="K127"/>
    </row>
    <row r="128" spans="1:11">
      <c r="A128" s="221" t="s">
        <v>131</v>
      </c>
      <c r="B128" s="153" t="s">
        <v>44</v>
      </c>
      <c r="C128" s="153" t="s">
        <v>38</v>
      </c>
      <c r="D128" s="153">
        <v>13500</v>
      </c>
      <c r="E128" s="153">
        <v>60.33</v>
      </c>
      <c r="F128" s="153">
        <v>814455</v>
      </c>
      <c r="G128" s="153">
        <v>1</v>
      </c>
      <c r="H128" s="308">
        <v>814455</v>
      </c>
      <c r="I128" s="218">
        <v>0.41</v>
      </c>
      <c r="J128"/>
      <c r="K128"/>
    </row>
    <row r="129" spans="1:11">
      <c r="A129" s="221" t="s">
        <v>366</v>
      </c>
      <c r="B129" s="153" t="s">
        <v>139</v>
      </c>
      <c r="C129" s="153" t="s">
        <v>38</v>
      </c>
      <c r="D129" s="153">
        <v>4300</v>
      </c>
      <c r="E129" s="153">
        <v>189.82</v>
      </c>
      <c r="F129" s="153">
        <v>816226</v>
      </c>
      <c r="G129" s="153">
        <v>1</v>
      </c>
      <c r="H129" s="308">
        <v>816226</v>
      </c>
      <c r="I129" s="218">
        <v>0.41</v>
      </c>
      <c r="J129"/>
      <c r="K129"/>
    </row>
    <row r="130" spans="1:11">
      <c r="A130" s="221" t="s">
        <v>367</v>
      </c>
      <c r="B130" s="153" t="s">
        <v>140</v>
      </c>
      <c r="C130" s="153" t="s">
        <v>38</v>
      </c>
      <c r="D130" s="153">
        <v>0</v>
      </c>
      <c r="E130" s="153">
        <v>0</v>
      </c>
      <c r="F130" s="153">
        <v>0</v>
      </c>
      <c r="G130" s="153">
        <v>1</v>
      </c>
      <c r="H130" s="308">
        <v>0</v>
      </c>
      <c r="I130" s="218">
        <v>0</v>
      </c>
      <c r="J130"/>
      <c r="K130"/>
    </row>
    <row r="131" spans="1:11">
      <c r="A131" s="221" t="s">
        <v>284</v>
      </c>
      <c r="B131" s="153" t="s">
        <v>138</v>
      </c>
      <c r="C131" s="153" t="s">
        <v>37</v>
      </c>
      <c r="D131" s="153">
        <v>200000</v>
      </c>
      <c r="E131" s="153">
        <v>3.14</v>
      </c>
      <c r="F131" s="153">
        <v>628000</v>
      </c>
      <c r="G131" s="153">
        <v>1.3696941472969091</v>
      </c>
      <c r="H131" s="308">
        <v>458496.52</v>
      </c>
      <c r="I131" s="218">
        <v>0.23</v>
      </c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8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99" sqref="C199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H27" sqref="H27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363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324</v>
      </c>
      <c r="O2" s="273"/>
      <c r="P2" s="273"/>
      <c r="Q2" s="273"/>
      <c r="S2" s="273" t="s">
        <v>315</v>
      </c>
      <c r="T2" s="279"/>
      <c r="U2" s="273"/>
    </row>
    <row r="3" spans="2:22">
      <c r="B3" s="109" t="s">
        <v>361</v>
      </c>
      <c r="C3" s="109" t="s">
        <v>362</v>
      </c>
      <c r="D3" s="109" t="s">
        <v>329</v>
      </c>
      <c r="E3" s="109" t="s">
        <v>330</v>
      </c>
      <c r="F3" s="109" t="s">
        <v>331</v>
      </c>
      <c r="G3" s="109" t="s">
        <v>332</v>
      </c>
      <c r="H3" s="109" t="s">
        <v>333</v>
      </c>
      <c r="I3" s="109" t="s">
        <v>334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381</v>
      </c>
      <c r="P3" s="109" t="s">
        <v>325</v>
      </c>
      <c r="Q3" s="109" t="s">
        <v>20</v>
      </c>
      <c r="S3" t="s">
        <v>316</v>
      </c>
      <c r="T3" s="280">
        <f>ROUND(VLOOKUP("Starting Value", 'Email input'!C:D, 2, FALSE),2)</f>
        <v>71204832.620000005</v>
      </c>
    </row>
    <row r="4" spans="2:22">
      <c r="B4" t="s">
        <v>381</v>
      </c>
      <c r="C4" t="s">
        <v>380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ca="1" si="0"/>
        <v>9.1411159083884017E-2</v>
      </c>
      <c r="G4" s="8" t="str">
        <f t="shared" si="0"/>
        <v/>
      </c>
      <c r="H4" s="8" t="str">
        <f t="shared" si="0"/>
        <v/>
      </c>
      <c r="I4" s="8">
        <f t="shared" ca="1" si="0"/>
        <v>2.8795144947225477E-2</v>
      </c>
      <c r="J4" s="8">
        <f t="shared" ca="1" si="0"/>
        <v>8.2710760149813156E-2</v>
      </c>
      <c r="K4" s="8">
        <f ca="1">J4</f>
        <v>8.2710760149813156E-2</v>
      </c>
      <c r="L4" s="8">
        <f t="shared" ca="1" si="0"/>
        <v>8.2710760149813156E-2</v>
      </c>
      <c r="N4" t="s">
        <v>316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314</v>
      </c>
      <c r="T4" s="286">
        <f>ROUND(VLOOKUP("Deposits &amp; Withdrawals", 'Email input'!C:D, 2, FALSE),2)</f>
        <v>-9000000</v>
      </c>
    </row>
    <row r="5" spans="2:22">
      <c r="B5" t="s">
        <v>325</v>
      </c>
      <c r="C5" t="s">
        <v>360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314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($T$3)*U5</f>
        <v>607548.02697699226</v>
      </c>
      <c r="U5" s="8">
        <f>VLOOKUP("Commodities", 'Email input'!F:G, 2, FALSE)/100</f>
        <v>8.5323987800000004E-3</v>
      </c>
    </row>
    <row r="6" spans="2:22">
      <c r="B6" t="s">
        <v>335</v>
      </c>
      <c r="C6" t="s">
        <v>359</v>
      </c>
      <c r="D6" s="8" t="str">
        <f t="array" ref="D6">IFERROR(_xll.BDP($B6,"INTERVAL_PERCENT_CHANGE", "END_DATE_OVERRIDE="&amp;TEXT(D$17,"yyyymmdd"), "START_DATE_OVERRIDE="&amp;TEXT(D$16,"yyyymmdd"))/100, "")</f>
        <v/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 t="e">
        <f>_xll.BDP(B6,"CHG_PCT_1D")/100</f>
        <v>#VALUE!</v>
      </c>
      <c r="J6" s="8" t="e">
        <f>_xll.BDP($B6,"CURRENT_TRR_MTD")/100</f>
        <v>#VALUE!</v>
      </c>
      <c r="K6" s="8" t="e">
        <f>_xll.BDP(B6,"CHG_PCT_1M")/100</f>
        <v>#VALUE!</v>
      </c>
      <c r="L6" s="8" t="e">
        <f t="array" ref="L6">_xll.BDP($B6,"CHG_PCT_YTD")/100</f>
        <v>#VALUE!</v>
      </c>
      <c r="N6" t="s">
        <v>326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317</v>
      </c>
      <c r="T6" s="286">
        <f>($T$3-T$4)*U6</f>
        <v>6321080.6065719835</v>
      </c>
      <c r="U6" s="8">
        <f>VLOOKUP("new_equity", 'Email input'!F:G, 2, FALSE)/100</f>
        <v>7.8811717449999999E-2</v>
      </c>
    </row>
    <row r="7" spans="2:22">
      <c r="B7" t="s">
        <v>336</v>
      </c>
      <c r="C7" t="s">
        <v>358</v>
      </c>
      <c r="D7" s="8" t="str">
        <f t="array" ref="D7">IFERROR(_xll.BDP($B7,"INTERVAL_PERCENT_CHANGE", "END_DATE_OVERRIDE="&amp;TEXT(D$17,"yyyymmdd"), "START_DATE_OVERRIDE="&amp;TEXT(D$16,"yyyymmdd"))/100, "")</f>
        <v/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 t="e">
        <f t="array" ref="I7">_xll.BDP(B7,"CHG_PCT_1D")/100</f>
        <v>#VALUE!</v>
      </c>
      <c r="J7" s="8" t="e">
        <f t="array" ref="J7">_xll.BDP($B7,"CURRENT_TRR_MTD")/100</f>
        <v>#VALUE!</v>
      </c>
      <c r="K7" s="8" t="e">
        <f>_xll.BDP(B7,"CHG_PCT_1M")/100</f>
        <v>#VALUE!</v>
      </c>
      <c r="L7" s="8" t="e">
        <f t="array" ref="L7">_xll.BDP($B7,"CHG_PCT_YTD")/100</f>
        <v>#VALUE!</v>
      </c>
      <c r="N7" s="47" t="s">
        <v>95</v>
      </c>
      <c r="O7" s="295">
        <f ca="1">OFFSET('Historical NAV'!F1,COUNT('Historical NAV'!A:A),,,)</f>
        <v>1889033.4115126953</v>
      </c>
      <c r="P7" s="296" t="s">
        <v>58</v>
      </c>
      <c r="Q7" s="297">
        <f ca="1">SUM(O7:P7)</f>
        <v>1889033.4115126953</v>
      </c>
      <c r="S7" t="s">
        <v>318</v>
      </c>
      <c r="T7" s="286">
        <f>($T$3-T$4)*U7</f>
        <v>141637.10979627114</v>
      </c>
      <c r="U7" s="8">
        <f>VLOOKUP("Fixed Income", 'Email input'!F:G, 2, FALSE)/100</f>
        <v>1.7659423399999999E-3</v>
      </c>
    </row>
    <row r="8" spans="2:22">
      <c r="B8" t="s">
        <v>337</v>
      </c>
      <c r="C8" s="8" t="s">
        <v>338</v>
      </c>
      <c r="D8" s="8" t="str">
        <f t="array" ref="D8">IFERROR(_xll.BDP($B8,"INTERVAL_PERCENT_CHANGE", "END_DATE_OVERRIDE="&amp;TEXT(D$17,"yyyymmdd"), "START_DATE_OVERRIDE="&amp;TEXT(D$16,"yyyymmdd"))/100, "")</f>
        <v/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 t="e">
        <f t="array" ref="I8">_xll.BDP(B8,"CHG_PCT_1D")/100</f>
        <v>#VALUE!</v>
      </c>
      <c r="J8" s="8" t="e">
        <f t="array" ref="J8">_xll.BDP($B8,"CURRENT_TRR_MTD")/100</f>
        <v>#VALUE!</v>
      </c>
      <c r="K8" s="8" t="e">
        <f>_xll.BDP(B8,"CHG_PCT_1M")/100</f>
        <v>#VALUE!</v>
      </c>
      <c r="L8" s="8" t="e">
        <f t="array" ref="L8">_xll.BDP($B8,"CHG_PCT_YTD")/100</f>
        <v>#VALUE!</v>
      </c>
      <c r="N8" t="s">
        <v>327</v>
      </c>
      <c r="O8" s="69">
        <f ca="1">OFFSET('Historical NAV'!J1,COUNT('Historical NAV'!A:A),,,)</f>
        <v>5286697.8420832977</v>
      </c>
      <c r="P8" s="280">
        <f>SUM(P4:P5)*P9</f>
        <v>21512.876600000007</v>
      </c>
      <c r="Q8" s="280">
        <f ca="1">SUM(O8:P8)</f>
        <v>5308210.7186832977</v>
      </c>
      <c r="S8" s="47" t="s">
        <v>319</v>
      </c>
      <c r="T8" s="287">
        <f>($T$3-T$4)*U8</f>
        <v>-335780.75359175639</v>
      </c>
      <c r="U8" s="207">
        <f>VLOOKUP("Cash", 'Email input'!F:G, 2, FALSE)/100</f>
        <v>-4.1865401700000001E-3</v>
      </c>
    </row>
    <row r="9" spans="2:22">
      <c r="B9" t="s">
        <v>339</v>
      </c>
      <c r="C9" s="8" t="s">
        <v>340</v>
      </c>
      <c r="D9" s="8" t="str">
        <f t="array" ref="D9">IFERROR(_xll.BDP($B9,"INTERVAL_PERCENT_CHANGE", "END_DATE_OVERRIDE="&amp;TEXT(D$17,"yyyymmdd"), "START_DATE_OVERRIDE="&amp;TEXT(D$16,"yyyymmdd"))/100, "")</f>
        <v/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 t="e">
        <f t="array" ref="I9">_xll.BDP(B9,"CHG_PCT_1D")/100</f>
        <v>#VALUE!</v>
      </c>
      <c r="J9" s="8" t="e">
        <f t="array" ref="J9">_xll.BDP($B9,"CURRENT_TRR_MTD")/100</f>
        <v>#VALUE!</v>
      </c>
      <c r="K9" s="8" t="e">
        <f>_xll.BDP(B9,"CHG_PCT_1M")/100</f>
        <v>#VALUE!</v>
      </c>
      <c r="L9" s="8" t="e">
        <f t="array" ref="L9">_xll.BDP($B9,"CHG_PCT_YTD")/100</f>
        <v>#VALUE!</v>
      </c>
      <c r="N9" t="s">
        <v>328</v>
      </c>
      <c r="O9" s="8">
        <f ca="1">OFFSET('Historical NAV'!K1,COUNT('Historical NAV'!A:A),,,)</f>
        <v>8.2710760149813156E-2</v>
      </c>
      <c r="P9" s="285">
        <f>J5</f>
        <v>1.0000000000000002E-2</v>
      </c>
      <c r="S9" t="s">
        <v>320</v>
      </c>
      <c r="T9" s="288">
        <f>SUM(T5:T8)</f>
        <v>6734484.9897534903</v>
      </c>
      <c r="V9" s="312">
        <f>T9/(T3+T4)</f>
        <v>0.10826305137566158</v>
      </c>
    </row>
    <row r="10" spans="2:22" ht="15.75" thickBot="1">
      <c r="B10" t="s">
        <v>356</v>
      </c>
      <c r="C10" s="8" t="s">
        <v>357</v>
      </c>
      <c r="D10" s="8" t="str">
        <f t="array" ref="D10">IFERROR(_xll.BDP($B10,"INTERVAL_PERCENT_CHANGE", "END_DATE_OVERRIDE="&amp;TEXT(D$17,"yyyymmdd"), "START_DATE_OVERRIDE="&amp;TEXT(D$16,"yyyymmdd"))/100, "")</f>
        <v/>
      </c>
      <c r="E10" s="8" t="str">
        <f t="array" ref="E10">IFERROR(_xll.BDP($B10,"INTERVAL_PERCENT_CHANGE", "END_DATE_OVERRIDE="&amp;TEXT(E$17,"yyyymmdd"), "START_DATE_OVERRIDE="&amp;TEXT(E$16,"yyyymmdd"))/100, "")</f>
        <v/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 t="e">
        <f>_xll.BDP(B10,"CHG_PCT_1D")/100</f>
        <v>#VALUE!</v>
      </c>
      <c r="J10" s="8" t="e">
        <f t="array" ref="J10">_xll.BDP($B10,"CURRENT_TRR_MTD")/100</f>
        <v>#VALUE!</v>
      </c>
      <c r="K10" s="8" t="e">
        <f>_xll.BDP(B10,"CHG_PCT_1M")/100</f>
        <v>#VALUE!</v>
      </c>
      <c r="L10" s="8" t="e">
        <f t="array" ref="L10">_xll.BDP($B10,"CHG_PCT_YTD")/100</f>
        <v>#VALUE!</v>
      </c>
      <c r="N10" s="275" t="s">
        <v>323</v>
      </c>
      <c r="O10" s="281">
        <f ca="1">O4+O5+O8</f>
        <v>67491530.46208331</v>
      </c>
      <c r="P10" s="276">
        <f>P4+P5+P8</f>
        <v>2172800.5366000002</v>
      </c>
      <c r="Q10" s="281">
        <f ca="1">SUM(O10:P10)</f>
        <v>69664330.998683304</v>
      </c>
      <c r="S10" t="s">
        <v>321</v>
      </c>
      <c r="T10" s="286">
        <f>SUM('Email input'!D5:D8)</f>
        <v>-497866.0453772</v>
      </c>
      <c r="U10" s="8"/>
    </row>
    <row r="11" spans="2:22" ht="15.75" hidden="1" outlineLevel="1" thickTop="1">
      <c r="O11" s="283"/>
      <c r="P11" s="283"/>
      <c r="Q11" s="283"/>
      <c r="S11" t="s">
        <v>364</v>
      </c>
      <c r="T11" s="294">
        <v>-113576.92568181455</v>
      </c>
      <c r="U11" s="8"/>
    </row>
    <row r="12" spans="2:22" ht="15.75" collapsed="1" thickTop="1">
      <c r="S12" t="s">
        <v>322</v>
      </c>
      <c r="T12" s="280">
        <f>SUM('Email input'!D7:D9)</f>
        <v>-308569.54998080002</v>
      </c>
      <c r="U12" s="8"/>
    </row>
    <row r="13" spans="2:22" ht="15.75" thickBot="1">
      <c r="S13" s="275" t="s">
        <v>323</v>
      </c>
      <c r="T13" s="281">
        <f>T3+T4+T9+T10+T12+T11</f>
        <v>68019305.088713676</v>
      </c>
      <c r="U13" s="277"/>
    </row>
    <row r="14" spans="2:22" ht="15.75" thickTop="1"/>
    <row r="15" spans="2:22" s="289" customFormat="1">
      <c r="T15" s="290"/>
    </row>
    <row r="16" spans="2:22">
      <c r="B16" t="s">
        <v>352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351</v>
      </c>
      <c r="P16" s="310">
        <v>2151287.66</v>
      </c>
      <c r="S16" t="s">
        <v>350</v>
      </c>
      <c r="T16" s="282">
        <f ca="1">OFFSET('Historical NAV'!B1,COUNT('Historical NAV'!A:A),,,)</f>
        <v>67491530.463527396</v>
      </c>
    </row>
    <row r="17" spans="2:21">
      <c r="B17" t="s">
        <v>353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68019305.088713676</v>
      </c>
    </row>
    <row r="18" spans="2:21">
      <c r="B18" t="s">
        <v>354</v>
      </c>
      <c r="D18" s="298">
        <v>6.3647245670425387E-2</v>
      </c>
      <c r="E18" s="298">
        <v>-6.8668048756552358E-2</v>
      </c>
      <c r="F18" s="298">
        <f ca="1">Dashboard!$B$4</f>
        <v>9.1411159083884017E-2</v>
      </c>
      <c r="G18" s="298"/>
      <c r="H18" s="298"/>
      <c r="I18" s="8">
        <f ca="1">Dashboard!B9</f>
        <v>2.8795144947225477E-2</v>
      </c>
      <c r="J18" s="8">
        <f ca="1">Dashboard!B5</f>
        <v>8.2710760149813156E-2</v>
      </c>
      <c r="K18" s="8"/>
      <c r="L18" s="69">
        <f ca="1">Dashboard!B6</f>
        <v>8.2710760149813156E-2</v>
      </c>
      <c r="O18" s="69"/>
      <c r="T18" s="284">
        <f ca="1">T16-T17</f>
        <v>-527774.62518627942</v>
      </c>
    </row>
    <row r="19" spans="2:21">
      <c r="B19" t="s">
        <v>355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4"/>
  <sheetViews>
    <sheetView workbookViewId="0">
      <selection activeCell="E25" sqref="E25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368</v>
      </c>
      <c r="B1" s="282" t="s">
        <v>347</v>
      </c>
      <c r="C1" t="s">
        <v>369</v>
      </c>
      <c r="D1" s="282" t="s">
        <v>370</v>
      </c>
      <c r="F1" t="s">
        <v>150</v>
      </c>
      <c r="G1" t="s">
        <v>150</v>
      </c>
    </row>
    <row r="2" spans="1:7">
      <c r="A2" t="s">
        <v>368</v>
      </c>
      <c r="B2" s="282" t="s">
        <v>348</v>
      </c>
      <c r="C2" t="s">
        <v>341</v>
      </c>
      <c r="D2" s="282">
        <v>71204832.621444106</v>
      </c>
      <c r="F2" t="s">
        <v>347</v>
      </c>
      <c r="G2" t="s">
        <v>348</v>
      </c>
    </row>
    <row r="3" spans="1:7">
      <c r="A3" t="s">
        <v>368</v>
      </c>
      <c r="B3" s="282" t="s">
        <v>348</v>
      </c>
      <c r="C3" t="s">
        <v>342</v>
      </c>
      <c r="D3" s="282">
        <v>5559171.9373221202</v>
      </c>
      <c r="F3" t="s">
        <v>165</v>
      </c>
      <c r="G3" t="s">
        <v>20</v>
      </c>
    </row>
    <row r="4" spans="1:7">
      <c r="A4" t="s">
        <v>368</v>
      </c>
      <c r="B4" s="282" t="s">
        <v>348</v>
      </c>
      <c r="C4" t="s">
        <v>343</v>
      </c>
      <c r="D4" s="282">
        <v>-9000000</v>
      </c>
      <c r="F4" t="s">
        <v>44</v>
      </c>
      <c r="G4">
        <v>0.85323987800000001</v>
      </c>
    </row>
    <row r="5" spans="1:7">
      <c r="A5" t="s">
        <v>368</v>
      </c>
      <c r="B5" s="282" t="s">
        <v>348</v>
      </c>
      <c r="C5" t="s">
        <v>393</v>
      </c>
      <c r="D5" s="282">
        <v>49967.11</v>
      </c>
      <c r="F5" t="s">
        <v>318</v>
      </c>
      <c r="G5">
        <v>0.17659423399999999</v>
      </c>
    </row>
    <row r="6" spans="1:7">
      <c r="A6" t="s">
        <v>368</v>
      </c>
      <c r="B6" s="282" t="s">
        <v>348</v>
      </c>
      <c r="C6" t="s">
        <v>394</v>
      </c>
      <c r="D6" s="282">
        <v>-10420.459999999999</v>
      </c>
      <c r="F6" t="s">
        <v>319</v>
      </c>
      <c r="G6">
        <v>-0.41865401699999999</v>
      </c>
    </row>
    <row r="7" spans="1:7">
      <c r="A7" t="s">
        <v>368</v>
      </c>
      <c r="B7" s="282" t="s">
        <v>348</v>
      </c>
      <c r="C7" t="s">
        <v>344</v>
      </c>
      <c r="D7" s="282">
        <v>3577.7973135000002</v>
      </c>
    </row>
    <row r="8" spans="1:7">
      <c r="A8" t="s">
        <v>368</v>
      </c>
      <c r="B8" s="282" t="s">
        <v>348</v>
      </c>
      <c r="C8" t="s">
        <v>390</v>
      </c>
      <c r="D8" s="282">
        <v>-540990.49269069999</v>
      </c>
      <c r="F8" t="s">
        <v>349</v>
      </c>
      <c r="G8">
        <v>7.8811717450000005</v>
      </c>
    </row>
    <row r="9" spans="1:7">
      <c r="A9" t="s">
        <v>368</v>
      </c>
      <c r="B9" s="282" t="s">
        <v>348</v>
      </c>
      <c r="C9" t="s">
        <v>345</v>
      </c>
      <c r="D9" s="282">
        <v>228843.14539640001</v>
      </c>
    </row>
    <row r="10" spans="1:7">
      <c r="A10" t="s">
        <v>368</v>
      </c>
      <c r="B10" s="282" t="s">
        <v>348</v>
      </c>
      <c r="C10" t="s">
        <v>43</v>
      </c>
      <c r="D10" s="282">
        <v>-188.39</v>
      </c>
    </row>
    <row r="11" spans="1:7">
      <c r="A11" t="s">
        <v>368</v>
      </c>
      <c r="B11" s="282" t="s">
        <v>348</v>
      </c>
      <c r="C11" t="s">
        <v>18</v>
      </c>
      <c r="D11" s="282">
        <v>-2877.707942</v>
      </c>
    </row>
    <row r="12" spans="1:7">
      <c r="A12" t="s">
        <v>368</v>
      </c>
      <c r="B12" s="282" t="s">
        <v>348</v>
      </c>
      <c r="C12" t="s">
        <v>389</v>
      </c>
      <c r="D12" s="282">
        <v>-402.28285942999997</v>
      </c>
    </row>
    <row r="13" spans="1:7">
      <c r="A13" t="s">
        <v>368</v>
      </c>
      <c r="B13" s="282" t="s">
        <v>348</v>
      </c>
      <c r="C13" t="s">
        <v>346</v>
      </c>
      <c r="D13" s="282">
        <v>17.1855434</v>
      </c>
    </row>
    <row r="14" spans="1:7">
      <c r="A14" t="s">
        <v>368</v>
      </c>
      <c r="B14" s="282" t="s">
        <v>348</v>
      </c>
      <c r="C14" t="s">
        <v>323</v>
      </c>
      <c r="D14" s="282">
        <v>67491530.463527396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67491530.463527396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5286697.8420832977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8.2710760149813156E-2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0.13281648698879889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2.8795144947225477E-2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28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78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/>
      <c r="F1179" s="67"/>
      <c r="G1179" s="67"/>
      <c r="H1179" s="67"/>
      <c r="I1179" s="70"/>
      <c r="J1179" s="67"/>
      <c r="K1179" s="70"/>
      <c r="L1179" s="70"/>
      <c r="M1179" s="70"/>
      <c r="N1179" s="70"/>
      <c r="O1179" s="70"/>
      <c r="P1179" s="70"/>
      <c r="Q1179" s="67"/>
      <c r="R1179" s="70"/>
      <c r="S1179" s="67"/>
      <c r="T1179" s="70"/>
      <c r="U1179" s="67"/>
      <c r="V1179" s="70"/>
      <c r="W1179" s="87"/>
      <c r="X1179" s="142"/>
      <c r="Y1179" s="139"/>
      <c r="Z1179" s="139"/>
      <c r="AA1179" s="139"/>
      <c r="AB1179" s="144"/>
      <c r="AC1179" s="144"/>
      <c r="AD1179" s="144"/>
      <c r="AE1179" s="144"/>
    </row>
    <row r="1180" spans="1:31">
      <c r="A1180" s="172"/>
      <c r="F1180" s="67"/>
      <c r="G1180" s="67"/>
      <c r="H1180" s="67"/>
      <c r="I1180" s="70"/>
      <c r="J1180" s="67"/>
      <c r="K1180" s="70"/>
      <c r="L1180" s="70"/>
      <c r="M1180" s="70"/>
      <c r="N1180" s="70"/>
      <c r="O1180" s="70"/>
      <c r="P1180" s="70"/>
      <c r="Q1180" s="67"/>
      <c r="R1180" s="70"/>
      <c r="S1180" s="67"/>
      <c r="T1180" s="70"/>
      <c r="U1180" s="67"/>
      <c r="V1180" s="70"/>
      <c r="W1180" s="87"/>
      <c r="X1180" s="142"/>
      <c r="Y1180" s="139"/>
      <c r="Z1180" s="139"/>
      <c r="AA1180" s="139"/>
      <c r="AB1180" s="144"/>
      <c r="AC1180" s="144"/>
      <c r="AD1180" s="144"/>
      <c r="AE1180" s="144"/>
    </row>
    <row r="1181" spans="1:31">
      <c r="F1181" s="67"/>
      <c r="G1181" s="67"/>
      <c r="H1181" s="67"/>
      <c r="I1181" s="70"/>
      <c r="J1181" s="67"/>
      <c r="K1181" s="70"/>
      <c r="L1181" s="70"/>
      <c r="M1181" s="70"/>
      <c r="N1181" s="70"/>
      <c r="O1181" s="70"/>
      <c r="P1181" s="70"/>
      <c r="Q1181" s="67"/>
      <c r="R1181" s="70"/>
      <c r="S1181" s="67"/>
      <c r="T1181" s="70"/>
      <c r="U1181" s="67"/>
      <c r="V1181" s="70"/>
      <c r="W1181" s="87"/>
      <c r="X1181" s="142"/>
      <c r="Y1181" s="139"/>
      <c r="Z1181" s="139"/>
      <c r="AA1181" s="139"/>
      <c r="AB1181" s="144"/>
      <c r="AC1181" s="144"/>
      <c r="AD1181" s="144"/>
      <c r="AE1181" s="144"/>
    </row>
    <row r="1182" spans="1:31">
      <c r="F1182" s="67"/>
      <c r="G1182" s="67"/>
      <c r="H1182" s="67"/>
      <c r="I1182" s="70"/>
      <c r="J1182" s="67"/>
      <c r="K1182" s="70"/>
      <c r="L1182" s="70"/>
      <c r="M1182" s="70"/>
      <c r="N1182" s="70"/>
      <c r="O1182" s="70"/>
      <c r="P1182" s="70"/>
      <c r="Q1182" s="67"/>
      <c r="R1182" s="70"/>
      <c r="S1182" s="67"/>
      <c r="T1182" s="70"/>
      <c r="U1182" s="67"/>
      <c r="V1182" s="70"/>
      <c r="W1182" s="87"/>
      <c r="X1182" s="142"/>
      <c r="Y1182" s="139"/>
      <c r="Z1182" s="139"/>
      <c r="AA1182" s="139"/>
      <c r="AB1182" s="144"/>
      <c r="AC1182" s="144"/>
      <c r="AD1182" s="144"/>
      <c r="AE1182" s="144"/>
    </row>
    <row r="1183" spans="1:31">
      <c r="F1183" s="67"/>
      <c r="G1183" s="67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F1184" s="67"/>
      <c r="G1184" s="67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6:31"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6:31"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6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6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6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6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6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6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6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6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6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6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6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6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6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6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67491530.463527396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5286697.8420832977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8.2710760149813156E-2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1889033.4115126953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2.8795144947225477E-2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2025-01-21T02:59:41Z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