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FA7F3D22-C6BF-47CF-9762-55DA830C666D}" xr6:coauthVersionLast="47" xr6:coauthVersionMax="47" xr10:uidLastSave="{00000000-0000-0000-0000-000000000000}"/>
  <bookViews>
    <workbookView xWindow="-120" yWindow="-120" windowWidth="29040" windowHeight="15720" tabRatio="719" activeTab="1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16" l="1"/>
  <c r="L9" i="16" a="1"/>
  <c r="L9" i="16"/>
  <c r="K9" i="16"/>
  <c r="K8" i="16"/>
  <c r="K10" i="16"/>
  <c r="K7" i="16"/>
  <c r="L10" i="16" a="1"/>
  <c r="L10" i="16"/>
  <c r="J9" i="16" a="1"/>
  <c r="J9" i="16"/>
  <c r="J6" i="16"/>
  <c r="I6" i="16"/>
  <c r="J10" i="16" a="1"/>
  <c r="J10" i="16"/>
  <c r="I7" i="16" a="1"/>
  <c r="I7" i="16"/>
  <c r="L7" i="16" a="1"/>
  <c r="L7" i="16"/>
  <c r="J8" i="16" a="1"/>
  <c r="J8" i="16"/>
  <c r="I8" i="16" a="1"/>
  <c r="I8" i="16"/>
  <c r="L8" i="16" a="1"/>
  <c r="L8" i="16"/>
  <c r="I9" i="16" a="1"/>
  <c r="I9" i="16"/>
  <c r="I10" i="16"/>
  <c r="J7" i="16" a="1"/>
  <c r="J7" i="16"/>
  <c r="L6" i="16" a="1"/>
  <c r="L6" i="16"/>
  <c r="H9" i="16" a="1"/>
  <c r="H9" i="16"/>
  <c r="H6" i="16" a="1"/>
  <c r="H6" i="16"/>
  <c r="H8" i="16" a="1"/>
  <c r="H8" i="16"/>
  <c r="H7" i="16" a="1"/>
  <c r="H7" i="16"/>
  <c r="H10" i="16" a="1"/>
  <c r="H10" i="16"/>
  <c r="E8" i="16" a="1"/>
  <c r="E8" i="16"/>
  <c r="E9" i="16" a="1"/>
  <c r="E9" i="16"/>
  <c r="E6" i="16" a="1"/>
  <c r="E6" i="16"/>
  <c r="E10" i="16" a="1"/>
  <c r="E10" i="16"/>
  <c r="E7" i="16" a="1"/>
  <c r="E7" i="16"/>
  <c r="G6" i="16" a="1"/>
  <c r="G6" i="16"/>
  <c r="G8" i="16" a="1"/>
  <c r="G8" i="16"/>
  <c r="G9" i="16" a="1"/>
  <c r="G9" i="16"/>
  <c r="G7" i="16" a="1"/>
  <c r="G7" i="16"/>
  <c r="G10" i="16" a="1"/>
  <c r="G10" i="16"/>
  <c r="D6" i="16" a="1"/>
  <c r="D6" i="16"/>
  <c r="D10" i="16" a="1"/>
  <c r="D10" i="16"/>
  <c r="D9" i="16" a="1"/>
  <c r="D9" i="16"/>
  <c r="D8" i="16" a="1"/>
  <c r="D8" i="16"/>
  <c r="D7" i="16" a="1"/>
  <c r="D7" i="16"/>
  <c r="F8" i="16" a="1"/>
  <c r="F8" i="16"/>
  <c r="F6" i="16" a="1"/>
  <c r="F6" i="16"/>
  <c r="F7" i="16" a="1"/>
  <c r="F7" i="16"/>
  <c r="F9" i="16" a="1"/>
  <c r="F9" i="16"/>
  <c r="F10" i="16" a="1"/>
  <c r="F10" i="16"/>
  <c r="J19" i="16"/>
  <c r="E17" i="16"/>
  <c r="F17" i="16" s="1"/>
  <c r="G17" i="16" s="1"/>
  <c r="H17" i="16" s="1"/>
  <c r="T16" i="16"/>
  <c r="F16" i="16"/>
  <c r="G16" i="16" s="1"/>
  <c r="H16" i="16" s="1"/>
  <c r="T12" i="16"/>
  <c r="T10" i="16"/>
  <c r="O9" i="16" l="1"/>
  <c r="U8" i="16" l="1"/>
  <c r="O8" i="16"/>
  <c r="U7" i="16" l="1"/>
  <c r="O7" i="16"/>
  <c r="Q7" i="16" s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F4" i="16"/>
  <c r="E4" i="16"/>
  <c r="D4" i="16"/>
  <c r="T3" i="16"/>
  <c r="H23" i="4"/>
  <c r="D22" i="4"/>
  <c r="E23" i="4"/>
  <c r="G23" i="4"/>
  <c r="E22" i="4"/>
  <c r="D23" i="4"/>
  <c r="C22" i="4"/>
  <c r="C23" i="4"/>
  <c r="F23" i="4"/>
  <c r="F22" i="4"/>
  <c r="G22" i="4"/>
  <c r="H22" i="4"/>
  <c r="C24" i="4"/>
  <c r="P9" i="16" l="1"/>
  <c r="L5" i="16"/>
  <c r="K5" i="16"/>
  <c r="T8" i="16"/>
  <c r="T7" i="16"/>
  <c r="T6" i="16"/>
  <c r="T5" i="16"/>
  <c r="P8" i="16"/>
  <c r="Q8" i="16" s="1"/>
  <c r="O4" i="16"/>
  <c r="X1181" i="14"/>
  <c r="E1181" i="14"/>
  <c r="D1181" i="14"/>
  <c r="C1181" i="14"/>
  <c r="B1181" i="14"/>
  <c r="F1181" i="14" s="1"/>
  <c r="A1181" i="14"/>
  <c r="L191" i="13"/>
  <c r="A191" i="13"/>
  <c r="X1183" i="3"/>
  <c r="D1183" i="3"/>
  <c r="O10" i="16" l="1"/>
  <c r="O6" i="16"/>
  <c r="Q4" i="16"/>
  <c r="P10" i="16"/>
  <c r="P6" i="16"/>
  <c r="T9" i="16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V9" i="16" l="1"/>
  <c r="T13" i="16"/>
  <c r="T17" i="16" s="1"/>
  <c r="T18" i="16" s="1"/>
  <c r="Q6" i="16"/>
  <c r="Q10" i="16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P1183" i="3" l="1"/>
  <c r="O1183" i="3"/>
  <c r="W1183" i="3" s="1"/>
  <c r="O1181" i="3"/>
  <c r="P1181" i="3"/>
  <c r="O1182" i="3"/>
  <c r="P1182" i="3"/>
  <c r="W1181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P1169" i="3"/>
  <c r="O1169" i="3"/>
  <c r="Y1169" i="3"/>
  <c r="Z1169" i="3" s="1"/>
  <c r="AA1169" i="3" s="1"/>
  <c r="K1169" i="3"/>
  <c r="L1169" i="3"/>
  <c r="N1183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80" i="3" l="1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0" i="3"/>
  <c r="J1180" i="3"/>
  <c r="J1181" i="3" s="1"/>
  <c r="J1182" i="3" s="1"/>
  <c r="J1183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K1176" i="3" l="1"/>
  <c r="K1177" i="3" s="1"/>
  <c r="K1178" i="3" s="1"/>
  <c r="K1179" i="3" s="1"/>
  <c r="G1166" i="3"/>
  <c r="F1163" i="14"/>
  <c r="H1164" i="14" s="1"/>
  <c r="I1164" i="14" s="1"/>
  <c r="K1180" i="3" l="1"/>
  <c r="K1181" i="3" s="1"/>
  <c r="K1182" i="3" s="1"/>
  <c r="K1183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X1153" i="14"/>
  <c r="E1153" i="14"/>
  <c r="D1153" i="14"/>
  <c r="C1153" i="14"/>
  <c r="B1153" i="14"/>
  <c r="F1153" i="14" s="1"/>
  <c r="H1154" i="14" s="1"/>
  <c r="I1154" i="14" s="1"/>
  <c r="A1153" i="14"/>
  <c r="L162" i="13"/>
  <c r="A162" i="13"/>
  <c r="X1155" i="3"/>
  <c r="D1155" i="3"/>
  <c r="F1156" i="3" s="1"/>
  <c r="L1157" i="3" l="1"/>
  <c r="Y1157" i="3"/>
  <c r="Z1157" i="3" s="1"/>
  <c r="AA1157" i="3" s="1"/>
  <c r="L1154" i="14"/>
  <c r="Y1154" i="14"/>
  <c r="Z1154" i="14" s="1"/>
  <c r="AA1154" i="14" s="1"/>
  <c r="G1156" i="3"/>
  <c r="X1152" i="14"/>
  <c r="E1152" i="14"/>
  <c r="D1152" i="14"/>
  <c r="C1152" i="14"/>
  <c r="B1152" i="14"/>
  <c r="A1152" i="14"/>
  <c r="L161" i="13"/>
  <c r="A161" i="13"/>
  <c r="X1154" i="3"/>
  <c r="D1154" i="3"/>
  <c r="F1155" i="3" s="1"/>
  <c r="G1155" i="3" s="1"/>
  <c r="Y1156" i="3" l="1"/>
  <c r="Z1156" i="3" s="1"/>
  <c r="AA1156" i="3" s="1"/>
  <c r="L1156" i="3"/>
  <c r="Y1155" i="3"/>
  <c r="Z1155" i="3" s="1"/>
  <c r="AA1155" i="3" s="1"/>
  <c r="L1155" i="3"/>
  <c r="F1152" i="14"/>
  <c r="H1153" i="14" s="1"/>
  <c r="I1153" i="14" s="1"/>
  <c r="L1153" i="14" l="1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F1154" i="3" s="1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3" i="3" l="1"/>
  <c r="G1153" i="3" s="1"/>
  <c r="Q1183" i="3"/>
  <c r="R1183" i="3" s="1"/>
  <c r="F1152" i="3"/>
  <c r="G1152" i="3" s="1"/>
  <c r="Q1182" i="3"/>
  <c r="R1182" i="3" s="1"/>
  <c r="F1151" i="3"/>
  <c r="G1151" i="3" s="1"/>
  <c r="R1181" i="3"/>
  <c r="F1150" i="3"/>
  <c r="G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K1147" i="3"/>
  <c r="I1147" i="3" s="1"/>
  <c r="I1148" i="3" s="1"/>
  <c r="I1149" i="3" s="1"/>
  <c r="I1150" i="3" s="1"/>
  <c r="I1151" i="3" s="1"/>
  <c r="G1154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F1151" i="14"/>
  <c r="H1152" i="14" s="1"/>
  <c r="I1152" i="14" s="1"/>
  <c r="Y1153" i="3"/>
  <c r="Z1153" i="3" s="1"/>
  <c r="AA1153" i="3" s="1"/>
  <c r="L1153" i="3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L1150" i="3"/>
  <c r="Y1150" i="3"/>
  <c r="Z1150" i="3" s="1"/>
  <c r="AA1150" i="3" s="1"/>
  <c r="F1147" i="14"/>
  <c r="H1147" i="14"/>
  <c r="I1147" i="14" s="1"/>
  <c r="L1149" i="3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H1151" i="14" l="1"/>
  <c r="I1151" i="14" s="1"/>
  <c r="AC1181" i="14" s="1"/>
  <c r="Q1181" i="14"/>
  <c r="R1181" i="14" s="1"/>
  <c r="AC1180" i="14"/>
  <c r="AC1182" i="3"/>
  <c r="AC1183" i="3"/>
  <c r="Y1148" i="3"/>
  <c r="Z1148" i="3" s="1"/>
  <c r="AA1148" i="3" s="1"/>
  <c r="I1152" i="3"/>
  <c r="I1153" i="3" s="1"/>
  <c r="AC1181" i="3"/>
  <c r="L1147" i="3"/>
  <c r="AC1180" i="3"/>
  <c r="H1148" i="14"/>
  <c r="I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Q1174" i="3"/>
  <c r="R1174" i="3" s="1"/>
  <c r="F1143" i="3"/>
  <c r="G1143" i="3" s="1"/>
  <c r="Y1143" i="3" s="1"/>
  <c r="Z1143" i="3" s="1"/>
  <c r="AA1143" i="3" s="1"/>
  <c r="Q1173" i="3"/>
  <c r="R1173" i="3" s="1"/>
  <c r="I1154" i="3"/>
  <c r="I1155" i="3" s="1"/>
  <c r="L1152" i="14"/>
  <c r="Y1152" i="14"/>
  <c r="Z1152" i="14" s="1"/>
  <c r="AA1152" i="14" s="1"/>
  <c r="J1147" i="14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8" i="14"/>
  <c r="Y1148" i="14"/>
  <c r="Z1148" i="14" s="1"/>
  <c r="AA1148" i="14" s="1"/>
  <c r="L1147" i="14"/>
  <c r="Y1147" i="14"/>
  <c r="Z1147" i="14" s="1"/>
  <c r="AA1147" i="14" s="1"/>
  <c r="F1142" i="14"/>
  <c r="L1144" i="3"/>
  <c r="Y1144" i="3"/>
  <c r="Z1144" i="3" s="1"/>
  <c r="AA1144" i="3" s="1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J1148" i="14" l="1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G1142" i="3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Q1128" i="3" s="1"/>
  <c r="R1128" i="3" s="1"/>
  <c r="D94" i="13"/>
  <c r="X1096" i="14"/>
  <c r="E1096" i="14"/>
  <c r="D1096" i="14"/>
  <c r="C1096" i="14"/>
  <c r="B1096" i="14"/>
  <c r="A1096" i="14"/>
  <c r="L104" i="13"/>
  <c r="A104" i="13"/>
  <c r="X1096" i="3"/>
  <c r="D1096" i="3"/>
  <c r="X1095" i="14"/>
  <c r="E1095" i="14"/>
  <c r="D1095" i="14"/>
  <c r="C1095" i="14"/>
  <c r="B1095" i="14"/>
  <c r="A1095" i="14"/>
  <c r="L103" i="13"/>
  <c r="A103" i="13"/>
  <c r="X1095" i="3"/>
  <c r="D1095" i="3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Y1138" i="3" l="1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L1096" i="3" s="1"/>
  <c r="Q1126" i="3"/>
  <c r="R1126" i="3" s="1"/>
  <c r="F1095" i="3"/>
  <c r="G1095" i="3" s="1"/>
  <c r="Y1095" i="3" s="1"/>
  <c r="Z1095" i="3" s="1"/>
  <c r="AA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Q1092" i="3"/>
  <c r="R1092" i="3" s="1"/>
  <c r="F1092" i="14"/>
  <c r="Q1091" i="14"/>
  <c r="R1091" i="14" s="1"/>
  <c r="F1091" i="14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094" i="3" l="1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Y1097" i="3" s="1"/>
  <c r="Z1097" i="3" s="1"/>
  <c r="AA1097" i="3" s="1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Y1093" i="14" s="1"/>
  <c r="Z1093" i="14" s="1"/>
  <c r="AA1093" i="14" s="1"/>
  <c r="Q1123" i="14"/>
  <c r="R1123" i="14" s="1"/>
  <c r="L1090" i="3"/>
  <c r="L1093" i="3"/>
  <c r="L1091" i="3"/>
  <c r="H1092" i="14"/>
  <c r="I1092" i="14" s="1"/>
  <c r="L1092" i="14" s="1"/>
  <c r="Q1122" i="14"/>
  <c r="R1122" i="14" s="1"/>
  <c r="H1091" i="14"/>
  <c r="I1091" i="14" s="1"/>
  <c r="L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81" i="14" l="1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G18" i="16" s="1"/>
  <c r="G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K1162" i="3" l="1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H819" i="14" s="1"/>
  <c r="I819" i="14" s="1"/>
  <c r="X817" i="14"/>
  <c r="F817" i="14"/>
  <c r="H818" i="14" s="1"/>
  <c r="I818" i="14" s="1"/>
  <c r="X816" i="14"/>
  <c r="F816" i="14"/>
  <c r="H817" i="14" s="1"/>
  <c r="I817" i="14" s="1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6" i="14" l="1"/>
  <c r="I816" i="14" s="1"/>
  <c r="U1181" i="14"/>
  <c r="V1181" i="14" s="1"/>
  <c r="H815" i="14"/>
  <c r="I815" i="14" s="1"/>
  <c r="U1180" i="14"/>
  <c r="V1180" i="14" s="1"/>
  <c r="H814" i="14"/>
  <c r="I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Y811" i="14"/>
  <c r="L811" i="14"/>
  <c r="S912" i="14"/>
  <c r="T912" i="14" s="1"/>
  <c r="L794" i="14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Y803" i="14"/>
  <c r="L817" i="14"/>
  <c r="Y817" i="14"/>
  <c r="Y883" i="14"/>
  <c r="L883" i="14"/>
  <c r="Y795" i="14"/>
  <c r="L795" i="14"/>
  <c r="Y814" i="14"/>
  <c r="L814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Y804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Z930" i="14" s="1"/>
  <c r="AA930" i="14" s="1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0" i="14" l="1"/>
  <c r="Z927" i="14"/>
  <c r="AA927" i="14" s="1"/>
  <c r="Y808" i="14"/>
  <c r="L806" i="14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8" i="14"/>
  <c r="AA808" i="14" s="1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Z931" i="14" s="1"/>
  <c r="AA931" i="14" s="1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Z929" i="14" s="1"/>
  <c r="AA929" i="14" s="1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28" i="14" l="1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81" i="14" l="1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81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81" i="14" l="1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1" i="14" l="1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S909" i="3" s="1"/>
  <c r="T909" i="3" s="1"/>
  <c r="D821" i="3"/>
  <c r="S910" i="3" s="1"/>
  <c r="T910" i="3" s="1"/>
  <c r="D822" i="3"/>
  <c r="S911" i="3" s="1"/>
  <c r="T911" i="3" s="1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F819" i="3" l="1"/>
  <c r="G819" i="3" s="1"/>
  <c r="U1182" i="3"/>
  <c r="V1182" i="3" s="1"/>
  <c r="F818" i="3"/>
  <c r="G818" i="3" s="1"/>
  <c r="U1181" i="3"/>
  <c r="V1181" i="3" s="1"/>
  <c r="F817" i="3"/>
  <c r="G817" i="3" s="1"/>
  <c r="U1180" i="3"/>
  <c r="V1180" i="3" s="1"/>
  <c r="F816" i="3"/>
  <c r="G816" i="3" s="1"/>
  <c r="U1179" i="3"/>
  <c r="V1179" i="3" s="1"/>
  <c r="F815" i="3"/>
  <c r="G815" i="3" s="1"/>
  <c r="Y815" i="3" s="1"/>
  <c r="U1178" i="3"/>
  <c r="V1178" i="3" s="1"/>
  <c r="F814" i="3"/>
  <c r="G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L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L815" i="3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L813" i="3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L819" i="3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Y816" i="3"/>
  <c r="L814" i="3"/>
  <c r="Y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2" i="3" l="1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Z802" i="3" s="1"/>
  <c r="AA802" i="3" s="1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83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0" i="3" l="1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L784" i="3"/>
  <c r="AE1170" i="3"/>
  <c r="O1168" i="3"/>
  <c r="P1168" i="3"/>
  <c r="AE1168" i="3"/>
  <c r="O1167" i="3"/>
  <c r="P1167" i="3"/>
  <c r="Y793" i="3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Z793" i="3"/>
  <c r="AA793" i="3" s="1"/>
  <c r="AC984" i="3"/>
  <c r="AD1046" i="3"/>
  <c r="O1046" i="3"/>
  <c r="P1046" i="3"/>
  <c r="Z792" i="3"/>
  <c r="AA792" i="3" s="1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Z786" i="3"/>
  <c r="AA786" i="3" s="1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Z935" i="3" s="1"/>
  <c r="AA935" i="3" s="1"/>
  <c r="L934" i="3"/>
  <c r="Y934" i="3"/>
  <c r="Z934" i="3" s="1"/>
  <c r="AA934" i="3" s="1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Z933" i="3" s="1"/>
  <c r="AA933" i="3" s="1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2" i="3" l="1"/>
  <c r="AA932" i="3" s="1"/>
  <c r="AB1183" i="3"/>
  <c r="Z931" i="3"/>
  <c r="AA931" i="3" s="1"/>
  <c r="AB1182" i="3"/>
  <c r="Z930" i="3"/>
  <c r="AA930" i="3" s="1"/>
  <c r="AB1181" i="3"/>
  <c r="Z929" i="3"/>
  <c r="AA929" i="3" s="1"/>
  <c r="AB1180" i="3"/>
  <c r="Z928" i="3"/>
  <c r="AA928" i="3" s="1"/>
  <c r="AB1179" i="3" s="1"/>
  <c r="Z927" i="3"/>
  <c r="AA927" i="3" s="1"/>
  <c r="AB1178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3" i="3" l="1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83" i="3" l="1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<sst xmlns="http://schemas.openxmlformats.org/spreadsheetml/2006/main" count="1222" uniqueCount="463">
  <si>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</si>
  <si>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</si>
  <si>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</si>
  <si>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</si>
  <si>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</si>
  <si>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</si>
  <si>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</si>
  <si>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</si>
  <si>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</si>
  <si>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</si>
  <si>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</si>
  <si>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</si>
  <si>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</si>
  <si>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</si>
  <si>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</si>
  <si>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</si>
  <si>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</si>
  <si>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</si>
  <si>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</si>
  <si>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</si>
  <si>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</si>
  <si>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</si>
  <si>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</si>
  <si>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</si>
  <si>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</si>
  <si>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</si>
  <si>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</si>
  <si>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</si>
  <si>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</si>
  <si>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</si>
  <si>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</si>
  <si>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</si>
  <si>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</si>
  <si>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</si>
  <si>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</si>
  <si>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</si>
  <si>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</si>
  <si>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</si>
  <si>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</si>
  <si>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</si>
  <si>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</si>
  <si>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</si>
  <si>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</si>
  <si>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</si>
  <si>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</si>
  <si>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</si>
  <si>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</si>
  <si>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</si>
  <si>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</si>
  <si>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</si>
  <si>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</si>
  <si>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</si>
  <si>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</si>
  <si>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</si>
  <si>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</si>
  <si>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</si>
  <si>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</si>
  <si>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</si>
  <si>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</si>
  <si>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</si>
  <si>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</si>
  <si>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</si>
  <si>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</si>
  <si>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</si>
  <si>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</si>
  <si>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</si>
  <si>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</si>
  <si>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</si>
  <si>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</si>
  <si>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</si>
  <si>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</si>
  <si>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</si>
  <si>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</si>
  <si>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</si>
  <si>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</si>
  <si>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</si>
  <si>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</si>
  <si>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</si>
  <si>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</si>
  <si>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</si>
  <si>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</si>
  <si>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</si>
  <si>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</si>
  <si>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</si>
  <si>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</si>
  <si>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</si>
  <si>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</si>
  <si>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</si>
  <si>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</si>
  <si>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</si>
  <si>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</si>
  <si>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</si>
  <si>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</si>
  <si>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</si>
  <si>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</si>
  <si>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</si>
  <si>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</si>
  <si>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</si>
  <si>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</si>
  <si>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</si>
  <si>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</si>
  <si>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</si>
  <si>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</si>
  <si>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</si>
  <si>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</si>
  <si>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</si>
  <si>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</si>
  <si>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</si>
  <si>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</si>
  <si>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</si>
  <si>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</si>
  <si>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</si>
  <si>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</si>
  <si>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</si>
  <si>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</si>
  <si>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</si>
  <si>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</si>
  <si>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</si>
  <si>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</si>
  <si>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</si>
  <si>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</si>
  <si>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</si>
  <si>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</si>
  <si>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</si>
  <si>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</si>
  <si>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</si>
  <si>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</si>
  <si>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</si>
  <si>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</si>
  <si>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</si>
  <si>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</si>
  <si>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</si>
  <si>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</si>
  <si>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</si>
  <si>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</si>
  <si>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</si>
  <si>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</si>
  <si>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</si>
  <si>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</si>
  <si>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</si>
  <si>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</si>
  <si>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</si>
  <si>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</si>
  <si>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</si>
  <si>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</si>
  <si>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</si>
  <si>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</si>
  <si>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</si>
  <si>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</si>
  <si>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</si>
  <si>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</si>
  <si>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</si>
  <si>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</si>
  <si>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</si>
  <si>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</si>
  <si>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</si>
  <si>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</si>
  <si>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</si>
  <si>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</si>
  <si>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</si>
  <si>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</si>
  <si>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</si>
  <si>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</si>
  <si>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</si>
  <si>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</si>
  <si>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</si>
  <si>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</si>
  <si>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</si>
  <si>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</si>
  <si>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</si>
  <si>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</si>
  <si>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</si>
  <si>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</si>
  <si>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</si>
  <si>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</si>
  <si>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</si>
  <si>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</si>
  <si>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</si>
  <si>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</si>
  <si>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</si>
  <si>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</si>
  <si>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</si>
  <si>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</si>
  <si>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</si>
  <si>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</si>
  <si>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</si>
  <si>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</si>
  <si>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</si>
  <si>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</si>
  <si>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</si>
  <si>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</si>
  <si>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</si>
  <si>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</si>
  <si>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</si>
  <si>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</si>
  <si>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</si>
  <si>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</si>
  <si>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</si>
  <si>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</si>
  <si>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</si>
  <si>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</si>
  <si>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</si>
  <si>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</si>
  <si>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</si>
  <si>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</si>
  <si>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</si>
  <si>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</si>
  <si>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</si>
  <si>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</si>
  <si>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</si>
  <si>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</si>
  <si>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</si>
  <si>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</si>
  <si>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</si>
  <si>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</si>
  <si>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</si>
  <si>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</si>
  <si>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</si>
  <si>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</si>
  <si>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</si>
  <si>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</si>
  <si>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</si>
  <si>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</si>
  <si>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</si>
  <si>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</si>
  <si>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</si>
  <si>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</si>
  <si>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</si>
  <si>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</si>
  <si>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</si>
  <si>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</si>
  <si>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</si>
  <si>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</si>
  <si>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</si>
  <si>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</si>
  <si>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</si>
  <si>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</si>
  <si>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</si>
  <si>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</si>
  <si>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</si>
  <si>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</si>
  <si>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</si>
  <si>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</si>
  <si>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</si>
  <si>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</si>
  <si>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</si>
  <si>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</si>
  <si>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</si>
  <si>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</si>
  <si>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</si>
  <si>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</si>
  <si>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</si>
  <si>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</si>
  <si>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</si>
  <si>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</si>
  <si>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</si>
  <si>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</si>
  <si>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</si>
  <si>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</si>
  <si>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</si>
  <si>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</si>
  <si>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</si>
  <si>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</si>
  <si>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</si>
  <si>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</si>
  <si>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</si>
  <si>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</si>
  <si>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</si>
  <si>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</si>
  <si>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</si>
  <si>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</si>
  <si>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</si>
  <si>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</si>
  <si>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</si>
  <si>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</si>
  <si>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</si>
  <si>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</si>
  <si>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</si>
  <si>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</si>
  <si>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</si>
  <si>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</si>
  <si>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</si>
  <si>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</si>
  <si>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</si>
  <si>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</si>
  <si>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</si>
  <si>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</si>
  <si>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</si>
  <si>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</si>
  <si>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</si>
  <si>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</si>
  <si>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</si>
  <si>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</si>
  <si>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</si>
  <si>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</si>
  <si>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</si>
  <si>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</si>
  <si>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</si>
  <si>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</si>
  <si>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</si>
  <si>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</si>
  <si>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</si>
  <si>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</si>
  <si>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</si>
  <si>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</si>
  <si>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</si>
  <si>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</si>
  <si>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</si>
  <si>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</si>
  <si>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</si>
  <si>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</si>
  <si>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</si>
  <si>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</si>
  <si>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</si>
  <si>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</si>
  <si>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</si>
  <si>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</si>
  <si>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</si>
  <si>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</si>
  <si>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</si>
  <si>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</si>
  <si>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</si>
  <si>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</si>
  <si>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</si>
  <si>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</si>
  <si>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</si>
  <si>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</si>
  <si>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</si>
  <si>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</si>
  <si>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</si>
  <si>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</si>
  <si>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</si>
  <si>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</si>
  <si>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</si>
  <si>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</si>
  <si>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</si>
  <si>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</si>
  <si>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</si>
  <si>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</si>
  <si>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</si>
  <si>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</si>
  <si>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</si>
  <si>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</si>
  <si>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</si>
  <si>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</si>
  <si>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</si>
  <si>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</si>
  <si>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</si>
  <si>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</si>
  <si>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</si>
  <si>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</si>
  <si>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</si>
  <si>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</si>
  <si>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</si>
  <si>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</si>
  <si>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</si>
  <si>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</si>
  <si>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</si>
  <si>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</si>
  <si>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</si>
  <si>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</si>
  <si>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</si>
  <si>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</si>
  <si>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</si>
  <si>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</si>
  <si>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</si>
  <si>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Change in NAV</t>
  </si>
  <si>
    <t>Field Name</t>
  </si>
  <si>
    <t>Field Value</t>
  </si>
  <si>
    <t>CRM</t>
  </si>
  <si>
    <t>DIA</t>
  </si>
  <si>
    <t>KO</t>
  </si>
  <si>
    <t>ORCL</t>
  </si>
  <si>
    <t>ES 31JAN25 6075 C</t>
  </si>
  <si>
    <t>ESH5</t>
  </si>
  <si>
    <t>NQH5</t>
  </si>
  <si>
    <t>NQ 31JAN25 22200 C</t>
  </si>
  <si>
    <t>Straits Multi-Asset Macro Strategy</t>
  </si>
  <si>
    <t>Inhouse</t>
  </si>
  <si>
    <t>ASML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</si>
  <si>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</si>
  <si>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</si>
  <si>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</si>
  <si>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</si>
  <si>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</si>
  <si>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</si>
  <si>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</si>
  <si>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</si>
  <si>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</si>
  <si>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</si>
  <si>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</si>
  <si>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</si>
  <si>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</si>
  <si>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NVDA 21MAR25 135 C</t>
  </si>
  <si>
    <t>SNOW</t>
  </si>
  <si>
    <t>941 27JAN25 75 C</t>
  </si>
  <si>
    <t>XLF 24JAN25 50 C</t>
  </si>
  <si>
    <t>CAT 24JAN25 380 P</t>
  </si>
  <si>
    <t>CCJ 24JAN25 50 P</t>
  </si>
  <si>
    <t>DIA 24JAN25 439 C</t>
  </si>
  <si>
    <t>GLD 24JAN25 252.5 C</t>
  </si>
  <si>
    <t>IBIT 24JAN25 60 C</t>
  </si>
  <si>
    <t>IBIT 24JAN25 63 C</t>
  </si>
  <si>
    <t>ICE 21FEB25 150 P</t>
  </si>
  <si>
    <t>QQQ 21JAN25 525 C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</si>
  <si>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</si>
  <si>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</si>
  <si>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</si>
  <si>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</si>
  <si>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</si>
  <si>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</si>
  <si>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</si>
  <si>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</si>
  <si>
    <t>1211 24JAN25 280 C</t>
  </si>
  <si>
    <t>1211 27JAN25 300 C</t>
  </si>
  <si>
    <t>2020 27JAN25 85 C</t>
  </si>
  <si>
    <t>2828 27FEB25 80 C</t>
  </si>
  <si>
    <t>9988 27JAN25 90 C</t>
  </si>
  <si>
    <t>9618 27JAN25 160 C</t>
  </si>
  <si>
    <t>ANF 24JAN25 127 P</t>
  </si>
  <si>
    <t>ASML 24JAN25 790 C</t>
  </si>
  <si>
    <t>CAT 24JAN25 397.5 P</t>
  </si>
  <si>
    <t>GLD 24JAN25 254 C</t>
  </si>
  <si>
    <t>GLD 27JAN25 250 P</t>
  </si>
  <si>
    <t>GLD 27JAN25 255 C</t>
  </si>
  <si>
    <t>GOOG 24JAN25 205 C</t>
  </si>
  <si>
    <t>GS 24JAN25 605 P</t>
  </si>
  <si>
    <t>GS 24JAN25 615 P</t>
  </si>
  <si>
    <t>KO 31JAN25 63 C</t>
  </si>
  <si>
    <t>MSFT 24JAN25 432.5 C</t>
  </si>
  <si>
    <t>NQ 24JAN25 22000 C</t>
  </si>
  <si>
    <t>NVDA 31JAN25 145 C</t>
  </si>
  <si>
    <t>RTX 31JAN25 125 C</t>
  </si>
  <si>
    <t>TSM 24JAN25 222.5 C</t>
  </si>
  <si>
    <t>TSM 31JAN25 220 C</t>
  </si>
  <si>
    <t>TSM 31JAN25 225 C</t>
  </si>
  <si>
    <t>XLF 31JAN25 51 C</t>
  </si>
  <si>
    <t>XLK 24JAN25 235 C</t>
  </si>
  <si>
    <t>XLU 31JAN25 80.5 C</t>
  </si>
  <si>
    <t>1810 27JAN25 35 P</t>
  </si>
  <si>
    <t>700 27FEB25 370 P</t>
  </si>
  <si>
    <t>AMAT 31JAN25 187.5 P</t>
  </si>
  <si>
    <t>AMZN 31JAN25 242.5 C</t>
  </si>
  <si>
    <t>IGV 31JAN25 105 C</t>
  </si>
  <si>
    <t>NQ 22JAN25 21880 P</t>
  </si>
  <si>
    <t>NQ 22JAN25 22000 P</t>
  </si>
  <si>
    <t>NVDA 24JAN25 146 C</t>
  </si>
  <si>
    <t>NVDA 24JAN25 150 C</t>
  </si>
  <si>
    <t>NVDA 31JAN25 150 C</t>
  </si>
  <si>
    <t>NVDA 31JAN25 152.5 C</t>
  </si>
  <si>
    <t>NVDA 31JAN25 155 C</t>
  </si>
  <si>
    <t>ORCL 24JAN25 195 C</t>
  </si>
  <si>
    <t>ORCL 31JAN25 200 C</t>
  </si>
  <si>
    <t>PANW 31JAN25 195 C</t>
  </si>
  <si>
    <t>PLTR 31JAN25 80 C</t>
  </si>
  <si>
    <t>SE 24JAN25 118 P</t>
  </si>
  <si>
    <t>SNOW 24JAN25 180 C</t>
  </si>
  <si>
    <t>TSM 24JAN25 220 P</t>
  </si>
  <si>
    <t>TSM 31JAN25 215 P</t>
  </si>
  <si>
    <t>TSM 31JAN25 230 C</t>
  </si>
  <si>
    <t>XLK 31JAN25 242.5 C</t>
  </si>
  <si>
    <t>XLK 31JAN25 245 C</t>
  </si>
  <si>
    <t>Internal Transfers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</si>
</sst>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Data...3118953291</v>
        <stp/>
        <stp>BDP|17488990371770934291</stp>
        <tr r="L9" s="16"/>
      </tp>
      <tp t="s">
        <v>#N/A Requesting Data...3223849934</v>
        <stp/>
        <stp>BDP|12334903160624343193</stp>
        <tr r="H7" s="16"/>
      </tp>
      <tp t="s">
        <v>#N/A Requesting Data...3211815170</v>
        <stp/>
        <stp>BDP|11631739781717341169</stp>
        <tr r="D10" s="16"/>
      </tp>
      <tp t="s">
        <v>#N/A Requesting Data...3295162786</v>
        <stp/>
        <stp>BDP|12503804164161346560</stp>
        <tr r="H23" s="4"/>
      </tp>
      <tp t="s">
        <v>#N/A Requesting Data...4178689269</v>
        <stp/>
        <stp>BDP|15038974491608239300</stp>
        <tr r="E8" s="16"/>
      </tp>
      <tp t="s">
        <v>#N/A Requesting Data...4258260361</v>
        <stp/>
        <stp>BDP|18194437827130447215</stp>
        <tr r="K6" s="16"/>
      </tp>
      <tp t="s">
        <v>#N/A Requesting Data...3212465430</v>
        <stp/>
        <stp>BDP|14342216399620183288</stp>
        <tr r="F7" s="16"/>
      </tp>
      <tp t="s">
        <v>#N/A Requesting Data...3658571869</v>
        <stp/>
        <stp>BDP|12868917489186433836</stp>
        <tr r="D22" s="4"/>
      </tp>
      <tp t="s">
        <v>#N/A Requesting Data...3384330400</v>
        <stp/>
        <stp>BDP|17458564132487035495</stp>
        <tr r="G6" s="16"/>
      </tp>
      <tp t="s">
        <v>#N/A Requesting Data...3520179374</v>
        <stp/>
        <stp>BDP|11441239167720550763</stp>
        <tr r="G22" s="4"/>
      </tp>
      <tp t="s">
        <v>#N/A Requesting Data...3317347169</v>
        <stp/>
        <stp>BDP|12134806195186667708</stp>
        <tr r="F9" s="16"/>
      </tp>
      <tp t="s">
        <v>#N/A Requesting Data...3252118973</v>
        <stp/>
        <stp>BDP|15571183826414458091</stp>
        <tr r="F23" s="4"/>
      </tp>
      <tp t="s">
        <v>#N/A Requesting Data...3145470918</v>
        <stp/>
        <stp>BDP|16691583684581330968</stp>
        <tr r="F22" s="4"/>
      </tp>
      <tp t="s">
        <v>#N/A Requesting Data...3564656005</v>
        <stp/>
        <stp>BDP|10851542879122214334</stp>
        <tr r="K7" s="16"/>
      </tp>
      <tp t="s">
        <v>#N/A Requesting Data...3686154482</v>
        <stp/>
        <stp>BDP|13033893993631589338</stp>
        <tr r="C24" s="4"/>
      </tp>
      <tp t="s">
        <v>#N/A Requesting Data...3054281700</v>
        <stp/>
        <stp>BDP|15628696981164784920</stp>
        <tr r="F6" s="16"/>
      </tp>
      <tp t="s">
        <v>#N/A Requesting Data...4204359030</v>
        <stp/>
        <stp>BDP|17421494076265054774</stp>
        <tr r="D6" s="16"/>
      </tp>
      <tp t="s">
        <v>#N/A Requesting Data...3371311163</v>
        <stp/>
        <stp>BDP|11395363488884515847</stp>
        <tr r="E22" s="4"/>
      </tp>
      <tp t="s">
        <v>#N/A Requesting Data...3893357766</v>
        <stp/>
        <stp>BDP|11453968001806112847</stp>
        <tr r="L10" s="16"/>
      </tp>
      <tp t="s">
        <v>#N/A Requesting Data...3116582023</v>
        <stp/>
        <stp>BDP|14662245951000286439</stp>
        <tr r="C22" s="4"/>
      </tp>
      <tp t="s">
        <v>#N/A Requesting Data...3098629419</v>
        <stp/>
        <stp>BDP|16854102045504656375</stp>
        <tr r="K10" s="16"/>
      </tp>
      <tp t="s">
        <v>#N/A Requesting Data...3930598662</v>
        <stp/>
        <stp>BDP|17541570393706762923</stp>
        <tr r="K9" s="16"/>
      </tp>
      <tp t="s">
        <v>#N/A Requesting Data...3927186427</v>
        <stp/>
        <stp>BDP|14370156815235148488</stp>
        <tr r="F8" s="16"/>
      </tp>
      <tp t="s">
        <v>#N/A Requesting Data...3317332442</v>
        <stp/>
        <stp>BDP|16879443774998906816</stp>
        <tr r="K8" s="16"/>
      </tp>
    </main>
    <main first="bofaddin.rtdserver">
      <tp t="s">
        <v>#N/A Requesting Data...3424430465</v>
        <stp/>
        <stp>BDP|1413003601749412533</stp>
        <tr r="L6" s="16"/>
      </tp>
      <tp t="s">
        <v>#N/A Requesting Data...3845844145</v>
        <stp/>
        <stp>BDP|8485886604566386829</stp>
        <tr r="H22" s="4"/>
      </tp>
      <tp t="s">
        <v>#N/A Requesting Data...3208063177</v>
        <stp/>
        <stp>BDP|9958272376154164648</stp>
        <tr r="J9" s="16"/>
      </tp>
      <tp t="s">
        <v>#N/A Requesting Data...4100304017</v>
        <stp/>
        <stp>BDP|4155052320638790009</stp>
        <tr r="L7" s="16"/>
      </tp>
      <tp t="s">
        <v>#N/A Requesting Data...4077230351</v>
        <stp/>
        <stp>BDP|4997210966577515802</stp>
        <tr r="G9" s="16"/>
      </tp>
      <tp t="s">
        <v>#N/A Requesting Data...4016072945</v>
        <stp/>
        <stp>BDP|3599663092060873385</stp>
        <tr r="G23" s="4"/>
      </tp>
      <tp t="s">
        <v>#N/A Requesting Data...3526836741</v>
        <stp/>
        <stp>BDP|2715175043958188031</stp>
        <tr r="C23" s="4"/>
      </tp>
      <tp t="s">
        <v>#N/A Requesting Data...3079949466</v>
        <stp/>
        <stp>BDP|4938759477168674381</stp>
        <tr r="E23" s="4"/>
      </tp>
      <tp t="s">
        <v>#N/A Requesting Data...3790670108</v>
        <stp/>
        <stp>BDP|5516778511589823234</stp>
        <tr r="F10" s="16"/>
      </tp>
      <tp t="s">
        <v>#N/A Requesting Data...3226771546</v>
        <stp/>
        <stp>BDP|4120548091556971632</stp>
        <tr r="J8" s="16"/>
      </tp>
      <tp t="s">
        <v>#N/A Requesting Data...3585367477</v>
        <stp/>
        <stp>BDP|6229753396345444597</stp>
        <tr r="J10" s="16"/>
      </tp>
      <tp t="s">
        <v>#N/A Requesting Data...3878889471</v>
        <stp/>
        <stp>BDP|6992386206898388576</stp>
        <tr r="I6" s="16"/>
      </tp>
      <tp t="s">
        <v>#N/A Requesting Data...3508412150</v>
        <stp/>
        <stp>BDP|4532089580725904075</stp>
        <tr r="H6" s="16"/>
      </tp>
      <tp t="s">
        <v>#N/A Requesting Data...3788449002</v>
        <stp/>
        <stp>BDP|3379476956402510911</stp>
        <tr r="G7" s="16"/>
      </tp>
      <tp t="s">
        <v>#N/A Requesting Data...3694109981</v>
        <stp/>
        <stp>BDP|1440775866201456872</stp>
        <tr r="I10" s="16"/>
      </tp>
      <tp t="s">
        <v>#N/A Requesting Data...3844725916</v>
        <stp/>
        <stp>BDP|2558557980072118785</stp>
        <tr r="I9" s="16"/>
      </tp>
      <tp t="s">
        <v>#N/A Requesting Data...3958896266</v>
        <stp/>
        <stp>BDP|9567764807640019488</stp>
        <tr r="D23" s="4"/>
      </tp>
      <tp t="s">
        <v>#N/A Requesting Data...3780520702</v>
        <stp/>
        <stp>BDP|6919533648008043579</stp>
        <tr r="J6" s="16"/>
      </tp>
      <tp t="s">
        <v>#N/A Requesting Data...3797499254</v>
        <stp/>
        <stp>BDP|9795865377547352559</stp>
        <tr r="H9" s="16"/>
      </tp>
      <tp t="s">
        <v>#N/A Requesting Data...3341282411</v>
        <stp/>
        <stp>BDP|3621777069803976439</stp>
        <tr r="D8" s="16"/>
      </tp>
      <tp t="s">
        <v>#N/A Requesting Data...3979129203</v>
        <stp/>
        <stp>BDP|2634117571192198044</stp>
        <tr r="E10" s="16"/>
      </tp>
      <tp t="s">
        <v>#N/A Requesting Data...3354786868</v>
        <stp/>
        <stp>BDP|4088085636931872034</stp>
        <tr r="H8" s="16"/>
      </tp>
      <tp t="s">
        <v>#N/A Requesting Data...3934857528</v>
        <stp/>
        <stp>BDP|3917812088037969338</stp>
        <tr r="I8" s="16"/>
      </tp>
      <tp t="s">
        <v>#N/A Requesting Data...3528703099</v>
        <stp/>
        <stp>BDP|8329996959595020626</stp>
        <tr r="G8" s="16"/>
      </tp>
      <tp t="s">
        <v>#N/A Requesting Data...3268165952</v>
        <stp/>
        <stp>BDP|9551902812626788049</stp>
        <tr r="E9" s="16"/>
      </tp>
      <tp t="s">
        <v>#N/A Requesting Data...4231558910</v>
        <stp/>
        <stp>BDP|4245519764736732652</stp>
        <tr r="D9" s="16"/>
      </tp>
      <tp t="s">
        <v>#N/A Requesting Data...3587810242</v>
        <stp/>
        <stp>BDP|2172564009019829930</stp>
        <tr r="H10" s="16"/>
      </tp>
      <tp t="s">
        <v>#N/A Requesting Data...3658093445</v>
        <stp/>
        <stp>BDP|1538312403986856411</stp>
        <tr r="G10" s="16"/>
      </tp>
      <tp t="s">
        <v>#N/A Requesting Data...3244322687</v>
        <stp/>
        <stp>BDP|3016032546861645645</stp>
        <tr r="L8" s="16"/>
      </tp>
      <tp t="s">
        <v>#N/A Requesting Data...3844567551</v>
        <stp/>
        <stp>BDP|4274184704243147681</stp>
        <tr r="E6" s="16"/>
      </tp>
      <tp t="s">
        <v>#N/A Requesting Data...4274820594</v>
        <stp/>
        <stp>BDP|5342164155427751487</stp>
        <tr r="I7" s="16"/>
      </tp>
      <tp t="s">
        <v>#N/A Requesting Data...4160805457</v>
        <stp/>
        <stp>BDP|2470954931023095833</stp>
        <tr r="J7" s="16"/>
      </tp>
    </main>
    <main first="bofaddin.rtdserver">
      <tp t="s">
        <v>#N/A Requesting Data...3414132789</v>
        <stp/>
        <stp>BDP|808002419262414195</stp>
        <tr r="D7" s="16"/>
      </tp>
      <tp t="s">
        <v>#N/A Requesting Data...3495468100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NAV'!$A$1169:$A$1483</c:f>
              <c:numCache>
                <c:formatCode>[$-409]d\-mmm\-yy;@</c:formatCode>
                <c:ptCount val="315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</c:numCache>
            </c:numRef>
          </c:cat>
          <c:val>
            <c:numRef>
              <c:f>'Historical NAV'!$N$1169:$N$1482</c:f>
              <c:numCache>
                <c:formatCode>0.00%;[Red]\(0.00%\)</c:formatCode>
                <c:ptCount val="314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NAV'!$A$2:$A$1483</c:f>
              <c:numCache>
                <c:formatCode>[$-409]d\-mmm\-yy;@</c:formatCode>
                <c:ptCount val="1482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</c:numCache>
            </c:numRef>
          </c:cat>
          <c:val>
            <c:numRef>
              <c:f>'Historical NAV'!$M$2:$M$1482</c:f>
              <c:numCache>
                <c:formatCode>0.00%;[Red]\(0.00%\)</c:formatCode>
                <c:ptCount val="1481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2907494.5999999996</c:v>
                </c:pt>
                <c:pt idx="1">
                  <c:v>4930636.49</c:v>
                </c:pt>
                <c:pt idx="2">
                  <c:v>-365347.46000000008</c:v>
                </c:pt>
                <c:pt idx="3">
                  <c:v>132894.43999999994</c:v>
                </c:pt>
                <c:pt idx="4">
                  <c:v>1520102.88</c:v>
                </c:pt>
                <c:pt idx="5">
                  <c:v>484990</c:v>
                </c:pt>
                <c:pt idx="6">
                  <c:v>619096.83000000007</c:v>
                </c:pt>
                <c:pt idx="7">
                  <c:v>0</c:v>
                </c:pt>
                <c:pt idx="8">
                  <c:v>-2774162.0573897986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2907494.5999999996</c:v>
                </c:pt>
                <c:pt idx="1">
                  <c:v>4930636.49</c:v>
                </c:pt>
                <c:pt idx="2">
                  <c:v>-365347.46000000008</c:v>
                </c:pt>
                <c:pt idx="3">
                  <c:v>132894.43999999994</c:v>
                </c:pt>
                <c:pt idx="4">
                  <c:v>1520102.88</c:v>
                </c:pt>
                <c:pt idx="5">
                  <c:v>484990</c:v>
                </c:pt>
                <c:pt idx="6">
                  <c:v>619096.83000000007</c:v>
                </c:pt>
                <c:pt idx="7">
                  <c:v>0</c:v>
                </c:pt>
                <c:pt idx="8">
                  <c:v>-2774162.0573897986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Z18" sqref="Z1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45679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312</v>
      </c>
      <c r="B4" s="8">
        <f ca="1">OFFSET('Historical NAV'!I1,COUNT('Historical NAV'!A:A),,,)</f>
        <v>6.6201268812814462E-2</v>
      </c>
      <c r="D4" s="91"/>
      <c r="E4" s="92"/>
    </row>
    <row r="5" spans="1:23">
      <c r="A5" t="s">
        <v>66</v>
      </c>
      <c r="B5" s="8">
        <f ca="1">OFFSET('Historical NAV'!K1,COUNT('Historical NAV'!A:A),,,)</f>
        <v>0.15563161138171688</v>
      </c>
      <c r="E5" s="146"/>
    </row>
    <row r="6" spans="1:23">
      <c r="A6" t="s">
        <v>295</v>
      </c>
      <c r="B6" s="8">
        <f ca="1">OFFSET('Historical NAV'!N1,COUNT('Historical NAV'!A:A),,,)</f>
        <v>0.15563161138171688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2.3046655406421392E-2</v>
      </c>
      <c r="D9" t="s">
        <v>188</v>
      </c>
      <c r="E9" s="146">
        <f ca="1">OFFSET('Historical NAV'!B1,COUNT('Historical NAV'!A:A),,,)</f>
        <v>72037102.589977294</v>
      </c>
    </row>
    <row r="10" spans="1:23">
      <c r="A10" t="s">
        <v>181</v>
      </c>
      <c r="B10" s="2">
        <f ca="1">E13/E9</f>
        <v>2.809163963906502</v>
      </c>
      <c r="D10" t="s">
        <v>159</v>
      </c>
      <c r="E10" s="146">
        <v>35054316.409999996</v>
      </c>
    </row>
    <row r="11" spans="1:23">
      <c r="A11" t="s">
        <v>146</v>
      </c>
      <c r="B11" s="8">
        <f ca="1">OFFSET('Historical NAV'!R1,COUNT('Historical NAV'!A:A),,,)</f>
        <v>-7.5655436987382405E-2</v>
      </c>
      <c r="D11" t="s">
        <v>160</v>
      </c>
      <c r="E11" s="8">
        <f ca="1">E10/E9</f>
        <v>0.48661474642481239</v>
      </c>
    </row>
    <row r="12" spans="1:23">
      <c r="A12" t="s">
        <v>147</v>
      </c>
      <c r="B12" s="8">
        <f ca="1">OFFSET('Historical NAV'!T1,COUNT('Historical NAV'!A:A),,,)</f>
        <v>0.23098371839442311</v>
      </c>
    </row>
    <row r="13" spans="1:23">
      <c r="A13" t="s">
        <v>148</v>
      </c>
      <c r="B13" s="8">
        <f ca="1">OFFSET('Historical NAV'!V1,COUNT('Historical NAV'!A:A),,,)</f>
        <v>1.0358429215694041</v>
      </c>
      <c r="D13" s="99" t="s">
        <v>180</v>
      </c>
      <c r="E13" s="152">
        <f>K25</f>
        <v>202364032.65999997</v>
      </c>
    </row>
    <row r="14" spans="1:23">
      <c r="A14" t="s">
        <v>125</v>
      </c>
      <c r="B14" s="51">
        <f ca="1">OFFSET('Historical NAV'!W1,COUNT('Historical NAV'!A:A),,,)</f>
        <v>5.0130265025634797</v>
      </c>
      <c r="D14" s="303">
        <v>5.0000000000000001E-3</v>
      </c>
      <c r="E14" s="123">
        <f>(D14*$E$13)/(1-D14)</f>
        <v>1016904.6867336682</v>
      </c>
    </row>
    <row r="15" spans="1:23">
      <c r="A15" t="s">
        <v>144</v>
      </c>
      <c r="B15" s="51">
        <f ca="1">OFFSET('Historical NAV'!AB1,COUNT('Historical NAV'!A:A),,,)</f>
        <v>4.75510054480175</v>
      </c>
      <c r="D15" s="303">
        <v>0.01</v>
      </c>
      <c r="E15" s="123">
        <f>(D15*$E$13)/(1-D15)</f>
        <v>2044081.1379797978</v>
      </c>
      <c r="F15" s="133"/>
    </row>
    <row r="16" spans="1:23">
      <c r="A16" t="s">
        <v>145</v>
      </c>
      <c r="B16" s="51">
        <f ca="1">OFFSET('Historical NAV'!P1,COUNT('Historical NAV'!A:A),,,)</f>
        <v>0.51137557232276754</v>
      </c>
      <c r="D16" s="303">
        <v>1.4999999999999999E-2</v>
      </c>
      <c r="E16" s="123">
        <f>(D16*$E$13)/(1-D16)</f>
        <v>3081685.7765482226</v>
      </c>
      <c r="F16" s="169"/>
    </row>
    <row r="17" spans="1:23">
      <c r="A17" t="s">
        <v>185</v>
      </c>
      <c r="B17" s="51">
        <f ca="1">OFFSET('Historical NAV'!AC1,COUNT('Historical NAV'!A:A),,,)</f>
        <v>-4.6134725804138896E-2</v>
      </c>
      <c r="D17" s="303">
        <v>0.05</v>
      </c>
      <c r="E17" s="123">
        <f>(D17*$E$13)/(1-D17)</f>
        <v>10650738.561052632</v>
      </c>
    </row>
    <row r="18" spans="1:23">
      <c r="A18" t="s">
        <v>186</v>
      </c>
      <c r="B18" s="51">
        <f ca="1">OFFSET('Historical NAV'!AD1,COUNT('Historical NAV'!A:A),,,)</f>
        <v>-3.809786535032348E-2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-4.8069621773497037E-2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26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72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155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75465923.829999998</v>
      </c>
      <c r="C25" s="102">
        <f>SUMIF('Mark to Market'!$B$3:$B$1028,C23,'Mark to Market'!$H$3:$H$1028)</f>
        <v>59866706</v>
      </c>
      <c r="D25" s="102">
        <f>SUMIF('Mark to Market'!$B$3:$B$1028,D23,'Mark to Market'!$H$3:$H$1028)</f>
        <v>19997773.760000005</v>
      </c>
      <c r="E25" s="102">
        <f>SUMIF('Mark to Market'!$B$3:$B$1028,E23,'Mark to Market'!$H$3:$H$1028)</f>
        <v>19534662.810000002</v>
      </c>
      <c r="F25" s="102">
        <f>SUMIF('Mark to Market'!$B$3:$B$1028,F23,'Mark to Market'!$H$3:$H$1028)</f>
        <v>26967829.829999998</v>
      </c>
      <c r="G25" s="102">
        <f>SUMIF('Mark to Market'!$B$3:$B$1028,G23,'Mark to Market'!$H$3:$H$1028)</f>
        <v>531817.5</v>
      </c>
      <c r="H25" s="102">
        <f>SUMIF('Mark to Market'!$B$3:$B$1028,H23,'Mark to Market'!$H$3:$H$1028)</f>
        <v>-681.07000000000039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202364032.65999997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78843096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10802279</v>
      </c>
      <c r="N25" s="35">
        <f>F25-M25</f>
        <v>16165550.829999998</v>
      </c>
    </row>
    <row r="26" spans="1:23">
      <c r="A26" s="99" t="s">
        <v>197</v>
      </c>
      <c r="B26" s="103">
        <f t="shared" ref="B26:J26" si="0">B25/$K$25</f>
        <v>0.37292162464855283</v>
      </c>
      <c r="C26" s="103">
        <f>C25/$K$25</f>
        <v>0.29583669199054008</v>
      </c>
      <c r="D26" s="103">
        <f>D25/$K$25</f>
        <v>9.8820790913961856E-2</v>
      </c>
      <c r="E26" s="103">
        <f>E25/$K$25</f>
        <v>9.653228665798029E-2</v>
      </c>
      <c r="F26" s="103">
        <f t="shared" si="0"/>
        <v>0.13326394752821388</v>
      </c>
      <c r="G26" s="103">
        <f t="shared" si="0"/>
        <v>2.6280238291827686E-3</v>
      </c>
      <c r="H26" s="103">
        <f t="shared" si="0"/>
        <v>-3.3655684315418529E-6</v>
      </c>
      <c r="I26" s="103">
        <f t="shared" si="0"/>
        <v>0</v>
      </c>
      <c r="J26" s="103">
        <f t="shared" si="0"/>
        <v>0</v>
      </c>
      <c r="K26" s="103">
        <f>SUM(B26:J26)</f>
        <v>1.0000000000000002</v>
      </c>
      <c r="L26" s="103">
        <f>L25/$K$25</f>
        <v>0.38961022353447311</v>
      </c>
      <c r="M26" s="103">
        <f>M25/$K$25</f>
        <v>5.338042960504423E-2</v>
      </c>
      <c r="N26" s="216">
        <f>F26-M26</f>
        <v>7.9883517923169653E-2</v>
      </c>
    </row>
    <row r="27" spans="1:23">
      <c r="A27" s="99" t="s">
        <v>196</v>
      </c>
      <c r="B27" s="165">
        <f ca="1">B25/$E$9</f>
        <v>1.0475979893241814</v>
      </c>
      <c r="C27" s="165">
        <f ca="1">C25/$E$9</f>
        <v>0.83105377434113248</v>
      </c>
      <c r="D27" s="165">
        <f ca="1">D25/$E$9</f>
        <v>0.27760380472024077</v>
      </c>
      <c r="E27" s="165">
        <f t="shared" ref="E27:K27" ca="1" si="1">E25/$E$9</f>
        <v>0.27117502103309066</v>
      </c>
      <c r="F27" s="165">
        <f t="shared" ca="1" si="1"/>
        <v>0.37436027908418545</v>
      </c>
      <c r="G27" s="165">
        <f t="shared" ca="1" si="1"/>
        <v>7.3825498372278109E-3</v>
      </c>
      <c r="H27" s="165">
        <f t="shared" ca="1" si="1"/>
        <v>-9.4544335559487001E-6</v>
      </c>
      <c r="I27" s="165">
        <f t="shared" ca="1" si="1"/>
        <v>0</v>
      </c>
      <c r="J27" s="165">
        <f t="shared" ca="1" si="1"/>
        <v>0</v>
      </c>
      <c r="K27" s="165">
        <f t="shared" ca="1" si="1"/>
        <v>2.809163963906502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302728.36</v>
      </c>
      <c r="C29" s="155">
        <f ca="1">OFFSET('Daily P&amp;L breakdown'!D1,COUNT('Daily P&amp;L breakdown'!$A:$A),,,)</f>
        <v>1559659</v>
      </c>
      <c r="D29" s="155">
        <f ca="1">OFFSET('Daily P&amp;L breakdown'!C1,COUNT('Daily P&amp;L breakdown'!$A:$A),,,)</f>
        <v>-307273.86</v>
      </c>
      <c r="E29" s="155">
        <f ca="1">OFFSET('Daily P&amp;L breakdown'!E1,COUNT('Daily P&amp;L breakdown'!$A:$A),,,)</f>
        <v>-59662.26</v>
      </c>
      <c r="F29" s="155">
        <f ca="1">OFFSET('Daily P&amp;L breakdown'!F1,COUNT('Daily P&amp;L breakdown'!$A:$A),,,)</f>
        <v>7723.3000000000029</v>
      </c>
      <c r="G29" s="155">
        <f ca="1">OFFSET('Daily P&amp;L breakdown'!G1,COUNT('Daily P&amp;L breakdown'!$A:$A),,,)</f>
        <v>143587.5</v>
      </c>
      <c r="H29" s="155">
        <f ca="1">OFFSET('Daily P&amp;L breakdown'!H1,COUNT('Daily P&amp;L breakdown'!$A:$A),,,)</f>
        <v>-12188.08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1634573.96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381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2907494.5999999996</v>
      </c>
      <c r="C33" s="154">
        <f>SUMIFS('Daily P&amp;L breakdown'!D:D, 'Daily P&amp;L breakdown'!$A:$A, "&gt;=" &amp; EOMONTH($A33, -1) + 1, 'Daily P&amp;L breakdown'!$A:$A, "&lt;=" &amp; EOMONTH($A33, 0))</f>
        <v>4930636.49</v>
      </c>
      <c r="D33" s="154">
        <f>SUMIFS('Daily P&amp;L breakdown'!C:C, 'Daily P&amp;L breakdown'!$A:$A, "&gt;=" &amp; EOMONTH($A33, -1) + 1, 'Daily P&amp;L breakdown'!$A:$A, "&lt;=" &amp; EOMONTH($A33, 0))</f>
        <v>-365347.46000000008</v>
      </c>
      <c r="E33" s="154">
        <f>SUMIFS('Daily P&amp;L breakdown'!E:E, 'Daily P&amp;L breakdown'!$A:$A, "&gt;=" &amp; EOMONTH($A33, -1) + 1, 'Daily P&amp;L breakdown'!$A:$A, "&lt;=" &amp; EOMONTH($A33, 0))</f>
        <v>132894.43999999994</v>
      </c>
      <c r="F33" s="154">
        <f>SUMIFS('Daily P&amp;L breakdown'!F:F, 'Daily P&amp;L breakdown'!$A:$A, "&gt;=" &amp; EOMONTH($A33, -1) + 1, 'Daily P&amp;L breakdown'!$A:$A, "&lt;=" &amp; EOMONTH($A33, 0))</f>
        <v>1520102.88</v>
      </c>
      <c r="G33" s="154">
        <f>SUMIFS('Daily P&amp;L breakdown'!G:G, 'Daily P&amp;L breakdown'!$A:$A, "&gt;=" &amp; EOMONTH($A33, -1) + 1, 'Daily P&amp;L breakdown'!$A:$A, "&lt;=" &amp; EOMONTH($A33, 0))</f>
        <v>484990</v>
      </c>
      <c r="H33" s="154">
        <f>SUMIFS('Daily P&amp;L breakdown'!H:H, 'Daily P&amp;L breakdown'!$A:$A, "&gt;=" &amp; EOMONTH($A33, -1) + 1, 'Daily P&amp;L breakdown'!$A:$A, "&lt;=" &amp; EOMONTH($A33, 0))</f>
        <v>619096.83000000007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-2774162.0573897986</v>
      </c>
      <c r="K33" s="154">
        <f t="shared" ref="K33:K44" si="2">SUM(B33:J33)</f>
        <v>7455705.7226102008</v>
      </c>
      <c r="L33" s="154">
        <f>SUM(Email!$T$9:$T$11)-K33</f>
        <v>2243199.1887883069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382</v>
      </c>
      <c r="B45" s="164">
        <f t="shared" ref="B45:I45" si="3">SUM(B33:B44)</f>
        <v>2907494.5999999996</v>
      </c>
      <c r="C45" s="164">
        <f>SUM(C33:C44)</f>
        <v>4930636.49</v>
      </c>
      <c r="D45" s="164">
        <f>SUM(D33:D44)</f>
        <v>-365347.46000000008</v>
      </c>
      <c r="E45" s="164">
        <f t="shared" si="3"/>
        <v>132894.43999999994</v>
      </c>
      <c r="F45" s="164">
        <f t="shared" si="3"/>
        <v>1520102.88</v>
      </c>
      <c r="G45" s="164">
        <f t="shared" si="3"/>
        <v>484990</v>
      </c>
      <c r="H45" s="164">
        <f t="shared" si="3"/>
        <v>619096.83000000007</v>
      </c>
      <c r="I45" s="164">
        <f t="shared" si="3"/>
        <v>0</v>
      </c>
      <c r="J45" s="164">
        <f>SUM(J33:J44)</f>
        <v>-2774162.0573897986</v>
      </c>
      <c r="K45" s="164">
        <f>SUM(K33:K44)</f>
        <v>7455705.7226102008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4.5964321474685134E-2</v>
      </c>
      <c r="C50" s="299">
        <f>C33/'Historical NAV'!$B$1169</f>
        <v>7.7947990239147197E-2</v>
      </c>
      <c r="D50" s="299">
        <f>D33/'Historical NAV'!$B$1169</f>
        <v>-5.775745241762332E-3</v>
      </c>
      <c r="E50" s="299">
        <f>E33/'Historical NAV'!$B$1169</f>
        <v>2.1009162879814993E-3</v>
      </c>
      <c r="F50" s="299">
        <f>F33/'Historical NAV'!$B$1169</f>
        <v>2.4031170152788842E-2</v>
      </c>
      <c r="G50" s="299">
        <f>G33/'Historical NAV'!$B$1169</f>
        <v>7.6671634306758633E-3</v>
      </c>
      <c r="H50" s="299">
        <f>H33/'Historical NAV'!$B$1169</f>
        <v>9.7872462834766739E-3</v>
      </c>
      <c r="I50" s="299">
        <f>I33/'Historical NAV'!$B$1169</f>
        <v>0</v>
      </c>
      <c r="J50" s="299">
        <f>J33/'Historical NAV'!$B$1169</f>
        <v>-4.3856479261814837E-2</v>
      </c>
      <c r="K50" s="299">
        <f>K33/'Historical NAV'!$B$1169</f>
        <v>0.11786658336517804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382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28"/>
  <sheetViews>
    <sheetView tabSelected="1" zoomScale="85" zoomScaleNormal="85" workbookViewId="0">
      <pane xSplit="1" ySplit="1" topLeftCell="B1153" activePane="bottomRight" state="frozen"/>
      <selection pane="topRight" activeCell="B1" sqref="B1"/>
      <selection pane="bottomLeft" activeCell="A2" sqref="A2"/>
      <selection pane="bottomRight" activeCell="L1190" sqref="L1190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311</v>
      </c>
      <c r="I1" s="128" t="s">
        <v>310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3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>B1181-C1181-D1150</f>
        <v>-11379804.793091804</v>
      </c>
      <c r="R1181" s="70">
        <f t="shared" ref="R1181" si="884">Q1181/B1150</f>
        <v>-0.14381068332492636</v>
      </c>
      <c r="S1181" s="67">
        <f t="shared" ref="S1181" si="885">B1181-C1181-D1092</f>
        <v>8264499.6102384999</v>
      </c>
      <c r="T1181" s="70">
        <f t="shared" ref="T1181" si="886">S1181/B1090</f>
        <v>0.14094227518480226</v>
      </c>
      <c r="U1181" s="67">
        <f t="shared" ref="U1181" si="887">B1181-C1181-D817</f>
        <v>32788633.491583996</v>
      </c>
      <c r="V1181" s="70">
        <f t="shared" ref="V1181" si="888">U1181/B815</f>
        <v>0.93025132304292257</v>
      </c>
      <c r="W1181" s="87">
        <f t="shared" ref="W1181" si="889">O1181/P1181</f>
        <v>3.2999981008248405</v>
      </c>
      <c r="X1181" s="142">
        <f t="shared" si="656"/>
        <v>1.7857142857142857E-4</v>
      </c>
      <c r="Y1181" s="139">
        <f t="shared" ref="Y1181" si="890">G1181-X1181</f>
        <v>3.6607200540336492E-3</v>
      </c>
      <c r="Z1181" s="139">
        <f t="shared" ref="Z1181" si="891">IF(Y1181&lt;0,Y1181,0)</f>
        <v>0</v>
      </c>
      <c r="AA1181" s="139">
        <f t="shared" ref="AA1181" si="892">Z1181^2</f>
        <v>0</v>
      </c>
      <c r="AB1181" s="144">
        <f t="shared" ref="AB1181" si="893">AVERAGE(Y930:Y1181)/AVERAGE(AA930:AA1181)</f>
        <v>3.9775394886281554</v>
      </c>
      <c r="AC1181" s="144">
        <f t="shared" ref="AC1181" si="894">AVERAGE(G1152:G1181)-_xlfn.NORM.S.INV(0.95)*_xlfn.STDEV.S(G1152:G1181)</f>
        <v>-4.835415464248146E-2</v>
      </c>
      <c r="AD1181" s="144">
        <f t="shared" ref="AD1181" si="895">AVERAGE(G1092:G1181)-_xlfn.NORM.S.INV(0.95)*_xlfn.STDEV.S(G1092:G1181)</f>
        <v>-3.8326655355715486E-2</v>
      </c>
      <c r="AE1181" s="144">
        <f t="shared" ref="AE1181" si="896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7">B1182</f>
        <v>70414288.741659999</v>
      </c>
      <c r="E1182" s="67">
        <f t="shared" ref="E1182" si="898">IF(MONTH(A1182)=MONTH(A1181),E1181,D1181)</f>
        <v>71204832.621444106</v>
      </c>
      <c r="F1182" s="67">
        <f t="shared" ref="F1182" si="899">B1182-C1182-D1181</f>
        <v>2663638.6200760007</v>
      </c>
      <c r="G1182" s="70">
        <f t="shared" ref="G1182" si="900">F1182/B1181</f>
        <v>3.9315321923787991E-2</v>
      </c>
      <c r="H1182" s="67">
        <f t="shared" ref="H1182" si="901">IF(WEEKNUM(A1182)=WEEKNUM(A1181),H1181+F1182,F1182)</f>
        <v>2922758.2781326026</v>
      </c>
      <c r="I1182" s="70">
        <f t="shared" ref="I1182" si="902">IF(WEEKNUM(A1182)=WEEKNUM(A1181),I1181+G1182,G1182)</f>
        <v>4.3154613406393066E-2</v>
      </c>
      <c r="J1182" s="67">
        <f t="shared" ref="J1182" si="903">IF(MONTH(A1182)=MONTH(A1181),J1181+F1182,F1182)</f>
        <v>8209456.1202159002</v>
      </c>
      <c r="K1182" s="70">
        <f t="shared" ref="K1182" si="904">(1+K1181)*(1+G1182)-1</f>
        <v>0.12959815202428282</v>
      </c>
      <c r="L1182" s="70">
        <f t="shared" ref="L1182" si="905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>B1182-C1182-D1151</f>
        <v>-8780441.1845175028</v>
      </c>
      <c r="R1182" s="70">
        <f t="shared" ref="R1182" si="906">Q1182/B1151</f>
        <v>-0.11087153391017705</v>
      </c>
      <c r="S1182" s="67">
        <f t="shared" ref="S1182" si="907">B1182-C1182-D1093</f>
        <v>10833586.847287297</v>
      </c>
      <c r="T1182" s="70">
        <f t="shared" ref="T1182" si="908">S1182/B1091</f>
        <v>0.18064641606709667</v>
      </c>
      <c r="U1182" s="67">
        <f t="shared" ref="U1182" si="909">B1182-C1182-D818</f>
        <v>34994234.311659999</v>
      </c>
      <c r="V1182" s="70">
        <f t="shared" ref="V1182" si="910">U1182/B816</f>
        <v>0.96216683208370557</v>
      </c>
      <c r="W1182" s="87">
        <f t="shared" ref="W1182" si="911">O1182/P1182</f>
        <v>4.4211094208775341</v>
      </c>
      <c r="X1182" s="142">
        <f t="shared" si="656"/>
        <v>1.7857142857142857E-4</v>
      </c>
      <c r="Y1182" s="139">
        <f t="shared" ref="Y1182" si="912">G1182-X1182</f>
        <v>3.913675049521656E-2</v>
      </c>
      <c r="Z1182" s="139">
        <f t="shared" ref="Z1182" si="913">IF(Y1182&lt;0,Y1182,0)</f>
        <v>0</v>
      </c>
      <c r="AA1182" s="139">
        <f t="shared" ref="AA1182" si="914">Z1182^2</f>
        <v>0</v>
      </c>
      <c r="AB1182" s="144">
        <f t="shared" ref="AB1182" si="915">AVERAGE(Y931:Y1182)/AVERAGE(AA931:AA1182)</f>
        <v>4.3140313041110341</v>
      </c>
      <c r="AC1182" s="144">
        <f t="shared" ref="AC1182" si="916">AVERAGE(G1153:G1182)-_xlfn.NORM.S.INV(0.95)*_xlfn.STDEV.S(G1153:G1182)</f>
        <v>-4.7693003115482371E-2</v>
      </c>
      <c r="AD1182" s="144">
        <f t="shared" ref="AD1182" si="917">AVERAGE(G1093:G1182)-_xlfn.NORM.S.INV(0.95)*_xlfn.STDEV.S(G1093:G1182)</f>
        <v>-3.8209069134723356E-2</v>
      </c>
      <c r="AE1182" s="144">
        <f t="shared" ref="AE1182" si="918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19">B1183</f>
        <v>72037102.589977294</v>
      </c>
      <c r="E1183" s="67">
        <f t="shared" ref="E1183" si="920">IF(MONTH(A1183)=MONTH(A1182),E1182,D1182)</f>
        <v>71204832.621444106</v>
      </c>
      <c r="F1183" s="67">
        <f t="shared" ref="F1183" si="921">B1183-C1183-D1182</f>
        <v>1622813.8483172953</v>
      </c>
      <c r="G1183" s="70">
        <f t="shared" ref="G1183" si="922">F1183/B1182</f>
        <v>2.3046655406421392E-2</v>
      </c>
      <c r="H1183" s="67">
        <f t="shared" ref="H1183" si="923">IF(WEEKNUM(A1183)=WEEKNUM(A1182),H1182+F1183,F1183)</f>
        <v>4545572.1264498979</v>
      </c>
      <c r="I1183" s="70">
        <f t="shared" ref="I1183" si="924">IF(WEEKNUM(A1183)=WEEKNUM(A1182),I1182+G1183,G1183)</f>
        <v>6.6201268812814462E-2</v>
      </c>
      <c r="J1183" s="67">
        <f t="shared" ref="J1183" si="925">IF(MONTH(A1183)=MONTH(A1182),J1182+F1183,F1183)</f>
        <v>9832269.9685331956</v>
      </c>
      <c r="K1183" s="70">
        <f t="shared" ref="K1183" si="926">(1+K1182)*(1+G1183)-1</f>
        <v>0.15563161138171688</v>
      </c>
      <c r="L1183" s="70">
        <f t="shared" ref="L1183" si="927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>B1183-C1183-D1152</f>
        <v>-5896068.0830826014</v>
      </c>
      <c r="R1183" s="70">
        <f t="shared" ref="R1183" si="928">Q1183/B1152</f>
        <v>-7.5655436987382405E-2</v>
      </c>
      <c r="S1183" s="67">
        <f t="shared" ref="S1183" si="929">B1183-C1183-D1094</f>
        <v>13740332.238080896</v>
      </c>
      <c r="T1183" s="70">
        <f t="shared" ref="T1183" si="930">S1183/B1092</f>
        <v>0.23098371839442311</v>
      </c>
      <c r="U1183" s="67">
        <f t="shared" ref="U1183" si="931">B1183-C1183-D819</f>
        <v>36215157.449977294</v>
      </c>
      <c r="V1183" s="70">
        <f t="shared" ref="V1183" si="932">U1183/B817</f>
        <v>1.0358429215694041</v>
      </c>
      <c r="W1183" s="87">
        <f t="shared" ref="W1183" si="933">O1183/P1183</f>
        <v>5.0130265025634797</v>
      </c>
      <c r="X1183" s="142">
        <f t="shared" si="656"/>
        <v>1.7857142857142857E-4</v>
      </c>
      <c r="Y1183" s="139">
        <f t="shared" ref="Y1183" si="934">G1183-X1183</f>
        <v>2.2868083977849965E-2</v>
      </c>
      <c r="Z1183" s="139">
        <f t="shared" ref="Z1183" si="935">IF(Y1183&lt;0,Y1183,0)</f>
        <v>0</v>
      </c>
      <c r="AA1183" s="139">
        <f t="shared" ref="AA1183" si="936">Z1183^2</f>
        <v>0</v>
      </c>
      <c r="AB1183" s="144">
        <f t="shared" ref="AB1183" si="937">AVERAGE(Y932:Y1183)/AVERAGE(AA932:AA1183)</f>
        <v>4.75510054480175</v>
      </c>
      <c r="AC1183" s="144">
        <f t="shared" ref="AC1183" si="938">AVERAGE(G1154:G1183)-_xlfn.NORM.S.INV(0.95)*_xlfn.STDEV.S(G1154:G1183)</f>
        <v>-4.6134725804138896E-2</v>
      </c>
      <c r="AD1183" s="144">
        <f t="shared" ref="AD1183" si="939">AVERAGE(G1094:G1183)-_xlfn.NORM.S.INV(0.95)*_xlfn.STDEV.S(G1094:G1183)</f>
        <v>-3.809786535032348E-2</v>
      </c>
      <c r="AE1183" s="144">
        <f t="shared" ref="AE1183" si="940">AVERAGE(G819:G1183)-_xlfn.NORM.S.INV(0.95)*_xlfn.STDEV.S(G819:G1183)</f>
        <v>-4.8069621773497037E-2</v>
      </c>
    </row>
    <row r="1184" spans="1:31">
      <c r="A1184" s="88"/>
      <c r="B1184" s="78"/>
      <c r="D1184" s="67"/>
      <c r="E1184" s="67"/>
      <c r="F1184" s="67"/>
      <c r="G1184" s="70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1:31">
      <c r="A1185" s="88"/>
      <c r="B1185" s="78"/>
      <c r="D1185" s="67"/>
      <c r="E1185" s="67"/>
      <c r="F1185" s="67"/>
      <c r="G1185" s="70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A1186" s="88"/>
      <c r="B1186" s="78"/>
      <c r="D1186" s="67"/>
      <c r="E1186" s="67"/>
      <c r="F1186" s="67"/>
      <c r="G1186" s="70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138" activePane="bottomLeft" state="frozen"/>
      <selection activeCell="B1099" sqref="B1099"/>
      <selection pane="bottomLeft" activeCell="C41" sqref="C41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190000</v>
      </c>
      <c r="E3" s="153">
        <v>23.25</v>
      </c>
      <c r="F3" s="153">
        <v>4417500</v>
      </c>
      <c r="G3" s="153">
        <v>7.7887685956850223</v>
      </c>
      <c r="H3" s="153">
        <v>567162.81999999995</v>
      </c>
      <c r="I3" s="218">
        <v>0.28000000000000003</v>
      </c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25500</v>
      </c>
      <c r="E4" s="153">
        <v>276.60000000000002</v>
      </c>
      <c r="F4" s="153">
        <v>7053300.0000000009</v>
      </c>
      <c r="G4" s="153">
        <v>7.7887685956850223</v>
      </c>
      <c r="H4" s="153">
        <v>905573.19</v>
      </c>
      <c r="I4" s="218">
        <v>0.45</v>
      </c>
      <c r="J4"/>
      <c r="K4"/>
    </row>
    <row r="5" spans="1:11">
      <c r="A5" s="221" t="s">
        <v>413</v>
      </c>
      <c r="B5" s="153" t="s">
        <v>140</v>
      </c>
      <c r="C5" s="153" t="s">
        <v>33</v>
      </c>
      <c r="D5" s="153">
        <v>-10</v>
      </c>
      <c r="E5" s="153">
        <v>1.92</v>
      </c>
      <c r="F5" s="153">
        <v>-19.2</v>
      </c>
      <c r="G5" s="153">
        <v>7.7887685956850223</v>
      </c>
      <c r="H5" s="153">
        <v>-2.4700000000000002</v>
      </c>
      <c r="I5" s="218">
        <v>0</v>
      </c>
      <c r="J5"/>
      <c r="K5"/>
    </row>
    <row r="6" spans="1:11">
      <c r="A6" s="221" t="s">
        <v>414</v>
      </c>
      <c r="B6" s="153" t="s">
        <v>140</v>
      </c>
      <c r="C6" s="153" t="s">
        <v>33</v>
      </c>
      <c r="D6" s="153">
        <v>-10</v>
      </c>
      <c r="E6" s="153">
        <v>0.09</v>
      </c>
      <c r="F6" s="153">
        <v>-0.89999999999999991</v>
      </c>
      <c r="G6" s="153">
        <v>7.7887685956850223</v>
      </c>
      <c r="H6" s="153">
        <v>-0.12</v>
      </c>
      <c r="I6" s="218">
        <v>0</v>
      </c>
      <c r="J6"/>
      <c r="K6"/>
    </row>
    <row r="7" spans="1:11">
      <c r="A7" s="221">
        <v>1288</v>
      </c>
      <c r="B7" s="153" t="s">
        <v>138</v>
      </c>
      <c r="C7" s="153" t="s">
        <v>33</v>
      </c>
      <c r="D7" s="153">
        <v>2625000</v>
      </c>
      <c r="E7" s="153">
        <v>4.1500000000000004</v>
      </c>
      <c r="F7" s="153">
        <v>10893750</v>
      </c>
      <c r="G7" s="153">
        <v>7.7887685956850223</v>
      </c>
      <c r="H7" s="153">
        <v>1398648.56</v>
      </c>
      <c r="I7" s="218">
        <v>0.69</v>
      </c>
      <c r="J7"/>
      <c r="K7"/>
    </row>
    <row r="8" spans="1:11">
      <c r="A8" s="221">
        <v>1810</v>
      </c>
      <c r="B8" s="153" t="s">
        <v>138</v>
      </c>
      <c r="C8" s="153" t="s">
        <v>33</v>
      </c>
      <c r="D8" s="153">
        <v>150000</v>
      </c>
      <c r="E8" s="153">
        <v>35.299999999999997</v>
      </c>
      <c r="F8" s="153">
        <v>5295000</v>
      </c>
      <c r="G8" s="153">
        <v>7.7887685956850223</v>
      </c>
      <c r="H8" s="153">
        <v>679825.05</v>
      </c>
      <c r="I8" s="218">
        <v>0.34</v>
      </c>
      <c r="J8"/>
      <c r="K8"/>
    </row>
    <row r="9" spans="1:11">
      <c r="A9" s="221" t="s">
        <v>439</v>
      </c>
      <c r="B9" s="153" t="s">
        <v>140</v>
      </c>
      <c r="C9" s="153" t="s">
        <v>33</v>
      </c>
      <c r="D9" s="153">
        <v>-10</v>
      </c>
      <c r="E9" s="153">
        <v>0.48</v>
      </c>
      <c r="F9" s="153">
        <v>-4.8</v>
      </c>
      <c r="G9" s="153">
        <v>7.7887685956850223</v>
      </c>
      <c r="H9" s="153">
        <v>-0.62</v>
      </c>
      <c r="I9" s="218">
        <v>0</v>
      </c>
      <c r="J9"/>
      <c r="K9"/>
    </row>
    <row r="10" spans="1:11">
      <c r="A10" s="221">
        <v>2020</v>
      </c>
      <c r="B10" s="153" t="s">
        <v>138</v>
      </c>
      <c r="C10" s="153" t="s">
        <v>33</v>
      </c>
      <c r="D10" s="153">
        <v>5000</v>
      </c>
      <c r="E10" s="153">
        <v>80.8</v>
      </c>
      <c r="F10" s="153">
        <v>404000</v>
      </c>
      <c r="G10" s="153">
        <v>7.7887685956850223</v>
      </c>
      <c r="H10" s="153">
        <v>51869.56</v>
      </c>
      <c r="I10" s="218">
        <v>0.03</v>
      </c>
      <c r="J10"/>
      <c r="K10"/>
    </row>
    <row r="11" spans="1:11">
      <c r="A11" s="221" t="s">
        <v>415</v>
      </c>
      <c r="B11" s="153" t="s">
        <v>140</v>
      </c>
      <c r="C11" s="153" t="s">
        <v>33</v>
      </c>
      <c r="D11" s="153">
        <v>-10</v>
      </c>
      <c r="E11" s="153">
        <v>0.36</v>
      </c>
      <c r="F11" s="153">
        <v>-3.6</v>
      </c>
      <c r="G11" s="153">
        <v>7.7887685956850223</v>
      </c>
      <c r="H11" s="153">
        <v>-0.46</v>
      </c>
      <c r="I11" s="218">
        <v>0</v>
      </c>
      <c r="J11"/>
      <c r="K11"/>
    </row>
    <row r="12" spans="1:11">
      <c r="A12" s="221">
        <v>2318</v>
      </c>
      <c r="B12" s="153" t="s">
        <v>138</v>
      </c>
      <c r="C12" s="153" t="s">
        <v>33</v>
      </c>
      <c r="D12" s="153">
        <v>125000</v>
      </c>
      <c r="E12" s="153">
        <v>41.95</v>
      </c>
      <c r="F12" s="153">
        <v>5243750</v>
      </c>
      <c r="G12" s="153">
        <v>7.7887685956850223</v>
      </c>
      <c r="H12" s="153">
        <v>673245.06</v>
      </c>
      <c r="I12" s="218">
        <v>0.33</v>
      </c>
      <c r="J12"/>
      <c r="K12"/>
    </row>
    <row r="13" spans="1:11">
      <c r="A13" s="221">
        <v>2359</v>
      </c>
      <c r="B13" s="153" t="s">
        <v>138</v>
      </c>
      <c r="C13" s="153" t="s">
        <v>33</v>
      </c>
      <c r="D13" s="153">
        <v>20000</v>
      </c>
      <c r="E13" s="153">
        <v>55.05</v>
      </c>
      <c r="F13" s="153">
        <v>1101000</v>
      </c>
      <c r="G13" s="153">
        <v>7.7887685956850223</v>
      </c>
      <c r="H13" s="153">
        <v>141357.39000000001</v>
      </c>
      <c r="I13" s="218">
        <v>6.9999999999999993E-2</v>
      </c>
      <c r="J13"/>
      <c r="K13"/>
    </row>
    <row r="14" spans="1:11">
      <c r="A14" s="221">
        <v>2828</v>
      </c>
      <c r="B14" s="153" t="s">
        <v>138</v>
      </c>
      <c r="C14" s="153" t="s">
        <v>33</v>
      </c>
      <c r="D14" s="153">
        <v>435000</v>
      </c>
      <c r="E14" s="153">
        <v>73.44</v>
      </c>
      <c r="F14" s="153">
        <v>31946400</v>
      </c>
      <c r="G14" s="153">
        <v>7.7887685956850223</v>
      </c>
      <c r="H14" s="153">
        <v>4101598.3</v>
      </c>
      <c r="I14" s="218">
        <v>2.0299999999999998</v>
      </c>
      <c r="J14"/>
      <c r="K14"/>
    </row>
    <row r="15" spans="1:11">
      <c r="A15" s="221" t="s">
        <v>416</v>
      </c>
      <c r="B15" s="153" t="s">
        <v>140</v>
      </c>
      <c r="C15" s="153" t="s">
        <v>33</v>
      </c>
      <c r="D15" s="153">
        <v>-50</v>
      </c>
      <c r="E15" s="153">
        <v>0.41</v>
      </c>
      <c r="F15" s="153">
        <v>-20.5</v>
      </c>
      <c r="G15" s="153">
        <v>7.7887685956850223</v>
      </c>
      <c r="H15" s="153">
        <v>-2.63</v>
      </c>
      <c r="I15" s="218">
        <v>0</v>
      </c>
      <c r="J15"/>
      <c r="K15"/>
    </row>
    <row r="16" spans="1:11">
      <c r="A16" s="221">
        <v>3067</v>
      </c>
      <c r="B16" s="153" t="s">
        <v>138</v>
      </c>
      <c r="C16" s="153" t="s">
        <v>33</v>
      </c>
      <c r="D16" s="153">
        <v>600000</v>
      </c>
      <c r="E16" s="153">
        <v>9.58</v>
      </c>
      <c r="F16" s="153">
        <v>5748000</v>
      </c>
      <c r="G16" s="153">
        <v>7.7887685956850223</v>
      </c>
      <c r="H16" s="153">
        <v>737985.72</v>
      </c>
      <c r="I16" s="218">
        <v>0.36</v>
      </c>
      <c r="J16"/>
      <c r="K16"/>
    </row>
    <row r="17" spans="1:11">
      <c r="A17" s="221">
        <v>3690</v>
      </c>
      <c r="B17" s="153" t="s">
        <v>138</v>
      </c>
      <c r="C17" s="153" t="s">
        <v>33</v>
      </c>
      <c r="D17" s="153">
        <v>12500</v>
      </c>
      <c r="E17" s="153">
        <v>152.5</v>
      </c>
      <c r="F17" s="153">
        <v>1906250</v>
      </c>
      <c r="G17" s="153">
        <v>7.7887685956850223</v>
      </c>
      <c r="H17" s="153">
        <v>244743.44</v>
      </c>
      <c r="I17" s="218">
        <v>0.12</v>
      </c>
      <c r="J17"/>
      <c r="K17"/>
    </row>
    <row r="18" spans="1:11">
      <c r="A18" s="221" t="s">
        <v>290</v>
      </c>
      <c r="B18" s="153" t="s">
        <v>138</v>
      </c>
      <c r="C18" s="153" t="s">
        <v>34</v>
      </c>
      <c r="D18" s="153">
        <v>10000</v>
      </c>
      <c r="E18" s="153">
        <v>1537</v>
      </c>
      <c r="F18" s="153">
        <v>15370000</v>
      </c>
      <c r="G18" s="153">
        <v>156.51901706057291</v>
      </c>
      <c r="H18" s="153">
        <v>98198.93</v>
      </c>
      <c r="I18" s="218">
        <v>0.05</v>
      </c>
      <c r="J18"/>
      <c r="K18"/>
    </row>
    <row r="19" spans="1:11">
      <c r="A19" s="221">
        <v>6181</v>
      </c>
      <c r="B19" s="153" t="s">
        <v>138</v>
      </c>
      <c r="C19" s="153" t="s">
        <v>33</v>
      </c>
      <c r="D19" s="153">
        <v>2000</v>
      </c>
      <c r="E19" s="153">
        <v>348.2</v>
      </c>
      <c r="F19" s="153">
        <v>696400</v>
      </c>
      <c r="G19" s="153">
        <v>7.7887685956850223</v>
      </c>
      <c r="H19" s="153">
        <v>89410.8</v>
      </c>
      <c r="I19" s="218">
        <v>0.04</v>
      </c>
      <c r="J19"/>
      <c r="K19"/>
    </row>
    <row r="20" spans="1:11">
      <c r="A20" s="221" t="s">
        <v>287</v>
      </c>
      <c r="B20" s="153" t="s">
        <v>138</v>
      </c>
      <c r="C20" s="153" t="s">
        <v>34</v>
      </c>
      <c r="D20" s="153">
        <v>15000</v>
      </c>
      <c r="E20" s="153">
        <v>3929</v>
      </c>
      <c r="F20" s="153">
        <v>58935000</v>
      </c>
      <c r="G20" s="153">
        <v>156.51901706057291</v>
      </c>
      <c r="H20" s="153">
        <v>376535.72</v>
      </c>
      <c r="I20" s="218">
        <v>0.19</v>
      </c>
      <c r="J20"/>
      <c r="K20"/>
    </row>
    <row r="21" spans="1:11">
      <c r="A21" s="221">
        <v>688</v>
      </c>
      <c r="B21" s="153" t="s">
        <v>138</v>
      </c>
      <c r="C21" s="153" t="s">
        <v>33</v>
      </c>
      <c r="D21" s="153">
        <v>240000</v>
      </c>
      <c r="E21" s="153">
        <v>12.28</v>
      </c>
      <c r="F21" s="153">
        <v>2947200</v>
      </c>
      <c r="G21" s="153">
        <v>7.7887685956850223</v>
      </c>
      <c r="H21" s="153">
        <v>378391.01</v>
      </c>
      <c r="I21" s="218">
        <v>0.19</v>
      </c>
      <c r="J21"/>
      <c r="K21"/>
    </row>
    <row r="22" spans="1:11">
      <c r="A22" s="221">
        <v>700</v>
      </c>
      <c r="B22" s="153" t="s">
        <v>138</v>
      </c>
      <c r="C22" s="153" t="s">
        <v>33</v>
      </c>
      <c r="D22" s="153">
        <v>41500</v>
      </c>
      <c r="E22" s="153">
        <v>383.4</v>
      </c>
      <c r="F22" s="153">
        <v>15911100</v>
      </c>
      <c r="G22" s="153">
        <v>7.7887685956850223</v>
      </c>
      <c r="H22" s="153">
        <v>2042826.13</v>
      </c>
      <c r="I22" s="218">
        <v>1.01</v>
      </c>
      <c r="J22"/>
      <c r="K22"/>
    </row>
    <row r="23" spans="1:11">
      <c r="A23" s="221" t="s">
        <v>440</v>
      </c>
      <c r="B23" s="153" t="s">
        <v>140</v>
      </c>
      <c r="C23" s="153" t="s">
        <v>33</v>
      </c>
      <c r="D23" s="153">
        <v>-15</v>
      </c>
      <c r="E23" s="153">
        <v>6.5</v>
      </c>
      <c r="F23" s="153">
        <v>-97.5</v>
      </c>
      <c r="G23" s="153">
        <v>7.7887685956850223</v>
      </c>
      <c r="H23" s="153">
        <v>-12.52</v>
      </c>
      <c r="I23" s="218">
        <v>0</v>
      </c>
      <c r="J23"/>
      <c r="K23"/>
    </row>
    <row r="24" spans="1:11">
      <c r="A24" s="221" t="s">
        <v>386</v>
      </c>
      <c r="B24" s="153" t="s">
        <v>140</v>
      </c>
      <c r="C24" s="153" t="s">
        <v>33</v>
      </c>
      <c r="D24" s="153">
        <v>-15</v>
      </c>
      <c r="E24" s="153">
        <v>1.85</v>
      </c>
      <c r="F24" s="153">
        <v>-27.75</v>
      </c>
      <c r="G24" s="153">
        <v>7.7887685956850223</v>
      </c>
      <c r="H24" s="153">
        <v>-3.56</v>
      </c>
      <c r="I24" s="218">
        <v>0</v>
      </c>
      <c r="J24"/>
      <c r="K24"/>
    </row>
    <row r="25" spans="1:11">
      <c r="A25" s="221" t="s">
        <v>387</v>
      </c>
      <c r="B25" s="153" t="s">
        <v>140</v>
      </c>
      <c r="C25" s="153" t="s">
        <v>38</v>
      </c>
      <c r="D25" s="153">
        <v>-15</v>
      </c>
      <c r="E25" s="153">
        <v>3.42</v>
      </c>
      <c r="F25" s="153">
        <v>-51.3</v>
      </c>
      <c r="G25" s="153">
        <v>1</v>
      </c>
      <c r="H25" s="153">
        <v>-51.3</v>
      </c>
      <c r="I25" s="218">
        <v>0</v>
      </c>
      <c r="J25"/>
      <c r="K25"/>
    </row>
    <row r="26" spans="1:11">
      <c r="A26" s="221">
        <v>883</v>
      </c>
      <c r="B26" s="153" t="s">
        <v>138</v>
      </c>
      <c r="C26" s="153" t="s">
        <v>33</v>
      </c>
      <c r="D26" s="153">
        <v>500000</v>
      </c>
      <c r="E26" s="153">
        <v>18.739999999999998</v>
      </c>
      <c r="F26" s="153">
        <v>9370000</v>
      </c>
      <c r="G26" s="153">
        <v>7.7887685956850223</v>
      </c>
      <c r="H26" s="153">
        <v>1203014.3</v>
      </c>
      <c r="I26" s="218">
        <v>0.59</v>
      </c>
      <c r="J26"/>
      <c r="K26" s="153"/>
    </row>
    <row r="27" spans="1:11">
      <c r="A27" s="221">
        <v>941</v>
      </c>
      <c r="B27" s="153" t="s">
        <v>138</v>
      </c>
      <c r="C27" s="153" t="s">
        <v>33</v>
      </c>
      <c r="D27" s="153">
        <v>125000</v>
      </c>
      <c r="E27" s="153">
        <v>75</v>
      </c>
      <c r="F27" s="153">
        <v>9375000</v>
      </c>
      <c r="G27" s="153">
        <v>7.7887685956850223</v>
      </c>
      <c r="H27" s="153">
        <v>1203656.25</v>
      </c>
      <c r="I27" s="218">
        <v>0.59</v>
      </c>
      <c r="J27"/>
      <c r="K27"/>
    </row>
    <row r="28" spans="1:11">
      <c r="A28" s="221" t="s">
        <v>395</v>
      </c>
      <c r="B28" s="153" t="s">
        <v>140</v>
      </c>
      <c r="C28" s="153" t="s">
        <v>33</v>
      </c>
      <c r="D28" s="153">
        <v>-50</v>
      </c>
      <c r="E28" s="153">
        <v>0.52</v>
      </c>
      <c r="F28" s="153">
        <v>-26</v>
      </c>
      <c r="G28" s="153">
        <v>7.7887685956850223</v>
      </c>
      <c r="H28" s="153">
        <v>-3.34</v>
      </c>
      <c r="I28" s="218">
        <v>0</v>
      </c>
      <c r="J28"/>
      <c r="K28"/>
    </row>
    <row r="29" spans="1:11">
      <c r="A29" s="221">
        <v>9618</v>
      </c>
      <c r="B29" s="153" t="s">
        <v>138</v>
      </c>
      <c r="C29" s="153" t="s">
        <v>33</v>
      </c>
      <c r="D29" s="153">
        <v>12500</v>
      </c>
      <c r="E29" s="153">
        <v>151.6</v>
      </c>
      <c r="F29" s="153">
        <v>1895000</v>
      </c>
      <c r="G29" s="153">
        <v>7.7887685956850223</v>
      </c>
      <c r="H29" s="153">
        <v>243299.05</v>
      </c>
      <c r="I29" s="218">
        <v>0.12</v>
      </c>
      <c r="J29"/>
      <c r="K29"/>
    </row>
    <row r="30" spans="1:11">
      <c r="A30" s="221" t="s">
        <v>418</v>
      </c>
      <c r="B30" s="153" t="s">
        <v>140</v>
      </c>
      <c r="C30" s="153" t="s">
        <v>33</v>
      </c>
      <c r="D30" s="153">
        <v>-10</v>
      </c>
      <c r="E30" s="153">
        <v>0.46</v>
      </c>
      <c r="F30" s="153">
        <v>-4.6000000000000014</v>
      </c>
      <c r="G30" s="153">
        <v>7.7887685956850223</v>
      </c>
      <c r="H30" s="153">
        <v>-0.59</v>
      </c>
      <c r="I30" s="218">
        <v>0</v>
      </c>
      <c r="J30"/>
      <c r="K30"/>
    </row>
    <row r="31" spans="1:11">
      <c r="A31" s="221">
        <v>992</v>
      </c>
      <c r="B31" s="153" t="s">
        <v>138</v>
      </c>
      <c r="C31" s="153" t="s">
        <v>33</v>
      </c>
      <c r="D31" s="153">
        <v>50000</v>
      </c>
      <c r="E31" s="153">
        <v>9.15</v>
      </c>
      <c r="F31" s="153">
        <v>457500</v>
      </c>
      <c r="G31" s="153">
        <v>7.7887685956850223</v>
      </c>
      <c r="H31" s="153">
        <v>58738.42</v>
      </c>
      <c r="I31" s="218">
        <v>0.03</v>
      </c>
      <c r="J31"/>
      <c r="K31"/>
    </row>
    <row r="32" spans="1:11">
      <c r="A32" s="221">
        <v>9961</v>
      </c>
      <c r="B32" s="153" t="s">
        <v>138</v>
      </c>
      <c r="C32" s="153" t="s">
        <v>33</v>
      </c>
      <c r="D32" s="153">
        <v>9500</v>
      </c>
      <c r="E32" s="153">
        <v>523</v>
      </c>
      <c r="F32" s="153">
        <v>4968500</v>
      </c>
      <c r="G32" s="153">
        <v>7.7887685956850223</v>
      </c>
      <c r="H32" s="153">
        <v>637905.72</v>
      </c>
      <c r="I32" s="218">
        <v>0.32</v>
      </c>
      <c r="J32"/>
      <c r="K32"/>
    </row>
    <row r="33" spans="1:11">
      <c r="A33" s="221">
        <v>9988</v>
      </c>
      <c r="B33" s="153" t="s">
        <v>138</v>
      </c>
      <c r="C33" s="153" t="s">
        <v>33</v>
      </c>
      <c r="D33" s="153">
        <v>30000</v>
      </c>
      <c r="E33" s="153">
        <v>82.2</v>
      </c>
      <c r="F33" s="153">
        <v>2466000</v>
      </c>
      <c r="G33" s="153">
        <v>7.7887685956850223</v>
      </c>
      <c r="H33" s="153">
        <v>316609.74</v>
      </c>
      <c r="I33" s="218">
        <v>0.16</v>
      </c>
      <c r="J33"/>
      <c r="K33"/>
    </row>
    <row r="34" spans="1:11">
      <c r="A34" s="221" t="s">
        <v>417</v>
      </c>
      <c r="B34" s="153" t="s">
        <v>140</v>
      </c>
      <c r="C34" s="153" t="s">
        <v>33</v>
      </c>
      <c r="D34" s="153">
        <v>-20</v>
      </c>
      <c r="E34" s="153">
        <v>0.01</v>
      </c>
      <c r="F34" s="153">
        <v>-0.2</v>
      </c>
      <c r="G34" s="153">
        <v>7.7887685956850223</v>
      </c>
      <c r="H34" s="153">
        <v>-0.03</v>
      </c>
      <c r="I34" s="218">
        <v>0</v>
      </c>
      <c r="J34"/>
      <c r="K34"/>
    </row>
    <row r="35" spans="1:11">
      <c r="A35" s="221" t="s">
        <v>292</v>
      </c>
      <c r="B35" s="153" t="s">
        <v>138</v>
      </c>
      <c r="C35" s="153" t="s">
        <v>37</v>
      </c>
      <c r="D35" s="153">
        <v>400000</v>
      </c>
      <c r="E35" s="153">
        <v>2.4500000000000002</v>
      </c>
      <c r="F35" s="153">
        <v>980000.00000000012</v>
      </c>
      <c r="G35" s="153">
        <v>1.3553808620222281</v>
      </c>
      <c r="H35" s="153">
        <v>723044</v>
      </c>
      <c r="I35" s="218">
        <v>0.36</v>
      </c>
      <c r="J35"/>
      <c r="K35"/>
    </row>
    <row r="36" spans="1:11">
      <c r="A36" s="221" t="s">
        <v>82</v>
      </c>
      <c r="B36" s="153" t="s">
        <v>23</v>
      </c>
      <c r="C36" s="153" t="s">
        <v>38</v>
      </c>
      <c r="D36" s="153">
        <v>2000</v>
      </c>
      <c r="E36" s="153">
        <v>223.83</v>
      </c>
      <c r="F36" s="153">
        <v>447660</v>
      </c>
      <c r="G36" s="153">
        <v>1</v>
      </c>
      <c r="H36" s="153">
        <v>447660</v>
      </c>
      <c r="I36" s="218">
        <v>0.22</v>
      </c>
      <c r="J36"/>
      <c r="K36"/>
    </row>
    <row r="37" spans="1:11">
      <c r="A37" s="221" t="s">
        <v>441</v>
      </c>
      <c r="B37" s="153" t="s">
        <v>140</v>
      </c>
      <c r="C37" s="153" t="s">
        <v>38</v>
      </c>
      <c r="D37" s="153">
        <v>-10</v>
      </c>
      <c r="E37" s="153">
        <v>1.91</v>
      </c>
      <c r="F37" s="153">
        <v>-19.100000000000001</v>
      </c>
      <c r="G37" s="153">
        <v>1</v>
      </c>
      <c r="H37" s="153">
        <v>-19.100000000000001</v>
      </c>
      <c r="I37" s="218">
        <v>0</v>
      </c>
      <c r="J37"/>
      <c r="K37"/>
    </row>
    <row r="38" spans="1:11">
      <c r="A38" s="221" t="s">
        <v>364</v>
      </c>
      <c r="B38" s="153" t="s">
        <v>23</v>
      </c>
      <c r="C38" s="153" t="s">
        <v>38</v>
      </c>
      <c r="D38" s="153">
        <v>2000</v>
      </c>
      <c r="E38" s="153">
        <v>235.01</v>
      </c>
      <c r="F38" s="153">
        <v>470020</v>
      </c>
      <c r="G38" s="153">
        <v>1</v>
      </c>
      <c r="H38" s="153">
        <v>470020</v>
      </c>
      <c r="I38" s="218">
        <v>0.23</v>
      </c>
      <c r="J38"/>
      <c r="K38"/>
    </row>
    <row r="39" spans="1:11">
      <c r="A39" s="221" t="s">
        <v>442</v>
      </c>
      <c r="B39" s="153" t="s">
        <v>140</v>
      </c>
      <c r="C39" s="153" t="s">
        <v>38</v>
      </c>
      <c r="D39" s="153">
        <v>-10</v>
      </c>
      <c r="E39" s="153">
        <v>1.77</v>
      </c>
      <c r="F39" s="153">
        <v>-17.7</v>
      </c>
      <c r="G39" s="153">
        <v>1</v>
      </c>
      <c r="H39" s="308">
        <v>-17.7</v>
      </c>
      <c r="I39" s="218">
        <v>0</v>
      </c>
      <c r="J39"/>
      <c r="K39"/>
    </row>
    <row r="40" spans="1:11">
      <c r="A40" s="221" t="s">
        <v>299</v>
      </c>
      <c r="B40" s="153" t="s">
        <v>23</v>
      </c>
      <c r="C40" s="153" t="s">
        <v>38</v>
      </c>
      <c r="D40" s="153">
        <v>500</v>
      </c>
      <c r="E40" s="153">
        <v>128.57</v>
      </c>
      <c r="F40" s="153">
        <v>64285</v>
      </c>
      <c r="G40" s="153">
        <v>1</v>
      </c>
      <c r="H40" s="153">
        <v>64285</v>
      </c>
      <c r="I40" s="218">
        <v>0.03</v>
      </c>
      <c r="J40"/>
      <c r="K40"/>
    </row>
    <row r="41" spans="1:11">
      <c r="A41" s="221" t="s">
        <v>419</v>
      </c>
      <c r="B41" s="153" t="s">
        <v>140</v>
      </c>
      <c r="C41" s="153" t="s">
        <v>38</v>
      </c>
      <c r="D41" s="153">
        <v>-5</v>
      </c>
      <c r="E41" s="153">
        <v>1.23</v>
      </c>
      <c r="F41" s="153">
        <v>-6.15</v>
      </c>
      <c r="G41" s="153">
        <v>1</v>
      </c>
      <c r="H41" s="153">
        <v>-6.15</v>
      </c>
      <c r="I41" s="218">
        <v>0</v>
      </c>
      <c r="J41"/>
      <c r="K41"/>
    </row>
    <row r="42" spans="1:11">
      <c r="A42" s="221" t="s">
        <v>379</v>
      </c>
      <c r="B42" s="153" t="s">
        <v>23</v>
      </c>
      <c r="C42" s="153" t="s">
        <v>38</v>
      </c>
      <c r="D42" s="153">
        <v>500</v>
      </c>
      <c r="E42" s="153">
        <v>766.71</v>
      </c>
      <c r="F42" s="153">
        <v>383355</v>
      </c>
      <c r="G42" s="153">
        <v>1</v>
      </c>
      <c r="H42" s="308">
        <v>383355</v>
      </c>
      <c r="I42" s="218">
        <v>0.19</v>
      </c>
      <c r="J42"/>
      <c r="K42"/>
    </row>
    <row r="43" spans="1:11">
      <c r="A43" s="221" t="s">
        <v>420</v>
      </c>
      <c r="B43" s="153" t="s">
        <v>140</v>
      </c>
      <c r="C43" s="153" t="s">
        <v>38</v>
      </c>
      <c r="D43" s="153">
        <v>-5</v>
      </c>
      <c r="E43" s="153">
        <v>1.68</v>
      </c>
      <c r="F43" s="153">
        <v>-8.4</v>
      </c>
      <c r="G43" s="153">
        <v>1</v>
      </c>
      <c r="H43" s="153">
        <v>-8.4</v>
      </c>
      <c r="I43" s="218">
        <v>0</v>
      </c>
      <c r="J43" s="153"/>
      <c r="K43"/>
    </row>
    <row r="44" spans="1:11">
      <c r="A44" s="221" t="s">
        <v>305</v>
      </c>
      <c r="B44" s="153" t="s">
        <v>138</v>
      </c>
      <c r="C44" s="153" t="s">
        <v>38</v>
      </c>
      <c r="D44" s="153">
        <v>2500</v>
      </c>
      <c r="E44" s="153">
        <v>16.309999999999999</v>
      </c>
      <c r="F44" s="153">
        <v>40775</v>
      </c>
      <c r="G44" s="153">
        <v>1</v>
      </c>
      <c r="H44" s="308">
        <v>40775</v>
      </c>
      <c r="I44" s="218">
        <v>0.02</v>
      </c>
      <c r="J44"/>
      <c r="K44"/>
    </row>
    <row r="45" spans="1:11">
      <c r="A45" s="221" t="s">
        <v>294</v>
      </c>
      <c r="B45" s="153" t="s">
        <v>23</v>
      </c>
      <c r="C45" s="153" t="s">
        <v>38</v>
      </c>
      <c r="D45" s="153">
        <v>2000</v>
      </c>
      <c r="E45" s="153">
        <v>460.51</v>
      </c>
      <c r="F45" s="153">
        <v>921020</v>
      </c>
      <c r="G45" s="153">
        <v>1</v>
      </c>
      <c r="H45" s="153">
        <v>921020</v>
      </c>
      <c r="I45" s="218">
        <v>0.46</v>
      </c>
      <c r="J45"/>
      <c r="K45"/>
    </row>
    <row r="46" spans="1:11">
      <c r="A46" s="221" t="s">
        <v>298</v>
      </c>
      <c r="B46" s="153" t="s">
        <v>23</v>
      </c>
      <c r="C46" s="153" t="s">
        <v>38</v>
      </c>
      <c r="D46" s="153">
        <v>2000</v>
      </c>
      <c r="E46" s="153">
        <v>182.77</v>
      </c>
      <c r="F46" s="153">
        <v>365540</v>
      </c>
      <c r="G46" s="153">
        <v>1</v>
      </c>
      <c r="H46" s="153">
        <v>365540</v>
      </c>
      <c r="I46" s="218">
        <v>0.18</v>
      </c>
      <c r="J46"/>
      <c r="K46"/>
    </row>
    <row r="47" spans="1:11">
      <c r="A47" s="221" t="s">
        <v>383</v>
      </c>
      <c r="B47" s="153" t="s">
        <v>23</v>
      </c>
      <c r="C47" s="153" t="s">
        <v>38</v>
      </c>
      <c r="D47" s="153">
        <v>800</v>
      </c>
      <c r="E47" s="153">
        <v>397.61</v>
      </c>
      <c r="F47" s="153">
        <v>318088</v>
      </c>
      <c r="G47" s="153">
        <v>1</v>
      </c>
      <c r="H47" s="153">
        <v>318088</v>
      </c>
      <c r="I47" s="218">
        <v>0.16</v>
      </c>
      <c r="J47"/>
      <c r="K47"/>
    </row>
    <row r="48" spans="1:11">
      <c r="A48" s="221" t="s">
        <v>397</v>
      </c>
      <c r="B48" s="153" t="s">
        <v>140</v>
      </c>
      <c r="C48" s="153" t="s">
        <v>38</v>
      </c>
      <c r="D48" s="153">
        <v>-4</v>
      </c>
      <c r="E48" s="153">
        <v>0.09</v>
      </c>
      <c r="F48" s="153">
        <v>-0.36</v>
      </c>
      <c r="G48" s="153">
        <v>1</v>
      </c>
      <c r="H48" s="153">
        <v>-0.36</v>
      </c>
      <c r="I48" s="218">
        <v>0</v>
      </c>
      <c r="J48"/>
      <c r="K48"/>
    </row>
    <row r="49" spans="1:11">
      <c r="A49" s="221" t="s">
        <v>421</v>
      </c>
      <c r="B49" s="153" t="s">
        <v>140</v>
      </c>
      <c r="C49" s="153" t="s">
        <v>38</v>
      </c>
      <c r="D49" s="153">
        <v>-2</v>
      </c>
      <c r="E49" s="153">
        <v>2.65</v>
      </c>
      <c r="F49" s="153">
        <v>-5.3</v>
      </c>
      <c r="G49" s="153">
        <v>1</v>
      </c>
      <c r="H49" s="308">
        <v>-5.3</v>
      </c>
      <c r="I49" s="218">
        <v>0</v>
      </c>
      <c r="J49"/>
      <c r="K49"/>
    </row>
    <row r="50" spans="1:11">
      <c r="A50" s="221" t="s">
        <v>304</v>
      </c>
      <c r="B50" s="153" t="s">
        <v>44</v>
      </c>
      <c r="C50" s="153" t="s">
        <v>38</v>
      </c>
      <c r="D50" s="153">
        <v>2000</v>
      </c>
      <c r="E50" s="153">
        <v>56.32</v>
      </c>
      <c r="F50" s="153">
        <v>112640</v>
      </c>
      <c r="G50" s="153">
        <v>1</v>
      </c>
      <c r="H50" s="308">
        <v>112640</v>
      </c>
      <c r="I50" s="218">
        <v>0.06</v>
      </c>
      <c r="J50"/>
      <c r="K50"/>
    </row>
    <row r="51" spans="1:11">
      <c r="A51" s="221" t="s">
        <v>398</v>
      </c>
      <c r="B51" s="153" t="s">
        <v>140</v>
      </c>
      <c r="C51" s="153" t="s">
        <v>38</v>
      </c>
      <c r="D51" s="153">
        <v>-10</v>
      </c>
      <c r="E51" s="153">
        <v>0.02</v>
      </c>
      <c r="F51" s="153">
        <v>-0.2</v>
      </c>
      <c r="G51" s="153">
        <v>1</v>
      </c>
      <c r="H51" s="153">
        <v>-0.2</v>
      </c>
      <c r="I51" s="218">
        <v>0</v>
      </c>
      <c r="J51"/>
      <c r="K51"/>
    </row>
    <row r="52" spans="1:11">
      <c r="A52" s="221" t="s">
        <v>369</v>
      </c>
      <c r="B52" s="153" t="s">
        <v>23</v>
      </c>
      <c r="C52" s="153" t="s">
        <v>38</v>
      </c>
      <c r="D52" s="153">
        <v>1000</v>
      </c>
      <c r="E52" s="153">
        <v>332.62</v>
      </c>
      <c r="F52" s="153">
        <v>332620</v>
      </c>
      <c r="G52" s="153">
        <v>1</v>
      </c>
      <c r="H52" s="153">
        <v>332620</v>
      </c>
      <c r="I52" s="218">
        <v>0.16</v>
      </c>
      <c r="J52"/>
      <c r="K52"/>
    </row>
    <row r="53" spans="1:11">
      <c r="A53" s="221" t="s">
        <v>285</v>
      </c>
      <c r="B53" s="153" t="s">
        <v>23</v>
      </c>
      <c r="C53" s="153" t="s">
        <v>38</v>
      </c>
      <c r="D53" s="153">
        <v>10000</v>
      </c>
      <c r="E53" s="153">
        <v>199.02</v>
      </c>
      <c r="F53" s="153">
        <v>1990200</v>
      </c>
      <c r="G53" s="153">
        <v>1</v>
      </c>
      <c r="H53" s="153">
        <v>1990200</v>
      </c>
      <c r="I53" s="218">
        <v>0.98</v>
      </c>
      <c r="J53"/>
      <c r="K53"/>
    </row>
    <row r="54" spans="1:11">
      <c r="A54" s="221" t="s">
        <v>103</v>
      </c>
      <c r="B54" s="153" t="s">
        <v>42</v>
      </c>
      <c r="C54" s="153" t="s">
        <v>38</v>
      </c>
      <c r="D54" s="153">
        <v>38350</v>
      </c>
      <c r="E54" s="153">
        <v>80.33</v>
      </c>
      <c r="F54" s="153">
        <v>3080655.5</v>
      </c>
      <c r="G54" s="153">
        <v>1</v>
      </c>
      <c r="H54" s="308">
        <v>3080655.5</v>
      </c>
      <c r="I54" s="218">
        <v>1.52</v>
      </c>
      <c r="J54"/>
      <c r="K54"/>
    </row>
    <row r="55" spans="1:11">
      <c r="A55" s="221" t="s">
        <v>293</v>
      </c>
      <c r="B55" s="153" t="s">
        <v>138</v>
      </c>
      <c r="C55" s="153" t="s">
        <v>37</v>
      </c>
      <c r="D55" s="153">
        <v>50000</v>
      </c>
      <c r="E55" s="153">
        <v>43.32</v>
      </c>
      <c r="F55" s="153">
        <v>2166000</v>
      </c>
      <c r="G55" s="153">
        <v>1.3553808620222281</v>
      </c>
      <c r="H55" s="308">
        <v>1598074.8</v>
      </c>
      <c r="I55" s="218">
        <v>0.79</v>
      </c>
      <c r="J55"/>
      <c r="K55"/>
    </row>
    <row r="56" spans="1:11">
      <c r="A56" s="221" t="s">
        <v>110</v>
      </c>
      <c r="B56" s="153" t="s">
        <v>44</v>
      </c>
      <c r="C56" s="153" t="s">
        <v>38</v>
      </c>
      <c r="D56" s="153">
        <v>55000</v>
      </c>
      <c r="E56" s="153">
        <v>27.22</v>
      </c>
      <c r="F56" s="153">
        <v>1497100</v>
      </c>
      <c r="G56" s="153">
        <v>1</v>
      </c>
      <c r="H56" s="308">
        <v>1497100</v>
      </c>
      <c r="I56" s="218">
        <v>0.74</v>
      </c>
      <c r="J56"/>
      <c r="K56"/>
    </row>
    <row r="57" spans="1:11">
      <c r="A57" s="221" t="s">
        <v>370</v>
      </c>
      <c r="B57" s="153" t="s">
        <v>139</v>
      </c>
      <c r="C57" s="153" t="s">
        <v>38</v>
      </c>
      <c r="D57" s="153">
        <v>2000</v>
      </c>
      <c r="E57" s="153">
        <v>441.28</v>
      </c>
      <c r="F57" s="153">
        <v>882560</v>
      </c>
      <c r="G57" s="153">
        <v>1</v>
      </c>
      <c r="H57" s="153">
        <v>882560</v>
      </c>
      <c r="I57" s="218">
        <v>0.44</v>
      </c>
      <c r="J57"/>
      <c r="K57"/>
    </row>
    <row r="58" spans="1:11">
      <c r="A58" s="221" t="s">
        <v>399</v>
      </c>
      <c r="B58" s="153" t="s">
        <v>140</v>
      </c>
      <c r="C58" s="153" t="s">
        <v>38</v>
      </c>
      <c r="D58" s="153">
        <v>-10</v>
      </c>
      <c r="E58" s="153">
        <v>3.07</v>
      </c>
      <c r="F58" s="153">
        <v>-30.7</v>
      </c>
      <c r="G58" s="153">
        <v>1</v>
      </c>
      <c r="H58" s="153">
        <v>-30.7</v>
      </c>
      <c r="I58" s="218">
        <v>0</v>
      </c>
      <c r="J58"/>
      <c r="K58"/>
    </row>
    <row r="59" spans="1:11">
      <c r="A59" s="221" t="s">
        <v>114</v>
      </c>
      <c r="B59" s="153" t="s">
        <v>139</v>
      </c>
      <c r="C59" s="153" t="s">
        <v>38</v>
      </c>
      <c r="D59" s="153">
        <v>30000</v>
      </c>
      <c r="E59" s="153">
        <v>43.55</v>
      </c>
      <c r="F59" s="153">
        <v>1306500</v>
      </c>
      <c r="G59" s="153">
        <v>1</v>
      </c>
      <c r="H59" s="153">
        <v>1306500</v>
      </c>
      <c r="I59" s="218">
        <v>0.65</v>
      </c>
      <c r="J59"/>
      <c r="K59"/>
    </row>
    <row r="60" spans="1:11">
      <c r="A60" s="221" t="s">
        <v>373</v>
      </c>
      <c r="B60" s="153" t="s">
        <v>140</v>
      </c>
      <c r="C60" s="153" t="s">
        <v>38</v>
      </c>
      <c r="D60" s="153">
        <v>0</v>
      </c>
      <c r="E60" s="153">
        <v>74</v>
      </c>
      <c r="F60" s="153">
        <v>0</v>
      </c>
      <c r="G60" s="153">
        <v>1</v>
      </c>
      <c r="H60" s="153">
        <v>0</v>
      </c>
      <c r="I60" s="218">
        <v>0</v>
      </c>
      <c r="J60"/>
      <c r="K60"/>
    </row>
    <row r="61" spans="1:11">
      <c r="A61" s="221" t="s">
        <v>374</v>
      </c>
      <c r="B61" s="153" t="s">
        <v>155</v>
      </c>
      <c r="C61" s="153" t="s">
        <v>38</v>
      </c>
      <c r="D61" s="153">
        <v>15</v>
      </c>
      <c r="E61" s="153">
        <v>6120.5</v>
      </c>
      <c r="F61" s="153">
        <v>91807.5</v>
      </c>
      <c r="G61" s="153">
        <v>1</v>
      </c>
      <c r="H61" s="308">
        <v>91807.5</v>
      </c>
      <c r="I61" s="218">
        <v>0.05</v>
      </c>
      <c r="J61"/>
      <c r="K61"/>
    </row>
    <row r="62" spans="1:11">
      <c r="A62" s="221" t="s">
        <v>76</v>
      </c>
      <c r="B62" s="153" t="s">
        <v>42</v>
      </c>
      <c r="C62" s="153" t="s">
        <v>38</v>
      </c>
      <c r="D62" s="153">
        <v>150000</v>
      </c>
      <c r="E62" s="153">
        <v>17.73</v>
      </c>
      <c r="F62" s="153">
        <v>2659500</v>
      </c>
      <c r="G62" s="153">
        <v>1</v>
      </c>
      <c r="H62" s="153">
        <v>2659500</v>
      </c>
      <c r="I62" s="218">
        <v>1.31</v>
      </c>
      <c r="J62"/>
      <c r="K62"/>
    </row>
    <row r="63" spans="1:11">
      <c r="A63" s="221" t="s">
        <v>108</v>
      </c>
      <c r="B63" s="153" t="s">
        <v>44</v>
      </c>
      <c r="C63" s="153" t="s">
        <v>38</v>
      </c>
      <c r="D63" s="153">
        <v>69481</v>
      </c>
      <c r="E63" s="153">
        <v>254.43</v>
      </c>
      <c r="F63" s="153">
        <v>17678050.829999998</v>
      </c>
      <c r="G63" s="153">
        <v>1</v>
      </c>
      <c r="H63" s="153">
        <v>17678050.829999998</v>
      </c>
      <c r="I63" s="218">
        <v>8.74</v>
      </c>
      <c r="J63"/>
      <c r="K63"/>
    </row>
    <row r="64" spans="1:11">
      <c r="A64" s="221" t="s">
        <v>400</v>
      </c>
      <c r="B64" s="153" t="s">
        <v>140</v>
      </c>
      <c r="C64" s="153" t="s">
        <v>38</v>
      </c>
      <c r="D64" s="153">
        <v>-50</v>
      </c>
      <c r="E64" s="153">
        <v>2.31</v>
      </c>
      <c r="F64" s="153">
        <v>-115.5</v>
      </c>
      <c r="G64" s="153">
        <v>1</v>
      </c>
      <c r="H64" s="153">
        <v>-115.5</v>
      </c>
      <c r="I64" s="218">
        <v>0</v>
      </c>
      <c r="J64"/>
      <c r="K64"/>
    </row>
    <row r="65" spans="1:11">
      <c r="A65" s="221" t="s">
        <v>422</v>
      </c>
      <c r="B65" s="153" t="s">
        <v>140</v>
      </c>
      <c r="C65" s="153" t="s">
        <v>38</v>
      </c>
      <c r="D65" s="153">
        <v>-50</v>
      </c>
      <c r="E65" s="153">
        <v>1.23</v>
      </c>
      <c r="F65" s="153">
        <v>-61.5</v>
      </c>
      <c r="G65" s="153">
        <v>1</v>
      </c>
      <c r="H65" s="153">
        <v>-61.5</v>
      </c>
      <c r="I65" s="218">
        <v>0</v>
      </c>
      <c r="J65"/>
      <c r="K65"/>
    </row>
    <row r="66" spans="1:11">
      <c r="A66" s="221" t="s">
        <v>423</v>
      </c>
      <c r="B66" s="153" t="s">
        <v>140</v>
      </c>
      <c r="C66" s="153" t="s">
        <v>38</v>
      </c>
      <c r="D66" s="153">
        <v>-50</v>
      </c>
      <c r="E66" s="153">
        <v>0.18</v>
      </c>
      <c r="F66" s="153">
        <v>-9</v>
      </c>
      <c r="G66" s="153">
        <v>1</v>
      </c>
      <c r="H66" s="153">
        <v>-9</v>
      </c>
      <c r="I66" s="218">
        <v>0</v>
      </c>
      <c r="J66"/>
      <c r="K66"/>
    </row>
    <row r="67" spans="1:11">
      <c r="A67" s="221" t="s">
        <v>424</v>
      </c>
      <c r="B67" s="153" t="s">
        <v>140</v>
      </c>
      <c r="C67" s="153" t="s">
        <v>38</v>
      </c>
      <c r="D67" s="153">
        <v>-50</v>
      </c>
      <c r="E67" s="153">
        <v>1</v>
      </c>
      <c r="F67" s="153">
        <v>-50</v>
      </c>
      <c r="G67" s="153">
        <v>1</v>
      </c>
      <c r="H67" s="153">
        <v>-50</v>
      </c>
      <c r="I67" s="218">
        <v>0</v>
      </c>
      <c r="J67"/>
      <c r="K67"/>
    </row>
    <row r="68" spans="1:11">
      <c r="A68" s="221" t="s">
        <v>306</v>
      </c>
      <c r="B68" s="153" t="s">
        <v>23</v>
      </c>
      <c r="C68" s="153" t="s">
        <v>38</v>
      </c>
      <c r="D68" s="153">
        <v>3000</v>
      </c>
      <c r="E68" s="153">
        <v>200.03</v>
      </c>
      <c r="F68" s="153">
        <v>600090</v>
      </c>
      <c r="G68" s="153">
        <v>1</v>
      </c>
      <c r="H68" s="308">
        <v>600090</v>
      </c>
      <c r="I68" s="218">
        <v>0.3</v>
      </c>
      <c r="J68"/>
      <c r="K68"/>
    </row>
    <row r="69" spans="1:11">
      <c r="A69" s="221" t="s">
        <v>425</v>
      </c>
      <c r="B69" s="153" t="s">
        <v>140</v>
      </c>
      <c r="C69" s="153" t="s">
        <v>38</v>
      </c>
      <c r="D69" s="153">
        <v>-10</v>
      </c>
      <c r="E69" s="153">
        <v>0.31</v>
      </c>
      <c r="F69" s="153">
        <v>-3.1</v>
      </c>
      <c r="G69" s="153">
        <v>1</v>
      </c>
      <c r="H69" s="308">
        <v>-3.1</v>
      </c>
      <c r="I69" s="218">
        <v>0</v>
      </c>
      <c r="J69"/>
      <c r="K69"/>
    </row>
    <row r="70" spans="1:11">
      <c r="A70" s="221" t="s">
        <v>302</v>
      </c>
      <c r="B70" s="153" t="s">
        <v>23</v>
      </c>
      <c r="C70" s="153" t="s">
        <v>38</v>
      </c>
      <c r="D70" s="153">
        <v>2000</v>
      </c>
      <c r="E70" s="153">
        <v>632.73</v>
      </c>
      <c r="F70" s="153">
        <v>1265460</v>
      </c>
      <c r="G70" s="153">
        <v>1</v>
      </c>
      <c r="H70" s="153">
        <v>1265460</v>
      </c>
      <c r="I70" s="218">
        <v>0.63</v>
      </c>
      <c r="J70"/>
      <c r="K70"/>
    </row>
    <row r="71" spans="1:11">
      <c r="A71" s="221" t="s">
        <v>426</v>
      </c>
      <c r="B71" s="153" t="s">
        <v>140</v>
      </c>
      <c r="C71" s="153" t="s">
        <v>38</v>
      </c>
      <c r="D71" s="153">
        <v>-5</v>
      </c>
      <c r="E71" s="153">
        <v>0.09</v>
      </c>
      <c r="F71" s="153">
        <v>-0.45</v>
      </c>
      <c r="G71" s="153">
        <v>1</v>
      </c>
      <c r="H71" s="153">
        <v>-0.45</v>
      </c>
      <c r="I71" s="218">
        <v>0</v>
      </c>
      <c r="J71"/>
      <c r="K71"/>
    </row>
    <row r="72" spans="1:11">
      <c r="A72" s="221" t="s">
        <v>427</v>
      </c>
      <c r="B72" s="153" t="s">
        <v>140</v>
      </c>
      <c r="C72" s="153" t="s">
        <v>38</v>
      </c>
      <c r="D72" s="153">
        <v>-5</v>
      </c>
      <c r="E72" s="153">
        <v>0.36</v>
      </c>
      <c r="F72" s="153">
        <v>-1.8</v>
      </c>
      <c r="G72" s="153">
        <v>1</v>
      </c>
      <c r="H72" s="153">
        <v>-1.8</v>
      </c>
      <c r="I72" s="218">
        <v>0</v>
      </c>
      <c r="J72"/>
      <c r="K72"/>
    </row>
    <row r="73" spans="1:11">
      <c r="A73" s="221" t="s">
        <v>199</v>
      </c>
      <c r="B73" s="153" t="s">
        <v>44</v>
      </c>
      <c r="C73" s="153" t="s">
        <v>38</v>
      </c>
      <c r="D73" s="153">
        <v>11100</v>
      </c>
      <c r="E73" s="153">
        <v>145.59</v>
      </c>
      <c r="F73" s="153">
        <v>1616049</v>
      </c>
      <c r="G73" s="153">
        <v>1</v>
      </c>
      <c r="H73" s="153">
        <v>1616049</v>
      </c>
      <c r="I73" s="218">
        <v>0.8</v>
      </c>
      <c r="J73"/>
      <c r="K73"/>
    </row>
    <row r="74" spans="1:11">
      <c r="A74" s="221" t="s">
        <v>120</v>
      </c>
      <c r="B74" s="153" t="s">
        <v>44</v>
      </c>
      <c r="C74" s="153" t="s">
        <v>38</v>
      </c>
      <c r="D74" s="153">
        <v>55000</v>
      </c>
      <c r="E74" s="153">
        <v>27.5</v>
      </c>
      <c r="F74" s="153">
        <v>1512500</v>
      </c>
      <c r="G74" s="153">
        <v>1</v>
      </c>
      <c r="H74" s="153">
        <v>1512500</v>
      </c>
      <c r="I74" s="218">
        <v>0.75</v>
      </c>
      <c r="J74"/>
      <c r="K74"/>
    </row>
    <row r="75" spans="1:11">
      <c r="A75" s="221" t="s">
        <v>282</v>
      </c>
      <c r="B75" s="153" t="s">
        <v>44</v>
      </c>
      <c r="C75" s="153" t="s">
        <v>38</v>
      </c>
      <c r="D75" s="153">
        <v>55000</v>
      </c>
      <c r="E75" s="153">
        <v>59.38</v>
      </c>
      <c r="F75" s="153">
        <v>3265900</v>
      </c>
      <c r="G75" s="153">
        <v>1</v>
      </c>
      <c r="H75" s="153">
        <v>3265900</v>
      </c>
      <c r="I75" s="218">
        <v>1.61</v>
      </c>
      <c r="J75"/>
      <c r="K75"/>
    </row>
    <row r="76" spans="1:11">
      <c r="A76" s="221" t="s">
        <v>401</v>
      </c>
      <c r="B76" s="153" t="s">
        <v>140</v>
      </c>
      <c r="C76" s="153" t="s">
        <v>38</v>
      </c>
      <c r="D76" s="153">
        <v>-50</v>
      </c>
      <c r="E76" s="153">
        <v>0.68</v>
      </c>
      <c r="F76" s="153">
        <v>-34</v>
      </c>
      <c r="G76" s="153">
        <v>1</v>
      </c>
      <c r="H76" s="153">
        <v>-34</v>
      </c>
      <c r="I76" s="218">
        <v>0</v>
      </c>
      <c r="J76"/>
      <c r="K76"/>
    </row>
    <row r="77" spans="1:11">
      <c r="A77" s="221" t="s">
        <v>402</v>
      </c>
      <c r="B77" s="153" t="s">
        <v>140</v>
      </c>
      <c r="C77" s="153" t="s">
        <v>38</v>
      </c>
      <c r="D77" s="153">
        <v>-50</v>
      </c>
      <c r="E77" s="153">
        <v>0.15</v>
      </c>
      <c r="F77" s="153">
        <v>-7.5</v>
      </c>
      <c r="G77" s="153">
        <v>1</v>
      </c>
      <c r="H77" s="153">
        <v>-7.5</v>
      </c>
      <c r="I77" s="218">
        <v>0</v>
      </c>
      <c r="J77"/>
      <c r="K77"/>
    </row>
    <row r="78" spans="1:11">
      <c r="A78" s="221" t="s">
        <v>309</v>
      </c>
      <c r="B78" s="153" t="s">
        <v>23</v>
      </c>
      <c r="C78" s="153" t="s">
        <v>38</v>
      </c>
      <c r="D78" s="153">
        <v>1000</v>
      </c>
      <c r="E78" s="153">
        <v>154.16999999999999</v>
      </c>
      <c r="F78" s="153">
        <v>154170</v>
      </c>
      <c r="G78" s="153">
        <v>1</v>
      </c>
      <c r="H78" s="153">
        <v>154170</v>
      </c>
      <c r="I78" s="218">
        <v>0.08</v>
      </c>
      <c r="J78"/>
      <c r="K78"/>
    </row>
    <row r="79" spans="1:11">
      <c r="A79" s="221" t="s">
        <v>403</v>
      </c>
      <c r="B79" s="153" t="s">
        <v>140</v>
      </c>
      <c r="C79" s="153" t="s">
        <v>38</v>
      </c>
      <c r="D79" s="153">
        <v>-10</v>
      </c>
      <c r="E79" s="153">
        <v>1.6</v>
      </c>
      <c r="F79" s="153">
        <v>-16</v>
      </c>
      <c r="G79" s="153">
        <v>1</v>
      </c>
      <c r="H79" s="153">
        <v>-16</v>
      </c>
      <c r="I79" s="218">
        <v>0</v>
      </c>
      <c r="J79"/>
      <c r="K79"/>
    </row>
    <row r="80" spans="1:11">
      <c r="A80" s="221" t="s">
        <v>307</v>
      </c>
      <c r="B80" s="153" t="s">
        <v>139</v>
      </c>
      <c r="C80" s="153" t="s">
        <v>38</v>
      </c>
      <c r="D80" s="153">
        <v>11000</v>
      </c>
      <c r="E80" s="153">
        <v>104.11</v>
      </c>
      <c r="F80" s="153">
        <v>1145210</v>
      </c>
      <c r="G80" s="153">
        <v>1</v>
      </c>
      <c r="H80" s="153">
        <v>1145210</v>
      </c>
      <c r="I80" s="218">
        <v>0.57000000000000006</v>
      </c>
      <c r="J80"/>
      <c r="K80"/>
    </row>
    <row r="81" spans="1:11">
      <c r="A81" s="221" t="s">
        <v>443</v>
      </c>
      <c r="B81" s="153" t="s">
        <v>140</v>
      </c>
      <c r="C81" s="153" t="s">
        <v>38</v>
      </c>
      <c r="D81" s="153">
        <v>-15</v>
      </c>
      <c r="E81" s="153">
        <v>1.03</v>
      </c>
      <c r="F81" s="153">
        <v>-15.45</v>
      </c>
      <c r="G81" s="153">
        <v>1</v>
      </c>
      <c r="H81" s="153">
        <v>-15.45</v>
      </c>
      <c r="I81" s="218">
        <v>0</v>
      </c>
      <c r="J81"/>
      <c r="K81"/>
    </row>
    <row r="82" spans="1:11">
      <c r="A82" s="221" t="s">
        <v>296</v>
      </c>
      <c r="B82" s="153" t="s">
        <v>139</v>
      </c>
      <c r="C82" s="153" t="s">
        <v>38</v>
      </c>
      <c r="D82" s="153">
        <v>61500</v>
      </c>
      <c r="E82" s="153">
        <v>65.48</v>
      </c>
      <c r="F82" s="153">
        <v>4027020</v>
      </c>
      <c r="G82" s="153">
        <v>1</v>
      </c>
      <c r="H82" s="153">
        <v>4027020</v>
      </c>
      <c r="I82" s="218">
        <v>1.99</v>
      </c>
      <c r="J82"/>
      <c r="K82"/>
    </row>
    <row r="83" spans="1:11">
      <c r="A83" s="221" t="s">
        <v>113</v>
      </c>
      <c r="B83" s="153" t="s">
        <v>42</v>
      </c>
      <c r="C83" s="153" t="s">
        <v>38</v>
      </c>
      <c r="D83" s="153">
        <v>21013</v>
      </c>
      <c r="E83" s="153">
        <v>47.87</v>
      </c>
      <c r="F83" s="153">
        <v>1005892.31</v>
      </c>
      <c r="G83" s="153">
        <v>1</v>
      </c>
      <c r="H83" s="153">
        <v>1005892.31</v>
      </c>
      <c r="I83" s="218">
        <v>0.5</v>
      </c>
      <c r="J83"/>
      <c r="K83"/>
    </row>
    <row r="84" spans="1:11">
      <c r="A84" s="221" t="s">
        <v>106</v>
      </c>
      <c r="B84" s="153" t="s">
        <v>139</v>
      </c>
      <c r="C84" s="153" t="s">
        <v>38</v>
      </c>
      <c r="D84" s="153">
        <v>36000</v>
      </c>
      <c r="E84" s="153">
        <v>228.29</v>
      </c>
      <c r="F84" s="153">
        <v>8218440</v>
      </c>
      <c r="G84" s="153">
        <v>1</v>
      </c>
      <c r="H84" s="153">
        <v>8218440</v>
      </c>
      <c r="I84" s="218">
        <v>4.0599999999999996</v>
      </c>
      <c r="J84"/>
      <c r="K84"/>
    </row>
    <row r="85" spans="1:11">
      <c r="A85" s="221" t="s">
        <v>301</v>
      </c>
      <c r="B85" s="153" t="s">
        <v>23</v>
      </c>
      <c r="C85" s="153" t="s">
        <v>38</v>
      </c>
      <c r="D85" s="153">
        <v>4000</v>
      </c>
      <c r="E85" s="153">
        <v>262.83999999999997</v>
      </c>
      <c r="F85" s="153">
        <v>1051360</v>
      </c>
      <c r="G85" s="153">
        <v>1</v>
      </c>
      <c r="H85" s="153">
        <v>1051360</v>
      </c>
      <c r="I85" s="218">
        <v>0.52</v>
      </c>
      <c r="J85"/>
      <c r="K85"/>
    </row>
    <row r="86" spans="1:11">
      <c r="A86" s="221" t="s">
        <v>371</v>
      </c>
      <c r="B86" s="153" t="s">
        <v>23</v>
      </c>
      <c r="C86" s="153" t="s">
        <v>38</v>
      </c>
      <c r="D86" s="153">
        <v>5000</v>
      </c>
      <c r="E86" s="153">
        <v>61.78</v>
      </c>
      <c r="F86" s="153">
        <v>308900</v>
      </c>
      <c r="G86" s="153">
        <v>1</v>
      </c>
      <c r="H86" s="153">
        <v>308900</v>
      </c>
      <c r="I86" s="218">
        <v>0.15</v>
      </c>
      <c r="J86"/>
      <c r="K86"/>
    </row>
    <row r="87" spans="1:11">
      <c r="A87" s="221" t="s">
        <v>428</v>
      </c>
      <c r="B87" s="153" t="s">
        <v>140</v>
      </c>
      <c r="C87" s="153" t="s">
        <v>38</v>
      </c>
      <c r="D87" s="153">
        <v>-10</v>
      </c>
      <c r="E87" s="153">
        <v>0.2</v>
      </c>
      <c r="F87" s="153">
        <v>-2</v>
      </c>
      <c r="G87" s="153">
        <v>1</v>
      </c>
      <c r="H87" s="153">
        <v>-2</v>
      </c>
      <c r="I87" s="218">
        <v>0</v>
      </c>
      <c r="J87"/>
      <c r="K87"/>
    </row>
    <row r="88" spans="1:11">
      <c r="A88" s="221" t="s">
        <v>288</v>
      </c>
      <c r="B88" s="153" t="s">
        <v>23</v>
      </c>
      <c r="C88" s="153" t="s">
        <v>38</v>
      </c>
      <c r="D88" s="153">
        <v>400</v>
      </c>
      <c r="E88" s="153">
        <v>753.98</v>
      </c>
      <c r="F88" s="153">
        <v>301592</v>
      </c>
      <c r="G88" s="153">
        <v>1</v>
      </c>
      <c r="H88" s="153">
        <v>301592</v>
      </c>
      <c r="I88" s="218">
        <v>0.15</v>
      </c>
      <c r="J88"/>
      <c r="K88"/>
    </row>
    <row r="89" spans="1:11">
      <c r="A89" s="221" t="s">
        <v>107</v>
      </c>
      <c r="B89" s="153" t="s">
        <v>42</v>
      </c>
      <c r="C89" s="153" t="s">
        <v>38</v>
      </c>
      <c r="D89" s="153">
        <v>20000</v>
      </c>
      <c r="E89" s="153">
        <v>107.06</v>
      </c>
      <c r="F89" s="153">
        <v>2141200</v>
      </c>
      <c r="G89" s="153">
        <v>1</v>
      </c>
      <c r="H89" s="153">
        <v>2141200</v>
      </c>
      <c r="I89" s="218">
        <v>1.06</v>
      </c>
      <c r="J89"/>
      <c r="K89"/>
    </row>
    <row r="90" spans="1:11">
      <c r="A90" s="221" t="s">
        <v>390</v>
      </c>
      <c r="B90" s="153" t="s">
        <v>42</v>
      </c>
      <c r="C90" s="153" t="s">
        <v>38</v>
      </c>
      <c r="D90" s="153">
        <v>4000</v>
      </c>
      <c r="E90" s="153">
        <v>91.77</v>
      </c>
      <c r="F90" s="153">
        <v>367080</v>
      </c>
      <c r="G90" s="153">
        <v>1</v>
      </c>
      <c r="H90" s="153">
        <v>367080</v>
      </c>
      <c r="I90" s="218">
        <v>0.18</v>
      </c>
      <c r="J90"/>
      <c r="K90"/>
    </row>
    <row r="91" spans="1:11">
      <c r="A91" s="221" t="s">
        <v>96</v>
      </c>
      <c r="B91" s="153" t="s">
        <v>23</v>
      </c>
      <c r="C91" s="153" t="s">
        <v>38</v>
      </c>
      <c r="D91" s="153">
        <v>5000</v>
      </c>
      <c r="E91" s="153">
        <v>281.35000000000002</v>
      </c>
      <c r="F91" s="153">
        <v>1406750</v>
      </c>
      <c r="G91" s="153">
        <v>1</v>
      </c>
      <c r="H91" s="153">
        <v>1406750</v>
      </c>
      <c r="I91" s="218">
        <v>0.70000000000000007</v>
      </c>
      <c r="J91"/>
      <c r="K91"/>
    </row>
    <row r="92" spans="1:11">
      <c r="A92" s="221" t="s">
        <v>289</v>
      </c>
      <c r="B92" s="153" t="s">
        <v>23</v>
      </c>
      <c r="C92" s="153" t="s">
        <v>38</v>
      </c>
      <c r="D92" s="153">
        <v>1700</v>
      </c>
      <c r="E92" s="153">
        <v>446.2</v>
      </c>
      <c r="F92" s="153">
        <v>758540</v>
      </c>
      <c r="G92" s="153">
        <v>1</v>
      </c>
      <c r="H92" s="153">
        <v>758540</v>
      </c>
      <c r="I92" s="218">
        <v>0.37</v>
      </c>
      <c r="J92"/>
      <c r="K92"/>
    </row>
    <row r="93" spans="1:11">
      <c r="A93" s="221" t="s">
        <v>429</v>
      </c>
      <c r="B93" s="153" t="s">
        <v>140</v>
      </c>
      <c r="C93" s="153" t="s">
        <v>38</v>
      </c>
      <c r="D93" s="153">
        <v>-5</v>
      </c>
      <c r="E93" s="153">
        <v>14.08</v>
      </c>
      <c r="F93" s="153">
        <v>-70.400000000000006</v>
      </c>
      <c r="G93" s="153">
        <v>1</v>
      </c>
      <c r="H93" s="153">
        <v>-70.400000000000006</v>
      </c>
      <c r="I93" s="218">
        <v>0</v>
      </c>
      <c r="J93"/>
      <c r="K93"/>
    </row>
    <row r="94" spans="1:11">
      <c r="A94" s="221" t="s">
        <v>444</v>
      </c>
      <c r="B94" s="153" t="s">
        <v>140</v>
      </c>
      <c r="C94" s="153" t="s">
        <v>38</v>
      </c>
      <c r="D94" s="153">
        <v>0</v>
      </c>
      <c r="E94" s="153">
        <v>0</v>
      </c>
      <c r="F94" s="153">
        <v>0</v>
      </c>
      <c r="G94" s="153">
        <v>1</v>
      </c>
      <c r="H94" s="153">
        <v>0</v>
      </c>
      <c r="I94" s="218">
        <v>0</v>
      </c>
      <c r="J94"/>
      <c r="K94"/>
    </row>
    <row r="95" spans="1:11">
      <c r="A95" s="221" t="s">
        <v>445</v>
      </c>
      <c r="B95" s="153" t="s">
        <v>140</v>
      </c>
      <c r="C95" s="153" t="s">
        <v>38</v>
      </c>
      <c r="D95" s="153">
        <v>0</v>
      </c>
      <c r="E95" s="153">
        <v>0</v>
      </c>
      <c r="F95" s="153">
        <v>0</v>
      </c>
      <c r="G95" s="153">
        <v>1</v>
      </c>
      <c r="H95" s="153">
        <v>0</v>
      </c>
      <c r="I95" s="218">
        <v>0</v>
      </c>
      <c r="J95"/>
      <c r="K95"/>
    </row>
    <row r="96" spans="1:11">
      <c r="A96" s="221" t="s">
        <v>430</v>
      </c>
      <c r="B96" s="153" t="s">
        <v>140</v>
      </c>
      <c r="C96" s="153" t="s">
        <v>38</v>
      </c>
      <c r="D96" s="153">
        <v>-10</v>
      </c>
      <c r="E96" s="153">
        <v>107</v>
      </c>
      <c r="F96" s="153">
        <v>-1070</v>
      </c>
      <c r="G96" s="153">
        <v>1</v>
      </c>
      <c r="H96" s="153">
        <v>-1070</v>
      </c>
      <c r="I96" s="218">
        <v>0</v>
      </c>
      <c r="J96"/>
      <c r="K96"/>
    </row>
    <row r="97" spans="1:11">
      <c r="A97" s="221" t="s">
        <v>376</v>
      </c>
      <c r="B97" s="153" t="s">
        <v>140</v>
      </c>
      <c r="C97" s="153" t="s">
        <v>38</v>
      </c>
      <c r="D97" s="153">
        <v>30</v>
      </c>
      <c r="E97" s="153">
        <v>148.25</v>
      </c>
      <c r="F97" s="153">
        <v>4447.5</v>
      </c>
      <c r="G97" s="153">
        <v>1</v>
      </c>
      <c r="H97" s="153">
        <v>4447.5</v>
      </c>
      <c r="I97" s="218">
        <v>0</v>
      </c>
      <c r="J97"/>
      <c r="K97"/>
    </row>
    <row r="98" spans="1:11">
      <c r="A98" s="221" t="s">
        <v>375</v>
      </c>
      <c r="B98" s="153" t="s">
        <v>155</v>
      </c>
      <c r="C98" s="153" t="s">
        <v>38</v>
      </c>
      <c r="D98" s="153">
        <v>20</v>
      </c>
      <c r="E98" s="153">
        <v>22000.5</v>
      </c>
      <c r="F98" s="153">
        <v>440010</v>
      </c>
      <c r="G98" s="153">
        <v>1</v>
      </c>
      <c r="H98" s="308">
        <v>440010</v>
      </c>
      <c r="I98" s="218">
        <v>0.22</v>
      </c>
      <c r="J98"/>
      <c r="K98"/>
    </row>
    <row r="99" spans="1:11">
      <c r="A99" s="221" t="s">
        <v>88</v>
      </c>
      <c r="B99" s="153" t="s">
        <v>23</v>
      </c>
      <c r="C99" s="153" t="s">
        <v>38</v>
      </c>
      <c r="D99" s="153">
        <v>172800</v>
      </c>
      <c r="E99" s="153">
        <v>147.07</v>
      </c>
      <c r="F99" s="153">
        <v>25413696</v>
      </c>
      <c r="G99" s="153">
        <v>1</v>
      </c>
      <c r="H99" s="153">
        <v>25413696</v>
      </c>
      <c r="I99" s="218">
        <v>12.56</v>
      </c>
      <c r="J99"/>
      <c r="K99"/>
    </row>
    <row r="100" spans="1:11">
      <c r="A100" s="221" t="s">
        <v>393</v>
      </c>
      <c r="B100" s="153" t="s">
        <v>140</v>
      </c>
      <c r="C100" s="153" t="s">
        <v>38</v>
      </c>
      <c r="D100" s="153">
        <v>0</v>
      </c>
      <c r="E100" s="153">
        <v>18.95</v>
      </c>
      <c r="F100" s="153">
        <v>0</v>
      </c>
      <c r="G100" s="153">
        <v>1</v>
      </c>
      <c r="H100" s="153">
        <v>0</v>
      </c>
      <c r="I100" s="218">
        <v>0</v>
      </c>
      <c r="J100"/>
      <c r="K100"/>
    </row>
    <row r="101" spans="1:11">
      <c r="A101" s="221" t="s">
        <v>446</v>
      </c>
      <c r="B101" s="153" t="s">
        <v>140</v>
      </c>
      <c r="C101" s="153" t="s">
        <v>38</v>
      </c>
      <c r="D101" s="153">
        <v>-50</v>
      </c>
      <c r="E101" s="153">
        <v>2.33</v>
      </c>
      <c r="F101" s="153">
        <v>-116.5</v>
      </c>
      <c r="G101" s="153">
        <v>1</v>
      </c>
      <c r="H101" s="308">
        <v>-116.5</v>
      </c>
      <c r="I101" s="218">
        <v>0</v>
      </c>
      <c r="J101"/>
      <c r="K101"/>
    </row>
    <row r="102" spans="1:11">
      <c r="A102" s="221" t="s">
        <v>447</v>
      </c>
      <c r="B102" s="153" t="s">
        <v>140</v>
      </c>
      <c r="C102" s="153" t="s">
        <v>38</v>
      </c>
      <c r="D102" s="153">
        <v>-50</v>
      </c>
      <c r="E102" s="153">
        <v>0.68</v>
      </c>
      <c r="F102" s="153">
        <v>-34</v>
      </c>
      <c r="G102" s="153">
        <v>1</v>
      </c>
      <c r="H102" s="308">
        <v>-34</v>
      </c>
      <c r="I102" s="218">
        <v>0</v>
      </c>
      <c r="J102"/>
      <c r="K102"/>
    </row>
    <row r="103" spans="1:11">
      <c r="A103" s="221" t="s">
        <v>431</v>
      </c>
      <c r="B103" s="153" t="s">
        <v>140</v>
      </c>
      <c r="C103" s="153" t="s">
        <v>38</v>
      </c>
      <c r="D103" s="153">
        <v>-50</v>
      </c>
      <c r="E103" s="153">
        <v>4.92</v>
      </c>
      <c r="F103" s="153">
        <v>-246</v>
      </c>
      <c r="G103" s="153">
        <v>1</v>
      </c>
      <c r="H103" s="153">
        <v>-246</v>
      </c>
      <c r="I103" s="218">
        <v>0</v>
      </c>
      <c r="J103"/>
      <c r="K103"/>
    </row>
    <row r="104" spans="1:11">
      <c r="A104" s="221" t="s">
        <v>448</v>
      </c>
      <c r="B104" s="153" t="s">
        <v>140</v>
      </c>
      <c r="C104" s="153" t="s">
        <v>38</v>
      </c>
      <c r="D104" s="153">
        <v>-100</v>
      </c>
      <c r="E104" s="153">
        <v>2.56</v>
      </c>
      <c r="F104" s="153">
        <v>-256</v>
      </c>
      <c r="G104" s="153">
        <v>1</v>
      </c>
      <c r="H104" s="153">
        <v>-256</v>
      </c>
      <c r="I104" s="218">
        <v>0</v>
      </c>
      <c r="J104"/>
      <c r="K104"/>
    </row>
    <row r="105" spans="1:11">
      <c r="A105" s="221" t="s">
        <v>449</v>
      </c>
      <c r="B105" s="153" t="s">
        <v>140</v>
      </c>
      <c r="C105" s="153" t="s">
        <v>38</v>
      </c>
      <c r="D105" s="153">
        <v>-100</v>
      </c>
      <c r="E105" s="153">
        <v>1.76</v>
      </c>
      <c r="F105" s="153">
        <v>-176</v>
      </c>
      <c r="G105" s="153">
        <v>1</v>
      </c>
      <c r="H105" s="153">
        <v>-176</v>
      </c>
      <c r="I105" s="218">
        <v>0</v>
      </c>
      <c r="J105"/>
      <c r="K105"/>
    </row>
    <row r="106" spans="1:11">
      <c r="A106" s="221" t="s">
        <v>450</v>
      </c>
      <c r="B106" s="153" t="s">
        <v>140</v>
      </c>
      <c r="C106" s="153" t="s">
        <v>38</v>
      </c>
      <c r="D106" s="153">
        <v>-100</v>
      </c>
      <c r="E106" s="153">
        <v>1.1599999999999999</v>
      </c>
      <c r="F106" s="153">
        <v>-116</v>
      </c>
      <c r="G106" s="153">
        <v>1</v>
      </c>
      <c r="H106" s="153">
        <v>-116</v>
      </c>
      <c r="I106" s="218">
        <v>0</v>
      </c>
      <c r="J106"/>
      <c r="K106"/>
    </row>
    <row r="107" spans="1:11">
      <c r="A107" s="221" t="s">
        <v>372</v>
      </c>
      <c r="B107" s="153" t="s">
        <v>23</v>
      </c>
      <c r="C107" s="153" t="s">
        <v>38</v>
      </c>
      <c r="D107" s="153">
        <v>2000</v>
      </c>
      <c r="E107" s="153">
        <v>184.22</v>
      </c>
      <c r="F107" s="153">
        <v>368440</v>
      </c>
      <c r="G107" s="153">
        <v>1</v>
      </c>
      <c r="H107" s="153">
        <v>368440</v>
      </c>
      <c r="I107" s="218">
        <v>0.18</v>
      </c>
      <c r="J107"/>
      <c r="K107"/>
    </row>
    <row r="108" spans="1:11">
      <c r="A108" s="221" t="s">
        <v>451</v>
      </c>
      <c r="B108" s="153" t="s">
        <v>140</v>
      </c>
      <c r="C108" s="153" t="s">
        <v>38</v>
      </c>
      <c r="D108" s="153">
        <v>-5</v>
      </c>
      <c r="E108" s="153">
        <v>0.6</v>
      </c>
      <c r="F108" s="153">
        <v>-3</v>
      </c>
      <c r="G108" s="153">
        <v>1</v>
      </c>
      <c r="H108" s="153">
        <v>-3</v>
      </c>
      <c r="I108" s="218">
        <v>0</v>
      </c>
      <c r="J108"/>
      <c r="K108"/>
    </row>
    <row r="109" spans="1:11">
      <c r="A109" s="221" t="s">
        <v>452</v>
      </c>
      <c r="B109" s="153" t="s">
        <v>140</v>
      </c>
      <c r="C109" s="153" t="s">
        <v>38</v>
      </c>
      <c r="D109" s="153">
        <v>-5</v>
      </c>
      <c r="E109" s="153">
        <v>1.01</v>
      </c>
      <c r="F109" s="153">
        <v>-5.05</v>
      </c>
      <c r="G109" s="153">
        <v>1</v>
      </c>
      <c r="H109" s="308">
        <v>-5.05</v>
      </c>
      <c r="I109" s="218">
        <v>0</v>
      </c>
      <c r="J109"/>
      <c r="K109"/>
    </row>
    <row r="110" spans="1:11">
      <c r="A110" s="221" t="s">
        <v>308</v>
      </c>
      <c r="B110" s="153" t="s">
        <v>23</v>
      </c>
      <c r="C110" s="153" t="s">
        <v>38</v>
      </c>
      <c r="D110" s="153">
        <v>2500</v>
      </c>
      <c r="E110" s="153">
        <v>187.7</v>
      </c>
      <c r="F110" s="153">
        <v>469250</v>
      </c>
      <c r="G110" s="153">
        <v>1</v>
      </c>
      <c r="H110" s="308">
        <v>469250</v>
      </c>
      <c r="I110" s="218">
        <v>0.23</v>
      </c>
      <c r="J110"/>
      <c r="K110"/>
    </row>
    <row r="111" spans="1:11">
      <c r="A111" s="221" t="s">
        <v>453</v>
      </c>
      <c r="B111" s="153" t="s">
        <v>140</v>
      </c>
      <c r="C111" s="153" t="s">
        <v>38</v>
      </c>
      <c r="D111" s="153">
        <v>-10</v>
      </c>
      <c r="E111" s="153">
        <v>1.02</v>
      </c>
      <c r="F111" s="153">
        <v>-10.199999999999999</v>
      </c>
      <c r="G111" s="153">
        <v>1</v>
      </c>
      <c r="H111" s="153">
        <v>-10.199999999999999</v>
      </c>
      <c r="I111" s="218">
        <v>0</v>
      </c>
      <c r="J111"/>
      <c r="K111"/>
    </row>
    <row r="112" spans="1:11">
      <c r="A112" s="221" t="s">
        <v>291</v>
      </c>
      <c r="B112" s="153" t="s">
        <v>138</v>
      </c>
      <c r="C112" s="153" t="s">
        <v>38</v>
      </c>
      <c r="D112" s="153">
        <v>10000</v>
      </c>
      <c r="E112" s="153">
        <v>103.08</v>
      </c>
      <c r="F112" s="153">
        <v>1030800</v>
      </c>
      <c r="G112" s="153">
        <v>1</v>
      </c>
      <c r="H112" s="153">
        <v>1030800</v>
      </c>
      <c r="I112" s="218">
        <v>0.51</v>
      </c>
      <c r="J112"/>
      <c r="K112"/>
    </row>
    <row r="113" spans="1:11">
      <c r="A113" s="221" t="s">
        <v>380</v>
      </c>
      <c r="B113" s="153" t="s">
        <v>23</v>
      </c>
      <c r="C113" s="153" t="s">
        <v>38</v>
      </c>
      <c r="D113" s="153">
        <v>2500</v>
      </c>
      <c r="E113" s="153">
        <v>76.87</v>
      </c>
      <c r="F113" s="153">
        <v>192175</v>
      </c>
      <c r="G113" s="153">
        <v>1</v>
      </c>
      <c r="H113" s="153">
        <v>192175</v>
      </c>
      <c r="I113" s="218">
        <v>0.09</v>
      </c>
      <c r="J113"/>
      <c r="K113"/>
    </row>
    <row r="114" spans="1:11">
      <c r="A114" s="221" t="s">
        <v>454</v>
      </c>
      <c r="B114" s="153" t="s">
        <v>140</v>
      </c>
      <c r="C114" s="153" t="s">
        <v>38</v>
      </c>
      <c r="D114" s="153">
        <v>-10</v>
      </c>
      <c r="E114" s="153">
        <v>1.52</v>
      </c>
      <c r="F114" s="153">
        <v>-15.2</v>
      </c>
      <c r="G114" s="153">
        <v>1</v>
      </c>
      <c r="H114" s="153">
        <v>-15.2</v>
      </c>
      <c r="I114" s="218">
        <v>0</v>
      </c>
      <c r="J114"/>
      <c r="K114"/>
    </row>
    <row r="115" spans="1:11">
      <c r="A115" s="221" t="s">
        <v>25</v>
      </c>
      <c r="B115" s="153" t="s">
        <v>139</v>
      </c>
      <c r="C115" s="153" t="s">
        <v>38</v>
      </c>
      <c r="D115" s="153">
        <v>60000</v>
      </c>
      <c r="E115" s="153">
        <v>531.51</v>
      </c>
      <c r="F115" s="153">
        <v>31890600</v>
      </c>
      <c r="G115" s="153">
        <v>1</v>
      </c>
      <c r="H115" s="153">
        <v>31890600</v>
      </c>
      <c r="I115" s="218">
        <v>15.76</v>
      </c>
      <c r="J115"/>
      <c r="K115"/>
    </row>
    <row r="116" spans="1:11">
      <c r="A116" s="221" t="s">
        <v>404</v>
      </c>
      <c r="B116" s="153" t="s">
        <v>140</v>
      </c>
      <c r="C116" s="153" t="s">
        <v>38</v>
      </c>
      <c r="D116" s="153">
        <v>0</v>
      </c>
      <c r="E116" s="153">
        <v>0</v>
      </c>
      <c r="F116" s="153">
        <v>0</v>
      </c>
      <c r="G116" s="153">
        <v>1</v>
      </c>
      <c r="H116" s="153">
        <v>0</v>
      </c>
      <c r="I116" s="218">
        <v>0</v>
      </c>
      <c r="J116"/>
      <c r="K116"/>
    </row>
    <row r="117" spans="1:11">
      <c r="A117" s="221" t="s">
        <v>303</v>
      </c>
      <c r="B117" s="153" t="s">
        <v>23</v>
      </c>
      <c r="C117" s="153" t="s">
        <v>38</v>
      </c>
      <c r="D117" s="153">
        <v>5000</v>
      </c>
      <c r="E117" s="153">
        <v>124.38</v>
      </c>
      <c r="F117" s="153">
        <v>621900</v>
      </c>
      <c r="G117" s="153">
        <v>1</v>
      </c>
      <c r="H117" s="153">
        <v>621900</v>
      </c>
      <c r="I117" s="218">
        <v>0.31</v>
      </c>
      <c r="J117"/>
      <c r="K117"/>
    </row>
    <row r="118" spans="1:11">
      <c r="A118" s="221" t="s">
        <v>432</v>
      </c>
      <c r="B118" s="153" t="s">
        <v>140</v>
      </c>
      <c r="C118" s="153" t="s">
        <v>38</v>
      </c>
      <c r="D118" s="153">
        <v>-15</v>
      </c>
      <c r="E118" s="153">
        <v>2.61</v>
      </c>
      <c r="F118" s="153">
        <v>-39.15</v>
      </c>
      <c r="G118" s="153">
        <v>1</v>
      </c>
      <c r="H118" s="153">
        <v>-39.15</v>
      </c>
      <c r="I118" s="218">
        <v>0</v>
      </c>
      <c r="J118"/>
      <c r="K118"/>
    </row>
    <row r="119" spans="1:11">
      <c r="A119" s="221" t="s">
        <v>405</v>
      </c>
      <c r="B119" s="153" t="s">
        <v>140</v>
      </c>
      <c r="C119" s="153" t="s">
        <v>38</v>
      </c>
      <c r="D119" s="153">
        <v>-10</v>
      </c>
      <c r="E119" s="153">
        <v>0.22</v>
      </c>
      <c r="F119" s="153">
        <v>-2.2000000000000002</v>
      </c>
      <c r="G119" s="153">
        <v>1</v>
      </c>
      <c r="H119" s="153">
        <v>-2.2000000000000002</v>
      </c>
      <c r="I119" s="218">
        <v>0</v>
      </c>
      <c r="J119"/>
      <c r="K119"/>
    </row>
    <row r="120" spans="1:11">
      <c r="A120" s="221" t="s">
        <v>455</v>
      </c>
      <c r="B120" s="153" t="s">
        <v>140</v>
      </c>
      <c r="C120" s="153" t="s">
        <v>38</v>
      </c>
      <c r="D120" s="153">
        <v>-10</v>
      </c>
      <c r="E120" s="153">
        <v>1.28</v>
      </c>
      <c r="F120" s="153">
        <v>-12.8</v>
      </c>
      <c r="G120" s="153">
        <v>1</v>
      </c>
      <c r="H120" s="308">
        <v>-12.8</v>
      </c>
      <c r="I120" s="218">
        <v>0</v>
      </c>
      <c r="J120"/>
      <c r="K120"/>
    </row>
    <row r="121" spans="1:11">
      <c r="A121" s="221" t="s">
        <v>391</v>
      </c>
      <c r="B121" s="153" t="s">
        <v>42</v>
      </c>
      <c r="C121" s="153" t="s">
        <v>38</v>
      </c>
      <c r="D121" s="153">
        <v>12000</v>
      </c>
      <c r="E121" s="153">
        <v>22.68</v>
      </c>
      <c r="F121" s="153">
        <v>272160</v>
      </c>
      <c r="G121" s="153">
        <v>1</v>
      </c>
      <c r="H121" s="153">
        <v>272160</v>
      </c>
      <c r="I121" s="218">
        <v>0.13</v>
      </c>
      <c r="J121"/>
      <c r="K121"/>
    </row>
    <row r="122" spans="1:11">
      <c r="A122" s="221" t="s">
        <v>394</v>
      </c>
      <c r="B122" s="153" t="s">
        <v>23</v>
      </c>
      <c r="C122" s="153" t="s">
        <v>38</v>
      </c>
      <c r="D122" s="153">
        <v>500</v>
      </c>
      <c r="E122" s="153">
        <v>177.49</v>
      </c>
      <c r="F122" s="153">
        <v>88745</v>
      </c>
      <c r="G122" s="153">
        <v>1</v>
      </c>
      <c r="H122" s="308">
        <v>88745</v>
      </c>
      <c r="I122" s="218">
        <v>0.04</v>
      </c>
      <c r="J122"/>
      <c r="K122"/>
    </row>
    <row r="123" spans="1:11">
      <c r="A123" s="221" t="s">
        <v>406</v>
      </c>
      <c r="B123" s="153" t="s">
        <v>140</v>
      </c>
      <c r="C123" s="153" t="s">
        <v>38</v>
      </c>
      <c r="D123" s="153">
        <v>-5</v>
      </c>
      <c r="E123" s="153">
        <v>0.23</v>
      </c>
      <c r="F123" s="153">
        <v>-1.1499999999999999</v>
      </c>
      <c r="G123" s="153">
        <v>1</v>
      </c>
      <c r="H123" s="153">
        <v>-1.1499999999999999</v>
      </c>
      <c r="I123" s="218">
        <v>0</v>
      </c>
      <c r="J123"/>
      <c r="K123"/>
    </row>
    <row r="124" spans="1:11">
      <c r="A124" s="221" t="s">
        <v>456</v>
      </c>
      <c r="B124" s="153" t="s">
        <v>140</v>
      </c>
      <c r="C124" s="153" t="s">
        <v>38</v>
      </c>
      <c r="D124" s="153">
        <v>-5</v>
      </c>
      <c r="E124" s="153">
        <v>1.1399999999999999</v>
      </c>
      <c r="F124" s="153">
        <v>-5.6999999999999993</v>
      </c>
      <c r="G124" s="153">
        <v>1</v>
      </c>
      <c r="H124" s="153">
        <v>-5.7</v>
      </c>
      <c r="I124" s="218">
        <v>0</v>
      </c>
      <c r="J124"/>
      <c r="K124"/>
    </row>
    <row r="125" spans="1:11">
      <c r="A125" s="221" t="s">
        <v>392</v>
      </c>
      <c r="B125" s="153" t="s">
        <v>42</v>
      </c>
      <c r="C125" s="153" t="s">
        <v>38</v>
      </c>
      <c r="D125" s="153">
        <v>15000</v>
      </c>
      <c r="E125" s="153">
        <v>101.04</v>
      </c>
      <c r="F125" s="153">
        <v>1515600</v>
      </c>
      <c r="G125" s="153">
        <v>1</v>
      </c>
      <c r="H125" s="153">
        <v>1515600</v>
      </c>
      <c r="I125" s="218">
        <v>0.75</v>
      </c>
      <c r="J125"/>
      <c r="K125"/>
    </row>
    <row r="126" spans="1:11">
      <c r="A126" s="221" t="s">
        <v>105</v>
      </c>
      <c r="B126" s="153" t="s">
        <v>42</v>
      </c>
      <c r="C126" s="153" t="s">
        <v>38</v>
      </c>
      <c r="D126" s="153">
        <v>52500</v>
      </c>
      <c r="E126" s="153">
        <v>87.51</v>
      </c>
      <c r="F126" s="153">
        <v>4594275</v>
      </c>
      <c r="G126" s="153">
        <v>1</v>
      </c>
      <c r="H126" s="308">
        <v>4594275</v>
      </c>
      <c r="I126" s="218">
        <v>2.27</v>
      </c>
      <c r="J126"/>
      <c r="K126"/>
    </row>
    <row r="127" spans="1:11">
      <c r="A127" s="221" t="s">
        <v>200</v>
      </c>
      <c r="B127" s="153" t="s">
        <v>23</v>
      </c>
      <c r="C127" s="153" t="s">
        <v>38</v>
      </c>
      <c r="D127" s="153">
        <v>96500</v>
      </c>
      <c r="E127" s="153">
        <v>223.2</v>
      </c>
      <c r="F127" s="153">
        <v>21538800</v>
      </c>
      <c r="G127" s="153">
        <v>1</v>
      </c>
      <c r="H127" s="308">
        <v>21538800</v>
      </c>
      <c r="I127" s="218">
        <v>10.64</v>
      </c>
      <c r="J127"/>
      <c r="K127"/>
    </row>
    <row r="128" spans="1:11">
      <c r="A128" s="221" t="s">
        <v>407</v>
      </c>
      <c r="B128" s="153" t="s">
        <v>140</v>
      </c>
      <c r="C128" s="153" t="s">
        <v>38</v>
      </c>
      <c r="D128" s="153">
        <v>-50</v>
      </c>
      <c r="E128" s="153">
        <v>6.28</v>
      </c>
      <c r="F128" s="153">
        <v>-314</v>
      </c>
      <c r="G128" s="153">
        <v>1</v>
      </c>
      <c r="H128" s="308">
        <v>-314</v>
      </c>
      <c r="I128" s="218">
        <v>0</v>
      </c>
      <c r="J128"/>
      <c r="K128"/>
    </row>
    <row r="129" spans="1:11">
      <c r="A129" s="221" t="s">
        <v>408</v>
      </c>
      <c r="B129" s="153" t="s">
        <v>140</v>
      </c>
      <c r="C129" s="153" t="s">
        <v>38</v>
      </c>
      <c r="D129" s="153">
        <v>-50</v>
      </c>
      <c r="E129" s="153">
        <v>4.3</v>
      </c>
      <c r="F129" s="153">
        <v>-215</v>
      </c>
      <c r="G129" s="153">
        <v>1</v>
      </c>
      <c r="H129" s="308">
        <v>-215</v>
      </c>
      <c r="I129" s="218">
        <v>0</v>
      </c>
      <c r="J129"/>
      <c r="K129"/>
    </row>
    <row r="130" spans="1:11">
      <c r="A130" s="221" t="s">
        <v>457</v>
      </c>
      <c r="B130" s="153" t="s">
        <v>140</v>
      </c>
      <c r="C130" s="153" t="s">
        <v>38</v>
      </c>
      <c r="D130" s="153">
        <v>-49</v>
      </c>
      <c r="E130" s="153">
        <v>1.03</v>
      </c>
      <c r="F130" s="153">
        <v>-50.47</v>
      </c>
      <c r="G130" s="153">
        <v>1</v>
      </c>
      <c r="H130" s="308">
        <v>-50.47</v>
      </c>
      <c r="I130" s="218">
        <v>0</v>
      </c>
      <c r="J130"/>
      <c r="K130"/>
    </row>
    <row r="131" spans="1:11">
      <c r="A131" s="221" t="s">
        <v>433</v>
      </c>
      <c r="B131" s="153" t="s">
        <v>140</v>
      </c>
      <c r="C131" s="153" t="s">
        <v>38</v>
      </c>
      <c r="D131" s="153">
        <v>-100</v>
      </c>
      <c r="E131" s="153">
        <v>2.72</v>
      </c>
      <c r="F131" s="153">
        <v>-272</v>
      </c>
      <c r="G131" s="153">
        <v>1</v>
      </c>
      <c r="H131" s="308">
        <v>-272</v>
      </c>
      <c r="I131" s="218">
        <v>0</v>
      </c>
      <c r="J131"/>
      <c r="K131"/>
    </row>
    <row r="132" spans="1:11">
      <c r="A132" s="221" t="s">
        <v>458</v>
      </c>
      <c r="B132" s="153" t="s">
        <v>140</v>
      </c>
      <c r="C132" s="153" t="s">
        <v>38</v>
      </c>
      <c r="D132" s="153">
        <v>-25</v>
      </c>
      <c r="E132" s="153">
        <v>1.7</v>
      </c>
      <c r="F132" s="153">
        <v>-42.5</v>
      </c>
      <c r="G132" s="153">
        <v>1</v>
      </c>
      <c r="H132" s="308">
        <v>-42.5</v>
      </c>
      <c r="I132" s="218">
        <v>0</v>
      </c>
      <c r="J132"/>
      <c r="K132"/>
    </row>
    <row r="133" spans="1:11">
      <c r="A133" s="221" t="s">
        <v>434</v>
      </c>
      <c r="B133" s="153" t="s">
        <v>140</v>
      </c>
      <c r="C133" s="153" t="s">
        <v>38</v>
      </c>
      <c r="D133" s="153">
        <v>-50</v>
      </c>
      <c r="E133" s="153">
        <v>6.69</v>
      </c>
      <c r="F133" s="153">
        <v>-334.5</v>
      </c>
      <c r="G133" s="153">
        <v>1</v>
      </c>
      <c r="H133" s="308">
        <v>-334.5</v>
      </c>
      <c r="I133" s="218">
        <v>0</v>
      </c>
      <c r="J133"/>
      <c r="K133"/>
    </row>
    <row r="134" spans="1:11">
      <c r="A134" s="221" t="s">
        <v>435</v>
      </c>
      <c r="B134" s="153" t="s">
        <v>140</v>
      </c>
      <c r="C134" s="153" t="s">
        <v>38</v>
      </c>
      <c r="D134" s="153">
        <v>-50</v>
      </c>
      <c r="E134" s="153">
        <v>4.08</v>
      </c>
      <c r="F134" s="153">
        <v>-204</v>
      </c>
      <c r="G134" s="153">
        <v>1</v>
      </c>
      <c r="H134" s="308">
        <v>-204</v>
      </c>
      <c r="I134" s="218">
        <v>0</v>
      </c>
      <c r="J134"/>
      <c r="K134"/>
    </row>
    <row r="135" spans="1:11">
      <c r="A135" s="221" t="s">
        <v>459</v>
      </c>
      <c r="B135" s="153" t="s">
        <v>140</v>
      </c>
      <c r="C135" s="153" t="s">
        <v>38</v>
      </c>
      <c r="D135" s="153">
        <v>-50</v>
      </c>
      <c r="E135" s="153">
        <v>2.2799999999999998</v>
      </c>
      <c r="F135" s="153">
        <v>-114</v>
      </c>
      <c r="G135" s="153">
        <v>1</v>
      </c>
      <c r="H135" s="308">
        <v>-114</v>
      </c>
      <c r="I135" s="218">
        <v>0</v>
      </c>
      <c r="J135"/>
      <c r="K135"/>
    </row>
    <row r="136" spans="1:11">
      <c r="A136" s="221" t="s">
        <v>109</v>
      </c>
      <c r="B136" s="153" t="s">
        <v>42</v>
      </c>
      <c r="C136" s="153" t="s">
        <v>38</v>
      </c>
      <c r="D136" s="153">
        <v>40000</v>
      </c>
      <c r="E136" s="153">
        <v>37.21</v>
      </c>
      <c r="F136" s="153">
        <v>1488400</v>
      </c>
      <c r="G136" s="153">
        <v>1</v>
      </c>
      <c r="H136" s="308">
        <v>1488400</v>
      </c>
      <c r="I136" s="218">
        <v>0.74</v>
      </c>
      <c r="J136"/>
      <c r="K136"/>
    </row>
    <row r="137" spans="1:11">
      <c r="A137" s="221" t="s">
        <v>104</v>
      </c>
      <c r="B137" s="153" t="s">
        <v>42</v>
      </c>
      <c r="C137" s="153" t="s">
        <v>38</v>
      </c>
      <c r="D137" s="153">
        <v>30000</v>
      </c>
      <c r="E137" s="153">
        <v>80.33</v>
      </c>
      <c r="F137" s="153">
        <v>2409900</v>
      </c>
      <c r="G137" s="153">
        <v>1</v>
      </c>
      <c r="H137" s="308">
        <v>2409900</v>
      </c>
      <c r="I137" s="218">
        <v>1.19</v>
      </c>
      <c r="J137"/>
      <c r="K137"/>
    </row>
    <row r="138" spans="1:11">
      <c r="A138" s="221" t="s">
        <v>300</v>
      </c>
      <c r="B138" s="153" t="s">
        <v>23</v>
      </c>
      <c r="C138" s="153" t="s">
        <v>38</v>
      </c>
      <c r="D138" s="153">
        <v>1000</v>
      </c>
      <c r="E138" s="153">
        <v>34.049999999999997</v>
      </c>
      <c r="F138" s="153">
        <v>34050</v>
      </c>
      <c r="G138" s="153">
        <v>1</v>
      </c>
      <c r="H138" s="308">
        <v>34050</v>
      </c>
      <c r="I138" s="218">
        <v>0.02</v>
      </c>
      <c r="J138"/>
      <c r="K138"/>
    </row>
    <row r="139" spans="1:11">
      <c r="A139" s="221" t="s">
        <v>409</v>
      </c>
      <c r="B139" s="153" t="s">
        <v>140</v>
      </c>
      <c r="C139" s="153" t="s">
        <v>38</v>
      </c>
      <c r="D139" s="153">
        <v>-10</v>
      </c>
      <c r="E139" s="153">
        <v>0.67</v>
      </c>
      <c r="F139" s="153">
        <v>-6.7</v>
      </c>
      <c r="G139" s="153">
        <v>1</v>
      </c>
      <c r="H139" s="308">
        <v>-6.7</v>
      </c>
      <c r="I139" s="218">
        <v>0</v>
      </c>
      <c r="J139"/>
      <c r="K139"/>
    </row>
    <row r="140" spans="1:11">
      <c r="A140" s="221" t="s">
        <v>286</v>
      </c>
      <c r="B140" s="153" t="s">
        <v>139</v>
      </c>
      <c r="C140" s="153" t="s">
        <v>38</v>
      </c>
      <c r="D140" s="153">
        <v>5500</v>
      </c>
      <c r="E140" s="153">
        <v>111.53</v>
      </c>
      <c r="F140" s="153">
        <v>613415</v>
      </c>
      <c r="G140" s="153">
        <v>1</v>
      </c>
      <c r="H140" s="308">
        <v>613415</v>
      </c>
      <c r="I140" s="218">
        <v>0.3</v>
      </c>
    </row>
    <row r="141" spans="1:11">
      <c r="A141" s="221" t="s">
        <v>26</v>
      </c>
      <c r="B141" s="153" t="s">
        <v>139</v>
      </c>
      <c r="C141" s="153" t="s">
        <v>38</v>
      </c>
      <c r="D141" s="153">
        <v>67500</v>
      </c>
      <c r="E141" s="153">
        <v>91.78</v>
      </c>
      <c r="F141" s="153">
        <v>6195150</v>
      </c>
      <c r="G141" s="153">
        <v>1</v>
      </c>
      <c r="H141" s="308">
        <v>6195150</v>
      </c>
      <c r="I141" s="218">
        <v>3.06</v>
      </c>
    </row>
    <row r="142" spans="1:11">
      <c r="A142" s="221" t="s">
        <v>410</v>
      </c>
      <c r="B142" s="153" t="s">
        <v>140</v>
      </c>
      <c r="C142" s="153" t="s">
        <v>38</v>
      </c>
      <c r="D142" s="153">
        <v>-20</v>
      </c>
      <c r="E142" s="153">
        <v>0.03</v>
      </c>
      <c r="F142" s="153">
        <v>-0.6</v>
      </c>
      <c r="G142" s="153">
        <v>1</v>
      </c>
      <c r="H142" s="308">
        <v>-0.6</v>
      </c>
      <c r="I142" s="218">
        <v>0</v>
      </c>
    </row>
    <row r="143" spans="1:11">
      <c r="A143" s="221" t="s">
        <v>117</v>
      </c>
      <c r="B143" s="153" t="s">
        <v>139</v>
      </c>
      <c r="C143" s="153" t="s">
        <v>38</v>
      </c>
      <c r="D143" s="153">
        <v>199563</v>
      </c>
      <c r="E143" s="153">
        <v>50.41</v>
      </c>
      <c r="F143" s="153">
        <v>10059970.83</v>
      </c>
      <c r="G143" s="153">
        <v>1</v>
      </c>
      <c r="H143" s="308">
        <v>10059970.83</v>
      </c>
      <c r="I143" s="218">
        <v>4.97</v>
      </c>
    </row>
    <row r="144" spans="1:11">
      <c r="A144" s="221" t="s">
        <v>396</v>
      </c>
      <c r="B144" s="153" t="s">
        <v>140</v>
      </c>
      <c r="C144" s="153" t="s">
        <v>38</v>
      </c>
      <c r="D144" s="153">
        <v>-100</v>
      </c>
      <c r="E144" s="153">
        <v>0.5</v>
      </c>
      <c r="F144" s="153">
        <v>-50</v>
      </c>
      <c r="G144" s="153">
        <v>1</v>
      </c>
      <c r="H144" s="308">
        <v>-50</v>
      </c>
      <c r="I144" s="218">
        <v>0</v>
      </c>
    </row>
    <row r="145" spans="1:9">
      <c r="A145" s="221" t="s">
        <v>411</v>
      </c>
      <c r="B145" s="153" t="s">
        <v>140</v>
      </c>
      <c r="C145" s="153" t="s">
        <v>38</v>
      </c>
      <c r="D145" s="153">
        <v>-100</v>
      </c>
      <c r="E145" s="153">
        <v>0.18</v>
      </c>
      <c r="F145" s="153">
        <v>-18</v>
      </c>
      <c r="G145" s="153">
        <v>1</v>
      </c>
      <c r="H145" s="308">
        <v>-18</v>
      </c>
      <c r="I145" s="218">
        <v>0</v>
      </c>
    </row>
    <row r="146" spans="1:9">
      <c r="A146" s="221" t="s">
        <v>436</v>
      </c>
      <c r="B146" s="153" t="s">
        <v>140</v>
      </c>
      <c r="C146" s="153" t="s">
        <v>38</v>
      </c>
      <c r="D146" s="153">
        <v>-100</v>
      </c>
      <c r="E146" s="153">
        <v>0.26</v>
      </c>
      <c r="F146" s="153">
        <v>-26</v>
      </c>
      <c r="G146" s="153">
        <v>1</v>
      </c>
      <c r="H146" s="308">
        <v>-26</v>
      </c>
      <c r="I146" s="218">
        <v>0</v>
      </c>
    </row>
    <row r="147" spans="1:9">
      <c r="A147" s="221" t="s">
        <v>118</v>
      </c>
      <c r="B147" s="153" t="s">
        <v>139</v>
      </c>
      <c r="C147" s="153" t="s">
        <v>38</v>
      </c>
      <c r="D147" s="153">
        <v>24100</v>
      </c>
      <c r="E147" s="153">
        <v>241.39</v>
      </c>
      <c r="F147" s="153">
        <v>5817499</v>
      </c>
      <c r="G147" s="153">
        <v>1</v>
      </c>
      <c r="H147" s="308">
        <v>5817499</v>
      </c>
      <c r="I147" s="218">
        <v>2.87</v>
      </c>
    </row>
    <row r="148" spans="1:9">
      <c r="A148" s="221" t="s">
        <v>437</v>
      </c>
      <c r="B148" s="153" t="s">
        <v>140</v>
      </c>
      <c r="C148" s="153" t="s">
        <v>38</v>
      </c>
      <c r="D148" s="153">
        <v>-41</v>
      </c>
      <c r="E148" s="153">
        <v>6.6</v>
      </c>
      <c r="F148" s="153">
        <v>-270.60000000000002</v>
      </c>
      <c r="G148" s="153">
        <v>1</v>
      </c>
      <c r="H148" s="308">
        <v>-270.60000000000002</v>
      </c>
      <c r="I148" s="218">
        <v>0</v>
      </c>
    </row>
    <row r="149" spans="1:9">
      <c r="A149" s="221" t="s">
        <v>412</v>
      </c>
      <c r="B149" s="153" t="s">
        <v>140</v>
      </c>
      <c r="C149" s="153" t="s">
        <v>38</v>
      </c>
      <c r="D149" s="153">
        <v>-100</v>
      </c>
      <c r="E149" s="153">
        <v>4.3499999999999996</v>
      </c>
      <c r="F149" s="153">
        <v>-434.99999999999989</v>
      </c>
      <c r="G149" s="153">
        <v>1</v>
      </c>
      <c r="H149" s="308">
        <v>-435</v>
      </c>
      <c r="I149" s="218">
        <v>0</v>
      </c>
    </row>
    <row r="150" spans="1:9">
      <c r="A150" s="221" t="s">
        <v>460</v>
      </c>
      <c r="B150" s="153" t="s">
        <v>140</v>
      </c>
      <c r="C150" s="153" t="s">
        <v>38</v>
      </c>
      <c r="D150" s="153">
        <v>-30</v>
      </c>
      <c r="E150" s="153">
        <v>2.54</v>
      </c>
      <c r="F150" s="153">
        <v>-76.2</v>
      </c>
      <c r="G150" s="153">
        <v>1</v>
      </c>
      <c r="H150" s="308">
        <v>-76.2</v>
      </c>
      <c r="I150" s="218">
        <v>0</v>
      </c>
    </row>
    <row r="151" spans="1:9">
      <c r="A151" s="221" t="s">
        <v>461</v>
      </c>
      <c r="B151" s="153" t="s">
        <v>140</v>
      </c>
      <c r="C151" s="153" t="s">
        <v>38</v>
      </c>
      <c r="D151" s="153">
        <v>-20</v>
      </c>
      <c r="E151" s="153">
        <v>1.56</v>
      </c>
      <c r="F151" s="153">
        <v>-31.2</v>
      </c>
      <c r="G151" s="153">
        <v>1</v>
      </c>
      <c r="H151" s="308">
        <v>-31.2</v>
      </c>
      <c r="I151" s="218">
        <v>0</v>
      </c>
    </row>
    <row r="152" spans="1:9">
      <c r="A152" s="221" t="s">
        <v>49</v>
      </c>
      <c r="B152" s="153" t="s">
        <v>44</v>
      </c>
      <c r="C152" s="153" t="s">
        <v>38</v>
      </c>
      <c r="D152" s="153">
        <v>6000</v>
      </c>
      <c r="E152" s="153">
        <v>78.319999999999993</v>
      </c>
      <c r="F152" s="153">
        <v>469919.99999999988</v>
      </c>
      <c r="G152" s="153">
        <v>1</v>
      </c>
      <c r="H152" s="308">
        <v>469920</v>
      </c>
      <c r="I152" s="218">
        <v>0.23</v>
      </c>
    </row>
    <row r="153" spans="1:9">
      <c r="A153" s="221" t="s">
        <v>438</v>
      </c>
      <c r="B153" s="153" t="s">
        <v>140</v>
      </c>
      <c r="C153" s="153" t="s">
        <v>38</v>
      </c>
      <c r="D153" s="153">
        <v>-30</v>
      </c>
      <c r="E153" s="153">
        <v>0.22</v>
      </c>
      <c r="F153" s="153">
        <v>-6.6</v>
      </c>
      <c r="G153" s="153">
        <v>1</v>
      </c>
      <c r="H153" s="308">
        <v>-6.6</v>
      </c>
      <c r="I153" s="218">
        <v>0</v>
      </c>
    </row>
    <row r="154" spans="1:9">
      <c r="A154" s="221" t="s">
        <v>115</v>
      </c>
      <c r="B154" s="153" t="s">
        <v>139</v>
      </c>
      <c r="C154" s="153" t="s">
        <v>38</v>
      </c>
      <c r="D154" s="153">
        <v>31500</v>
      </c>
      <c r="E154" s="153">
        <v>142.18</v>
      </c>
      <c r="F154" s="153">
        <v>4478670</v>
      </c>
      <c r="G154" s="153">
        <v>1</v>
      </c>
      <c r="H154" s="308">
        <v>4478670</v>
      </c>
      <c r="I154" s="218">
        <v>2.21</v>
      </c>
    </row>
    <row r="155" spans="1:9">
      <c r="A155" s="221" t="s">
        <v>131</v>
      </c>
      <c r="B155" s="153" t="s">
        <v>44</v>
      </c>
      <c r="C155" s="153" t="s">
        <v>38</v>
      </c>
      <c r="D155" s="153">
        <v>13500</v>
      </c>
      <c r="E155" s="153">
        <v>60.42</v>
      </c>
      <c r="F155" s="153">
        <v>815670</v>
      </c>
      <c r="G155" s="153">
        <v>1</v>
      </c>
      <c r="H155" s="308">
        <v>815670</v>
      </c>
      <c r="I155" s="218">
        <v>0.4</v>
      </c>
    </row>
    <row r="156" spans="1:9">
      <c r="A156" s="221" t="s">
        <v>365</v>
      </c>
      <c r="B156" s="153" t="s">
        <v>139</v>
      </c>
      <c r="C156" s="153" t="s">
        <v>38</v>
      </c>
      <c r="D156" s="153">
        <v>4300</v>
      </c>
      <c r="E156" s="153">
        <v>193.23</v>
      </c>
      <c r="F156" s="153">
        <v>830889</v>
      </c>
      <c r="G156" s="153">
        <v>1</v>
      </c>
      <c r="H156" s="308">
        <v>830889</v>
      </c>
      <c r="I156" s="218">
        <v>0.41</v>
      </c>
    </row>
    <row r="157" spans="1:9">
      <c r="A157" s="221" t="s">
        <v>284</v>
      </c>
      <c r="B157" s="153" t="s">
        <v>138</v>
      </c>
      <c r="C157" s="153" t="s">
        <v>37</v>
      </c>
      <c r="D157" s="153">
        <v>200000</v>
      </c>
      <c r="E157" s="153">
        <v>3.08</v>
      </c>
      <c r="F157" s="153">
        <v>616000</v>
      </c>
      <c r="G157" s="153">
        <v>1.3553808620222281</v>
      </c>
      <c r="H157" s="308">
        <v>454484.8</v>
      </c>
      <c r="I157" s="218">
        <v>0.22</v>
      </c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D27" sqref="D27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362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323</v>
      </c>
      <c r="O2" s="273"/>
      <c r="P2" s="273"/>
      <c r="Q2" s="273"/>
      <c r="S2" s="273" t="s">
        <v>314</v>
      </c>
      <c r="T2" s="279"/>
      <c r="U2" s="273"/>
    </row>
    <row r="3" spans="2:22">
      <c r="B3" s="109" t="s">
        <v>360</v>
      </c>
      <c r="C3" s="109" t="s">
        <v>361</v>
      </c>
      <c r="D3" s="109" t="s">
        <v>328</v>
      </c>
      <c r="E3" s="109" t="s">
        <v>329</v>
      </c>
      <c r="F3" s="109" t="s">
        <v>330</v>
      </c>
      <c r="G3" s="109" t="s">
        <v>331</v>
      </c>
      <c r="H3" s="109" t="s">
        <v>332</v>
      </c>
      <c r="I3" s="109" t="s">
        <v>333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378</v>
      </c>
      <c r="P3" s="109" t="s">
        <v>324</v>
      </c>
      <c r="Q3" s="109" t="s">
        <v>20</v>
      </c>
      <c r="S3" t="s">
        <v>315</v>
      </c>
      <c r="T3" s="280">
        <f>ROUND(VLOOKUP("Starting Value", 'Email input'!C:D, 2, FALSE),2)</f>
        <v>71204832.620000005</v>
      </c>
    </row>
    <row r="4" spans="2:22">
      <c r="B4" t="s">
        <v>378</v>
      </c>
      <c r="C4" t="s">
        <v>377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6.6201268812814462E-2</v>
      </c>
      <c r="H4" s="8" t="str">
        <f t="shared" si="0"/>
        <v/>
      </c>
      <c r="I4" s="8">
        <f t="shared" ca="1" si="0"/>
        <v>2.3046655406421392E-2</v>
      </c>
      <c r="J4" s="8">
        <f t="shared" ca="1" si="0"/>
        <v>0.15563161138171688</v>
      </c>
      <c r="K4" s="8">
        <f ca="1">J4</f>
        <v>0.15563161138171688</v>
      </c>
      <c r="L4" s="8">
        <f t="shared" ca="1" si="0"/>
        <v>0.15563161138171688</v>
      </c>
      <c r="N4" t="s">
        <v>315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313</v>
      </c>
      <c r="T4" s="286">
        <f>ROUND(VLOOKUP("Deposits &amp; Withdrawals", 'Email input'!C:D, 2, FALSE),2)</f>
        <v>-9000000</v>
      </c>
    </row>
    <row r="5" spans="2:22">
      <c r="B5" t="s">
        <v>324</v>
      </c>
      <c r="C5" t="s">
        <v>359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313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($T$3)*U5</f>
        <v>1040626.7724112342</v>
      </c>
      <c r="U5" s="8">
        <f>VLOOKUP("Commodities", 'Email input'!F:G, 2, FALSE)/100</f>
        <v>1.461455261E-2</v>
      </c>
    </row>
    <row r="6" spans="2:22">
      <c r="B6" t="s">
        <v>334</v>
      </c>
      <c r="C6" t="s">
        <v>358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1.4959994396880939E-2</v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6.1379609999999999E-3</v>
      </c>
      <c r="J6" s="8">
        <f>_xll.BDP($B6,"CURRENT_TRR_MTD")/100</f>
        <v>3.5396810000000001E-2</v>
      </c>
      <c r="K6" s="8">
        <f>_xll.BDP(B6,"CHG_PCT_1M")/100</f>
        <v>1.8797950000000001E-2</v>
      </c>
      <c r="L6" s="8">
        <f t="array" ref="L6">_xll.BDP($B6,"CHG_PCT_YTD")/100</f>
        <v>3.481012E-2</v>
      </c>
      <c r="N6" t="s">
        <v>325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316</v>
      </c>
      <c r="T6" s="286">
        <f>($T$3-T$4)*U6</f>
        <v>11704168.498811966</v>
      </c>
      <c r="U6" s="8">
        <f>VLOOKUP("new_equity", 'Email input'!F:G, 2, FALSE)/100</f>
        <v>0.14592846984999999</v>
      </c>
    </row>
    <row r="7" spans="2:22">
      <c r="B7" t="s">
        <v>335</v>
      </c>
      <c r="C7" t="s">
        <v>357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1.9208391340949461E-2</v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1.3284020000000001E-2</v>
      </c>
      <c r="J7" s="8">
        <f t="array" ref="J7">_xll.BDP($B7,"CURRENT_TRR_MTD")/100</f>
        <v>4.0268140000000001E-2</v>
      </c>
      <c r="K7" s="8">
        <f>_xll.BDP(B7,"CHG_PCT_1M")/100</f>
        <v>1.6268769999999998E-2</v>
      </c>
      <c r="L7" s="8">
        <f t="array" ref="L7">_xll.BDP($B7,"CHG_PCT_YTD")/100</f>
        <v>4.0016340000000004E-2</v>
      </c>
      <c r="N7" s="47" t="s">
        <v>95</v>
      </c>
      <c r="O7" s="295">
        <f ca="1">OFFSET('Historical NAV'!F1,COUNT('Historical NAV'!A:A),,,)</f>
        <v>1622813.8483172953</v>
      </c>
      <c r="P7" s="296" t="s">
        <v>58</v>
      </c>
      <c r="Q7" s="297">
        <f ca="1">SUM(O7:P7)</f>
        <v>1622813.8483172953</v>
      </c>
      <c r="S7" t="s">
        <v>317</v>
      </c>
      <c r="T7" s="286">
        <f>($T$3-T$4)*U7</f>
        <v>198338.59956215406</v>
      </c>
      <c r="U7" s="8">
        <f>VLOOKUP("Fixed Income", 'Email input'!F:G, 2, FALSE)/100</f>
        <v>2.4729008600000001E-3</v>
      </c>
    </row>
    <row r="8" spans="2:22">
      <c r="B8" t="s">
        <v>336</v>
      </c>
      <c r="C8" s="8" t="s">
        <v>337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1.5972047593207816E-2</v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5.4772030000000008E-3</v>
      </c>
      <c r="J8" s="8">
        <f t="array" ref="J8">_xll.BDP($B8,"CURRENT_TRR_MTD")/100</f>
        <v>3.5786650000000003E-2</v>
      </c>
      <c r="K8" s="8">
        <f>_xll.BDP(B8,"CHG_PCT_1M")/100</f>
        <v>2.4846979999999998E-2</v>
      </c>
      <c r="L8" s="8">
        <f t="array" ref="L8">_xll.BDP($B8,"CHG_PCT_YTD")/100</f>
        <v>3.5153879999999998E-2</v>
      </c>
      <c r="N8" t="s">
        <v>326</v>
      </c>
      <c r="O8" s="69">
        <f ca="1">OFFSET('Historical NAV'!J1,COUNT('Historical NAV'!A:A),,,)</f>
        <v>9832269.9685331956</v>
      </c>
      <c r="P8" s="280">
        <f>SUM(P4:P5)*P9</f>
        <v>21512.876600000007</v>
      </c>
      <c r="Q8" s="280">
        <f ca="1">SUM(O8:P8)</f>
        <v>9853782.8451331947</v>
      </c>
      <c r="S8" s="47" t="s">
        <v>318</v>
      </c>
      <c r="T8" s="287">
        <f>($T$3-T$4)*U8</f>
        <v>-470066.90199704788</v>
      </c>
      <c r="U8" s="207">
        <f>VLOOKUP("Cash", 'Email input'!F:G, 2, FALSE)/100</f>
        <v>-5.8608301600000003E-3</v>
      </c>
    </row>
    <row r="9" spans="2:22">
      <c r="B9" t="s">
        <v>338</v>
      </c>
      <c r="C9" s="8" t="s">
        <v>339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6.1611947952598519E-3</v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-7.8042940000000005E-4</v>
      </c>
      <c r="J9" s="8">
        <f t="array" ref="J9">_xll.BDP($B9,"CURRENT_TRR_MTD")/100</f>
        <v>5.07202E-4</v>
      </c>
      <c r="K9" s="8">
        <f>_xll.BDP(B9,"CHG_PCT_1M")/100</f>
        <v>2.8557760000000001E-4</v>
      </c>
      <c r="L9" s="8">
        <f t="array" ref="L9">_xll.BDP($B9,"CHG_PCT_YTD")/100</f>
        <v>5.07202E-4</v>
      </c>
      <c r="N9" t="s">
        <v>327</v>
      </c>
      <c r="O9" s="8">
        <f ca="1">OFFSET('Historical NAV'!K1,COUNT('Historical NAV'!A:A),,,)</f>
        <v>0.15563161138171688</v>
      </c>
      <c r="P9" s="285">
        <f>J5</f>
        <v>1.0000000000000002E-2</v>
      </c>
      <c r="S9" t="s">
        <v>319</v>
      </c>
      <c r="T9" s="288">
        <f>SUM(T5:T8)</f>
        <v>12473066.968788305</v>
      </c>
      <c r="V9" s="312">
        <f>T9/(T3+T4)</f>
        <v>0.20051604422737379</v>
      </c>
    </row>
    <row r="10" spans="2:22" ht="15.75" thickBot="1">
      <c r="B10" t="s">
        <v>355</v>
      </c>
      <c r="C10" s="8" t="s">
        <v>356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-5.1294315964886426E-3</v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-4.171976E-3</v>
      </c>
      <c r="J10" s="8">
        <f t="array" ref="J10">_xll.BDP($B10,"CURRENT_TRR_MTD")/100</f>
        <v>4.4579319999999999E-2</v>
      </c>
      <c r="K10" s="8">
        <f>_xll.BDP(B10,"CHG_PCT_1M")/100</f>
        <v>5.8236780000000002E-2</v>
      </c>
      <c r="L10" s="8">
        <f t="array" ref="L10">_xll.BDP($B10,"CHG_PCT_YTD")/100</f>
        <v>4.4579319999999999E-2</v>
      </c>
      <c r="N10" s="275" t="s">
        <v>322</v>
      </c>
      <c r="O10" s="281">
        <f ca="1">O4+O5+O8</f>
        <v>72037102.588533193</v>
      </c>
      <c r="P10" s="276">
        <f>P4+P5+P8</f>
        <v>2172800.5366000002</v>
      </c>
      <c r="Q10" s="281">
        <f ca="1">SUM(O10:P10)</f>
        <v>74209903.125133187</v>
      </c>
      <c r="S10" t="s">
        <v>320</v>
      </c>
      <c r="T10" s="286">
        <f>SUM('Email input'!D5:D10)</f>
        <v>-350810.90978350001</v>
      </c>
      <c r="U10" s="8"/>
    </row>
    <row r="11" spans="2:22" ht="15.75" hidden="1" outlineLevel="1" thickTop="1">
      <c r="O11" s="283"/>
      <c r="P11" s="283"/>
      <c r="Q11" s="283"/>
      <c r="S11" t="s">
        <v>363</v>
      </c>
      <c r="T11" s="294">
        <v>-2423351.1476062983</v>
      </c>
      <c r="U11" s="8"/>
    </row>
    <row r="12" spans="2:22" ht="15.75" collapsed="1" thickTop="1">
      <c r="S12" t="s">
        <v>321</v>
      </c>
      <c r="T12" s="280">
        <f>SUM('Email input'!D10:D13)</f>
        <v>133365.05857877</v>
      </c>
      <c r="U12" s="8"/>
    </row>
    <row r="13" spans="2:22" ht="15.75" thickBot="1">
      <c r="S13" s="275" t="s">
        <v>322</v>
      </c>
      <c r="T13" s="281">
        <f>T3+T4+T9+T10+T12+T11</f>
        <v>72037102.589977294</v>
      </c>
      <c r="U13" s="277"/>
    </row>
    <row r="14" spans="2:22" ht="15.75" thickTop="1"/>
    <row r="15" spans="2:22" s="289" customFormat="1">
      <c r="T15" s="290"/>
    </row>
    <row r="16" spans="2:22">
      <c r="B16" t="s">
        <v>351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350</v>
      </c>
      <c r="P16" s="310">
        <v>2151287.66</v>
      </c>
      <c r="S16" t="s">
        <v>349</v>
      </c>
      <c r="T16" s="282">
        <f ca="1">OFFSET('Historical NAV'!B1,COUNT('Historical NAV'!A:A),,,)</f>
        <v>72037102.589977294</v>
      </c>
    </row>
    <row r="17" spans="2:21">
      <c r="B17" t="s">
        <v>352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72037102.589977294</v>
      </c>
    </row>
    <row r="18" spans="2:21">
      <c r="B18" t="s">
        <v>353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6.6201268812814462E-2</v>
      </c>
      <c r="H18" s="298"/>
      <c r="I18" s="8">
        <f ca="1">Dashboard!B9</f>
        <v>2.3046655406421392E-2</v>
      </c>
      <c r="J18" s="8">
        <f ca="1">Dashboard!B5</f>
        <v>0.15563161138171688</v>
      </c>
      <c r="K18" s="8"/>
      <c r="L18" s="69">
        <f ca="1">Dashboard!B6</f>
        <v>0.15563161138171688</v>
      </c>
      <c r="O18" s="69"/>
      <c r="T18" s="284">
        <f ca="1">T16-T17</f>
        <v>0</v>
      </c>
    </row>
    <row r="19" spans="2:21">
      <c r="B19" t="s">
        <v>354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366</v>
      </c>
      <c r="B1" s="282" t="s">
        <v>346</v>
      </c>
      <c r="C1" t="s">
        <v>367</v>
      </c>
      <c r="D1" s="282" t="s">
        <v>368</v>
      </c>
      <c r="F1" t="s">
        <v>150</v>
      </c>
      <c r="G1" t="s">
        <v>150</v>
      </c>
    </row>
    <row r="2" spans="1:7">
      <c r="A2" t="s">
        <v>366</v>
      </c>
      <c r="B2" s="282" t="s">
        <v>347</v>
      </c>
      <c r="C2" t="s">
        <v>340</v>
      </c>
      <c r="D2" s="282">
        <v>71204832.621444106</v>
      </c>
      <c r="F2" t="s">
        <v>346</v>
      </c>
      <c r="G2" t="s">
        <v>347</v>
      </c>
    </row>
    <row r="3" spans="1:7">
      <c r="A3" t="s">
        <v>366</v>
      </c>
      <c r="B3" s="282" t="s">
        <v>347</v>
      </c>
      <c r="C3" t="s">
        <v>341</v>
      </c>
      <c r="D3" s="282">
        <v>10187942.9254699</v>
      </c>
      <c r="F3" t="s">
        <v>165</v>
      </c>
      <c r="G3" t="s">
        <v>20</v>
      </c>
    </row>
    <row r="4" spans="1:7">
      <c r="A4" t="s">
        <v>366</v>
      </c>
      <c r="B4" s="282" t="s">
        <v>347</v>
      </c>
      <c r="C4" t="s">
        <v>342</v>
      </c>
      <c r="D4" s="282">
        <v>-9000000</v>
      </c>
      <c r="F4" t="s">
        <v>44</v>
      </c>
      <c r="G4">
        <v>1.461455261</v>
      </c>
    </row>
    <row r="5" spans="1:7">
      <c r="A5" t="s">
        <v>366</v>
      </c>
      <c r="B5" s="282" t="s">
        <v>347</v>
      </c>
      <c r="C5" t="s">
        <v>462</v>
      </c>
      <c r="D5" s="282">
        <v>-10.1312549</v>
      </c>
      <c r="F5" t="s">
        <v>317</v>
      </c>
      <c r="G5">
        <v>0.24729008599999999</v>
      </c>
    </row>
    <row r="6" spans="1:7">
      <c r="A6" t="s">
        <v>366</v>
      </c>
      <c r="B6" s="282" t="s">
        <v>347</v>
      </c>
      <c r="C6" t="s">
        <v>388</v>
      </c>
      <c r="D6" s="282">
        <v>49967.11</v>
      </c>
      <c r="F6" t="s">
        <v>318</v>
      </c>
      <c r="G6">
        <v>-0.58608301600000001</v>
      </c>
    </row>
    <row r="7" spans="1:7">
      <c r="A7" t="s">
        <v>366</v>
      </c>
      <c r="B7" s="282" t="s">
        <v>347</v>
      </c>
      <c r="C7" t="s">
        <v>389</v>
      </c>
      <c r="D7" s="282">
        <v>-10420.459999999999</v>
      </c>
    </row>
    <row r="8" spans="1:7">
      <c r="A8" t="s">
        <v>366</v>
      </c>
      <c r="B8" s="282" t="s">
        <v>347</v>
      </c>
      <c r="C8" t="s">
        <v>343</v>
      </c>
      <c r="D8" s="282">
        <v>12447.5773135</v>
      </c>
      <c r="F8" t="s">
        <v>348</v>
      </c>
      <c r="G8">
        <v>14.592846985</v>
      </c>
    </row>
    <row r="9" spans="1:7">
      <c r="A9" t="s">
        <v>366</v>
      </c>
      <c r="B9" s="282" t="s">
        <v>347</v>
      </c>
      <c r="C9" t="s">
        <v>385</v>
      </c>
      <c r="D9" s="282">
        <v>-540990.49269069999</v>
      </c>
    </row>
    <row r="10" spans="1:7">
      <c r="A10" t="s">
        <v>366</v>
      </c>
      <c r="B10" s="282" t="s">
        <v>347</v>
      </c>
      <c r="C10" t="s">
        <v>344</v>
      </c>
      <c r="D10" s="282">
        <v>138195.48684860001</v>
      </c>
    </row>
    <row r="11" spans="1:7">
      <c r="A11" t="s">
        <v>366</v>
      </c>
      <c r="B11" s="282" t="s">
        <v>347</v>
      </c>
      <c r="C11" t="s">
        <v>43</v>
      </c>
      <c r="D11" s="282">
        <v>-414.57</v>
      </c>
    </row>
    <row r="12" spans="1:7">
      <c r="A12" t="s">
        <v>366</v>
      </c>
      <c r="B12" s="282" t="s">
        <v>347</v>
      </c>
      <c r="C12" t="s">
        <v>18</v>
      </c>
      <c r="D12" s="282">
        <v>-4013.5754103999998</v>
      </c>
    </row>
    <row r="13" spans="1:7">
      <c r="A13" t="s">
        <v>366</v>
      </c>
      <c r="B13" s="282" t="s">
        <v>347</v>
      </c>
      <c r="C13" t="s">
        <v>384</v>
      </c>
      <c r="D13" s="282">
        <v>-402.28285942999997</v>
      </c>
    </row>
    <row r="14" spans="1:7">
      <c r="A14" t="s">
        <v>366</v>
      </c>
      <c r="B14" s="282" t="s">
        <v>347</v>
      </c>
      <c r="C14" t="s">
        <v>345</v>
      </c>
      <c r="D14" s="282">
        <v>-31.618883499999999</v>
      </c>
    </row>
    <row r="15" spans="1:7">
      <c r="A15" t="s">
        <v>366</v>
      </c>
      <c r="B15" s="282" t="s">
        <v>347</v>
      </c>
      <c r="C15" t="s">
        <v>322</v>
      </c>
      <c r="D15" s="282">
        <v>72037102.589977294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72037102.589977294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9832269.9685331956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0.15563161138171688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0.20911197195223252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2.3046655406421392E-2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1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1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/>
      <c r="F1182" s="67"/>
      <c r="G1182" s="67"/>
      <c r="H1182" s="67"/>
      <c r="I1182" s="70"/>
      <c r="J1182" s="67"/>
      <c r="K1182" s="70"/>
      <c r="L1182" s="70"/>
      <c r="M1182" s="70"/>
      <c r="N1182" s="70"/>
      <c r="O1182" s="70"/>
      <c r="P1182" s="70"/>
      <c r="Q1182" s="67"/>
      <c r="R1182" s="70"/>
      <c r="S1182" s="67"/>
      <c r="T1182" s="70"/>
      <c r="U1182" s="67"/>
      <c r="V1182" s="70"/>
      <c r="W1182" s="87"/>
      <c r="X1182" s="142"/>
      <c r="Y1182" s="139"/>
      <c r="Z1182" s="139"/>
      <c r="AA1182" s="139"/>
      <c r="AB1182" s="144"/>
      <c r="AC1182" s="144"/>
      <c r="AD1182" s="144"/>
      <c r="AE1182" s="144"/>
    </row>
    <row r="1183" spans="1:31">
      <c r="A1183" s="172"/>
      <c r="F1183" s="67"/>
      <c r="G1183" s="67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F1184" s="67"/>
      <c r="G1184" s="67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6:31"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6:31"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6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6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6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6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6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6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6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6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6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6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6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6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6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6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86672148.311444104</v>
      </c>
      <c r="D6" s="347"/>
      <c r="E6" s="348"/>
      <c r="F6" s="346">
        <f ca="1">OFFSET('Historical NAV'!E1, COUNT('Historical NAV'!A:A),,,)</f>
        <v>71204832.621444106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0.82154226021466104</v>
      </c>
      <c r="G8" s="349">
        <f ca="1">G6/$C$6</f>
        <v>0.17728275541049623</v>
      </c>
      <c r="H8" s="349">
        <f ca="1">H6/$C$6</f>
        <v>1.1749843748427469E-3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72037102.589977294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9832269.9685331956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0.15563161138171688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1622813.8483172953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2.3046655406421392E-2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27" t="s">
        <v>66</v>
      </c>
      <c r="B23" s="328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2025-01-23T09:07:33Z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