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A3E77174-5136-42D8-86A2-060F0E431763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16" l="1" a="1"/>
  <c r="D6" i="16"/>
  <c r="D10" i="16" a="1"/>
  <c r="D10" i="16"/>
  <c r="D9" i="16" a="1"/>
  <c r="D9" i="16"/>
  <c r="D7" i="16" a="1"/>
  <c r="D7" i="16"/>
  <c r="D8" i="16" a="1"/>
  <c r="D8" i="16"/>
  <c r="H7" i="16" a="1"/>
  <c r="H7" i="16"/>
  <c r="H9" i="16" a="1"/>
  <c r="H9" i="16"/>
  <c r="H6" i="16" a="1"/>
  <c r="H6" i="16"/>
  <c r="H8" i="16" a="1"/>
  <c r="H8" i="16"/>
  <c r="H10" i="16" a="1"/>
  <c r="H10" i="16"/>
  <c r="G6" i="16" a="1"/>
  <c r="G6" i="16"/>
  <c r="G8" i="16" a="1"/>
  <c r="G8" i="16"/>
  <c r="G7" i="16" a="1"/>
  <c r="G7" i="16"/>
  <c r="G10" i="16" a="1"/>
  <c r="G10" i="16"/>
  <c r="G9" i="16" a="1"/>
  <c r="G9" i="16"/>
  <c r="K6" i="16"/>
  <c r="K9" i="16"/>
  <c r="L9" i="16" a="1"/>
  <c r="L9" i="16"/>
  <c r="K8" i="16"/>
  <c r="K10" i="16"/>
  <c r="L10" i="16" a="1"/>
  <c r="L10" i="16"/>
  <c r="J9" i="16" a="1"/>
  <c r="J9" i="16"/>
  <c r="K7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E7" i="16" a="1"/>
  <c r="E7" i="16"/>
  <c r="E8" i="16" a="1"/>
  <c r="E8" i="16"/>
  <c r="E9" i="16" a="1"/>
  <c r="E9" i="16"/>
  <c r="E10" i="16" a="1"/>
  <c r="E10" i="16"/>
  <c r="E6" i="16" a="1"/>
  <c r="E6" i="16"/>
  <c r="F6" i="16" a="1"/>
  <c r="F6" i="16"/>
  <c r="F8" i="16" a="1"/>
  <c r="F8" i="16"/>
  <c r="F7" i="16" a="1"/>
  <c r="F7" i="16"/>
  <c r="F9" i="16" a="1"/>
  <c r="F9" i="16"/>
  <c r="F10" i="16" a="1"/>
  <c r="F10" i="16"/>
  <c r="J19" i="16"/>
  <c r="F17" i="16"/>
  <c r="G17" i="16" s="1"/>
  <c r="H17" i="16" s="1"/>
  <c r="E17" i="16"/>
  <c r="T16" i="16"/>
  <c r="F16" i="16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G22" i="4"/>
  <c r="H22" i="4"/>
  <c r="D23" i="4"/>
  <c r="F22" i="4"/>
  <c r="E23" i="4"/>
  <c r="F23" i="4"/>
  <c r="C22" i="4"/>
  <c r="G23" i="4"/>
  <c r="D22" i="4"/>
  <c r="H23" i="4"/>
  <c r="E22" i="4"/>
  <c r="C23" i="4"/>
  <c r="C24" i="4"/>
  <c r="P9" i="16" l="1"/>
  <c r="P8" i="16" s="1"/>
  <c r="Q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A1185" i="14"/>
  <c r="L195" i="13"/>
  <c r="A195" i="13"/>
  <c r="X1187" i="3"/>
  <c r="D1187" i="3"/>
  <c r="O10" i="16" l="1"/>
  <c r="Q10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Q6" i="16" l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P1187" i="3" l="1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P1169" i="3"/>
  <c r="O1169" i="3"/>
  <c r="Y1169" i="3"/>
  <c r="Z1169" i="3" s="1"/>
  <c r="AA1169" i="3" s="1"/>
  <c r="K1169" i="3"/>
  <c r="L1169" i="3"/>
  <c r="N1187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85" i="3" l="1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0" i="3"/>
  <c r="J1180" i="3"/>
  <c r="J1181" i="3" s="1"/>
  <c r="J1182" i="3" s="1"/>
  <c r="J1183" i="3" s="1"/>
  <c r="J1184" i="3" s="1"/>
  <c r="J1185" i="3" s="1"/>
  <c r="J1186" i="3" s="1"/>
  <c r="J1187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K1184" i="3" s="1"/>
  <c r="K1185" i="3" s="1"/>
  <c r="K1186" i="3" s="1"/>
  <c r="K1187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AC1187" i="3" s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H1155" i="14" l="1"/>
  <c r="I1155" i="14" s="1"/>
  <c r="Q1185" i="14"/>
  <c r="R1185" i="14" s="1"/>
  <c r="F1157" i="3"/>
  <c r="Q1187" i="3"/>
  <c r="R1187" i="3" s="1"/>
  <c r="L1155" i="14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H1154" i="14" l="1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L1153" i="14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4" i="3" l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Y1150" i="3"/>
  <c r="Z1150" i="3" s="1"/>
  <c r="AA1150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2" i="3" l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AC1180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L1152" i="14" l="1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S1187" i="3" s="1"/>
  <c r="T1187" i="3" s="1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096" i="3" l="1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AD1187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Y1094" i="14" l="1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20" i="14" l="1"/>
  <c r="I820" i="14" s="1"/>
  <c r="U1185" i="14"/>
  <c r="V1185" i="14" s="1"/>
  <c r="H819" i="14"/>
  <c r="I819" i="14" s="1"/>
  <c r="U1184" i="14"/>
  <c r="V1184" i="14" s="1"/>
  <c r="H818" i="14"/>
  <c r="I818" i="14" s="1"/>
  <c r="U1183" i="14"/>
  <c r="V1183" i="14" s="1"/>
  <c r="H817" i="14"/>
  <c r="I817" i="14" s="1"/>
  <c r="U1182" i="14"/>
  <c r="V1182" i="14" s="1"/>
  <c r="H816" i="14"/>
  <c r="I816" i="14" s="1"/>
  <c r="U1181" i="14"/>
  <c r="V1181" i="14" s="1"/>
  <c r="H815" i="14"/>
  <c r="I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4" i="14" l="1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1" i="14" l="1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85" i="14" l="1"/>
  <c r="O1185" i="14"/>
  <c r="W1185" i="14" s="1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84" i="14" l="1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5" i="14" l="1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2" i="3" l="1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Y811" i="3" l="1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87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L794" i="3" l="1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6" i="3" l="1"/>
  <c r="AA936" i="3" s="1"/>
  <c r="AB1187" i="3"/>
  <c r="Z935" i="3"/>
  <c r="AA935" i="3" s="1"/>
  <c r="AB1186" i="3"/>
  <c r="Z934" i="3"/>
  <c r="AA934" i="3" s="1"/>
  <c r="AB1185" i="3"/>
  <c r="Z933" i="3"/>
  <c r="AA933" i="3" s="1"/>
  <c r="AB1184" i="3" s="1"/>
  <c r="Z932" i="3"/>
  <c r="AA932" i="3" s="1"/>
  <c r="AB1183" i="3"/>
  <c r="Z931" i="3"/>
  <c r="AA931" i="3" s="1"/>
  <c r="AB1182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0" i="3" l="1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63" i="3"/>
  <c r="M37" i="3"/>
  <c r="M71" i="3"/>
  <c r="M24" i="3"/>
  <c r="M141" i="3"/>
  <c r="M99" i="3"/>
  <c r="M148" i="3"/>
  <c r="M47" i="3"/>
  <c r="M110" i="3"/>
  <c r="M85" i="3"/>
  <c r="M142" i="3"/>
  <c r="M161" i="3"/>
  <c r="M31" i="3"/>
  <c r="M94" i="3"/>
  <c r="M77" i="3"/>
  <c r="M108" i="3"/>
  <c r="M91" i="3"/>
  <c r="M90" i="3"/>
  <c r="M139" i="3"/>
  <c r="M169" i="3"/>
  <c r="M145" i="3"/>
  <c r="M82" i="3"/>
  <c r="M78" i="3"/>
  <c r="M61" i="3"/>
  <c r="M92" i="3"/>
  <c r="M75" i="3"/>
  <c r="M74" i="3"/>
  <c r="M38" i="3"/>
  <c r="M138" i="3"/>
  <c r="M100" i="3"/>
  <c r="M129" i="3"/>
  <c r="M67" i="3"/>
  <c r="M62" i="3"/>
  <c r="M45" i="3"/>
  <c r="M76" i="3"/>
  <c r="M59" i="3"/>
  <c r="M162" i="3"/>
  <c r="M155" i="3"/>
  <c r="M36" i="3"/>
  <c r="M113" i="3"/>
  <c r="M46" i="3"/>
  <c r="M29" i="3"/>
  <c r="M60" i="3"/>
  <c r="M43" i="3"/>
  <c r="M42" i="3"/>
  <c r="M30" i="3"/>
  <c r="M44" i="3"/>
  <c r="M27" i="3"/>
  <c r="M26" i="3"/>
  <c r="M57" i="3"/>
  <c r="M88" i="3"/>
  <c r="M103" i="3"/>
  <c r="M166" i="3"/>
  <c r="M118" i="3"/>
  <c r="M87" i="3"/>
  <c r="M133" i="3"/>
  <c r="M86" i="3"/>
  <c r="M54" i="3"/>
  <c r="M69" i="3"/>
  <c r="M48" i="3"/>
  <c r="M125" i="3"/>
  <c r="M84" i="3"/>
  <c r="M65" i="3"/>
  <c r="M156" i="3"/>
  <c r="M49" i="3"/>
  <c r="M144" i="3"/>
  <c r="M114" i="3"/>
  <c r="M35" i="3"/>
  <c r="M164" i="3"/>
  <c r="M52" i="3"/>
  <c r="M116" i="3"/>
  <c r="M33" i="3"/>
  <c r="M154" i="3"/>
  <c r="M96" i="3"/>
  <c r="M127" i="3"/>
  <c r="M131" i="3"/>
  <c r="M80" i="3"/>
  <c r="M111" i="3"/>
  <c r="M170" i="3"/>
  <c r="M83" i="3"/>
  <c r="M51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143" i="3" l="1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7" i="3" l="1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<sst xmlns="http://schemas.openxmlformats.org/spreadsheetml/2006/main" count="785" uniqueCount="354">
  <si>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</si>
  <si>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</si>
  <si>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</si>
  <si>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</si>
  <si>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</si>
  <si>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</si>
  <si>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</si>
  <si>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</si>
  <si>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</si>
  <si>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</si>
  <si>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</si>
  <si>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</si>
  <si>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</si>
  <si>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</si>
  <si>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</si>
  <si>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</si>
  <si>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</si>
  <si>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</si>
  <si>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</si>
  <si>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</si>
  <si>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</si>
  <si>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</si>
  <si>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</si>
  <si>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</si>
  <si>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</si>
  <si>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</si>
  <si>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</si>
  <si>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</si>
  <si>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</si>
  <si>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</si>
  <si>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</si>
  <si>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</si>
  <si>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</si>
  <si>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</si>
  <si>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</si>
  <si>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</si>
  <si>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</si>
  <si>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</si>
  <si>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</si>
  <si>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</si>
  <si>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</si>
  <si>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</si>
  <si>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</si>
  <si>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</si>
  <si>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</si>
  <si>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</si>
  <si>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</si>
  <si>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</si>
  <si>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</si>
  <si>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</si>
  <si>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</si>
  <si>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</si>
  <si>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</si>
  <si>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</si>
  <si>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</si>
  <si>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</si>
  <si>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</si>
  <si>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</si>
  <si>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</si>
  <si>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</si>
  <si>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</si>
  <si>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</si>
  <si>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</si>
  <si>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</si>
  <si>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</si>
  <si>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</si>
  <si>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</si>
  <si>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</si>
  <si>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</si>
  <si>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</si>
  <si>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</si>
  <si>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</si>
  <si>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</si>
  <si>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</si>
  <si>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</si>
  <si>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</si>
  <si>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</si>
  <si>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</si>
  <si>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</si>
  <si>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</si>
  <si>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</si>
  <si>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</si>
  <si>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</si>
  <si>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</si>
  <si>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</si>
  <si>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</si>
  <si>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</si>
  <si>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</si>
  <si>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</si>
  <si>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</si>
  <si>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</si>
  <si>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</si>
  <si>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</si>
  <si>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</si>
  <si>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</si>
  <si>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</si>
  <si>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</si>
  <si>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</si>
  <si>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</si>
  <si>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</si>
  <si>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</si>
  <si>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</si>
  <si>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</si>
  <si>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</si>
  <si>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</si>
  <si>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</si>
  <si>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</si>
  <si>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</si>
  <si>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</si>
  <si>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</si>
  <si>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</si>
  <si>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</si>
  <si>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</si>
  <si>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</si>
  <si>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</si>
  <si>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</si>
  <si>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</si>
  <si>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</si>
  <si>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</si>
  <si>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</si>
  <si>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</si>
  <si>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</si>
  <si>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</si>
  <si>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</si>
  <si>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</si>
  <si>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</si>
  <si>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</si>
  <si>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</si>
  <si>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</si>
  <si>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</si>
  <si>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</si>
  <si>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</si>
  <si>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</si>
  <si>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</si>
  <si>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</si>
  <si>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</si>
  <si>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</si>
  <si>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</si>
  <si>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</si>
  <si>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</si>
  <si>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</si>
  <si>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</si>
  <si>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</si>
  <si>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</si>
  <si>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</si>
  <si>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</si>
  <si>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</si>
  <si>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</si>
  <si>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</si>
  <si>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</si>
  <si>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</si>
  <si>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</si>
  <si>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</si>
  <si>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</si>
  <si>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</si>
  <si>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</si>
  <si>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</si>
  <si>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</si>
  <si>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</si>
  <si>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</si>
  <si>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</si>
  <si>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</si>
  <si>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</si>
  <si>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</si>
  <si>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</si>
  <si>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</si>
  <si>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</si>
  <si>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</si>
  <si>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</si>
  <si>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</si>
  <si>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</si>
  <si>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</si>
  <si>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</si>
  <si>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</si>
  <si>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</si>
  <si>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</si>
  <si>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</si>
  <si>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</si>
  <si>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</si>
  <si>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</si>
  <si>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</si>
  <si>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</si>
  <si>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</si>
  <si>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</si>
  <si>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</si>
  <si>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</si>
  <si>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</si>
  <si>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</si>
  <si>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</si>
  <si>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</si>
  <si>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</si>
  <si>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</si>
  <si>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</si>
  <si>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</si>
  <si>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</si>
  <si>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</si>
  <si>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</si>
  <si>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</si>
  <si>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</si>
  <si>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</si>
  <si>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</si>
  <si>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</si>
  <si>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</si>
  <si>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</si>
  <si>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</si>
  <si>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</si>
  <si>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</si>
  <si>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</si>
  <si>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</si>
  <si>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</si>
  <si>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</si>
  <si>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</si>
  <si>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</si>
  <si>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</si>
  <si>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</si>
  <si>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</si>
  <si>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</si>
  <si>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</si>
  <si>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</si>
  <si>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</si>
  <si>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</si>
  <si>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</si>
  <si>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</si>
  <si>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</si>
  <si>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</si>
  <si>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</si>
  <si>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</si>
  <si>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</si>
  <si>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</si>
  <si>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</si>
  <si>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</si>
  <si>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</si>
  <si>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</si>
  <si>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</si>
  <si>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</si>
  <si>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</si>
  <si>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</si>
  <si>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</si>
  <si>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</si>
  <si>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</si>
  <si>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</si>
  <si>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</si>
  <si>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</si>
  <si>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</si>
  <si>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</si>
  <si>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</si>
  <si>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</si>
  <si>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</si>
  <si>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</si>
  <si>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</si>
  <si>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</si>
  <si>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</si>
  <si>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</si>
  <si>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</si>
  <si>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</si>
  <si>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</si>
  <si>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</si>
  <si>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</si>
  <si>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</si>
  <si>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</si>
  <si>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</si>
  <si>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</si>
  <si>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</si>
  <si>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</si>
  <si>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</si>
  <si>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</si>
  <si>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</si>
  <si>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</si>
  <si>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</si>
  <si>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</si>
  <si>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</si>
  <si>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</si>
  <si>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</si>
  <si>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</si>
  <si>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</si>
  <si>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</si>
  <si>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</si>
  <si>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</si>
  <si>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</si>
  <si>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</si>
  <si>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</si>
  <si>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</si>
  <si>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</si>
  <si>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</si>
  <si>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</si>
  <si>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</si>
  <si>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</si>
  <si>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</si>
  <si>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</si>
  <si>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</si>
  <si>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</si>
  <si>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</si>
  <si>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</si>
  <si>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</si>
  <si>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</si>
  <si>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</si>
  <si>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</si>
  <si>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</si>
  <si>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</si>
  <si>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</si>
  <si>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</si>
  <si>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</si>
  <si>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</si>
  <si>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</si>
  <si>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</si>
  <si>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</si>
  <si>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</si>
  <si>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</si>
  <si>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</si>
  <si>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</si>
  <si>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</si>
  <si>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</si>
  <si>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</si>
  <si>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</si>
  <si>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</si>
  <si>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</si>
  <si>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</si>
  <si>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</si>
  <si>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</si>
  <si>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</si>
  <si>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</si>
  <si>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</si>
  <si>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</si>
  <si>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</si>
  <si>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</si>
  <si>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</si>
  <si>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</si>
  <si>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</si>
  <si>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</si>
  <si>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</si>
  <si>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</si>
  <si>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</si>
  <si>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</si>
  <si>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</si>
  <si>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</si>
  <si>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</si>
  <si>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</si>
  <si>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</si>
  <si>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</si>
  <si>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</si>
  <si>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</si>
  <si>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</si>
  <si>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</si>
  <si>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</si>
  <si>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</si>
  <si>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</si>
  <si>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Transaction Fees</t>
  </si>
  <si>
    <t>Interest</t>
  </si>
  <si>
    <t>Dividends</t>
  </si>
  <si>
    <t>Withholding Tax</t>
  </si>
  <si>
    <t>Internal Transfers</t>
  </si>
  <si>
    <t>NVDA 16JAN26 110 C</t>
  </si>
  <si>
    <t>NVDA 31JAN25 115 P</t>
  </si>
  <si>
    <t>NVDA 31JAN25 119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</si>
</sst>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Data...3855371337</v>
        <stp/>
        <stp>BDP|17488990371770934291</stp>
        <tr r="L9" s="16"/>
      </tp>
      <tp t="s">
        <v>#N/A Requesting Data...4083812657</v>
        <stp/>
        <stp>BDP|12334903160624343193</stp>
        <tr r="H7" s="16"/>
      </tp>
      <tp t="s">
        <v>#N/A Requesting Data...3903304863</v>
        <stp/>
        <stp>BDP|11631739781717341169</stp>
        <tr r="D10" s="16"/>
      </tp>
      <tp t="s">
        <v>#N/A Requesting Data...3638751042</v>
        <stp/>
        <stp>BDP|12503804164161346560</stp>
        <tr r="H23" s="4"/>
      </tp>
      <tp t="s">
        <v>#N/A Requesting Data...4170816146</v>
        <stp/>
        <stp>BDP|15038974491608239300</stp>
        <tr r="E8" s="16"/>
      </tp>
      <tp t="s">
        <v>#N/A Requesting Data...3822188041</v>
        <stp/>
        <stp>BDP|18194437827130447215</stp>
        <tr r="K6" s="16"/>
      </tp>
      <tp t="s">
        <v>#N/A Requesting Data...3809473384</v>
        <stp/>
        <stp>BDP|14342216399620183288</stp>
        <tr r="F7" s="16"/>
      </tp>
      <tp t="s">
        <v>#N/A Requesting Data...3710619007</v>
        <stp/>
        <stp>BDP|12868917489186433836</stp>
        <tr r="D22" s="4"/>
      </tp>
      <tp t="s">
        <v>#N/A Requesting Data...4152247157</v>
        <stp/>
        <stp>BDP|17458564132487035495</stp>
        <tr r="G6" s="16"/>
      </tp>
      <tp t="s">
        <v>#N/A Requesting Data...3646505077</v>
        <stp/>
        <stp>BDP|11441239167720550763</stp>
        <tr r="G22" s="4"/>
      </tp>
      <tp t="s">
        <v>#N/A Requesting Data...4084520504</v>
        <stp/>
        <stp>BDP|12134806195186667708</stp>
        <tr r="F9" s="16"/>
      </tp>
      <tp t="s">
        <v>#N/A Requesting Data...3684684827</v>
        <stp/>
        <stp>BDP|15571183826414458091</stp>
        <tr r="F23" s="4"/>
      </tp>
      <tp t="s">
        <v>#N/A Requesting Data...3732838685</v>
        <stp/>
        <stp>BDP|16691583684581330968</stp>
        <tr r="F22" s="4"/>
      </tp>
      <tp t="s">
        <v>#N/A Requesting Data...3983369739</v>
        <stp/>
        <stp>BDP|10851542879122214334</stp>
        <tr r="K7" s="16"/>
      </tp>
      <tp t="s">
        <v>#N/A Requesting Data...4214897049</v>
        <stp/>
        <stp>BDP|13033893993631589338</stp>
        <tr r="C24" s="4"/>
      </tp>
      <tp t="s">
        <v>#N/A Requesting Data...4212586457</v>
        <stp/>
        <stp>BDP|15628696981164784920</stp>
        <tr r="F6" s="16"/>
      </tp>
      <tp t="s">
        <v>#N/A Requesting Data...3704028771</v>
        <stp/>
        <stp>BDP|17421494076265054774</stp>
        <tr r="D6" s="16"/>
      </tp>
      <tp t="s">
        <v>#N/A Requesting Data...4104443443</v>
        <stp/>
        <stp>BDP|11395363488884515847</stp>
        <tr r="E22" s="4"/>
      </tp>
      <tp t="s">
        <v>#N/A Requesting Data...3948429466</v>
        <stp/>
        <stp>BDP|11453968001806112847</stp>
        <tr r="L10" s="16"/>
      </tp>
      <tp t="s">
        <v>#N/A Requesting Data...4247689923</v>
        <stp/>
        <stp>BDP|14662245951000286439</stp>
        <tr r="C22" s="4"/>
      </tp>
      <tp t="s">
        <v>#N/A Requesting Data...3831655926</v>
        <stp/>
        <stp>BDP|16854102045504656375</stp>
        <tr r="K10" s="16"/>
      </tp>
      <tp t="s">
        <v>#N/A Requesting Data...4206597374</v>
        <stp/>
        <stp>BDP|17541570393706762923</stp>
        <tr r="K9" s="16"/>
      </tp>
      <tp t="s">
        <v>#N/A Requesting Data...3943270388</v>
        <stp/>
        <stp>BDP|14370156815235148488</stp>
        <tr r="F8" s="16"/>
      </tp>
      <tp t="s">
        <v>#N/A Requesting Data...4009555485</v>
        <stp/>
        <stp>BDP|16879443774998906816</stp>
        <tr r="K8" s="16"/>
      </tp>
    </main>
    <main first="bofaddin.rtdserver">
      <tp t="s">
        <v>#N/A Requesting Data...4132995214</v>
        <stp/>
        <stp>BDP|1413003601749412533</stp>
        <tr r="L6" s="16"/>
      </tp>
      <tp t="s">
        <v>#N/A Requesting Data...4229244129</v>
        <stp/>
        <stp>BDP|8485886604566386829</stp>
        <tr r="H22" s="4"/>
      </tp>
      <tp t="s">
        <v>#N/A Requesting Data...3591365470</v>
        <stp/>
        <stp>BDP|9958272376154164648</stp>
        <tr r="J9" s="16"/>
      </tp>
      <tp t="s">
        <v>#N/A Requesting Data...4197852377</v>
        <stp/>
        <stp>BDP|4155052320638790009</stp>
        <tr r="L7" s="16"/>
      </tp>
      <tp t="s">
        <v>#N/A Requesting Data...4183764386</v>
        <stp/>
        <stp>BDP|4997210966577515802</stp>
        <tr r="G9" s="16"/>
      </tp>
      <tp t="s">
        <v>#N/A Requesting Data...3971940353</v>
        <stp/>
        <stp>BDP|3599663092060873385</stp>
        <tr r="G23" s="4"/>
      </tp>
      <tp t="s">
        <v>#N/A Requesting Data...3814330015</v>
        <stp/>
        <stp>BDP|2715175043958188031</stp>
        <tr r="C23" s="4"/>
      </tp>
      <tp t="s">
        <v>#N/A Requesting Data...3681860715</v>
        <stp/>
        <stp>BDP|4938759477168674381</stp>
        <tr r="E23" s="4"/>
      </tp>
      <tp t="s">
        <v>#N/A Requesting Data...4036500433</v>
        <stp/>
        <stp>BDP|5516778511589823234</stp>
        <tr r="F10" s="16"/>
      </tp>
      <tp t="s">
        <v>#N/A Requesting Data...4264652945</v>
        <stp/>
        <stp>BDP|4120548091556971632</stp>
        <tr r="J8" s="16"/>
      </tp>
      <tp t="s">
        <v>#N/A Requesting Data...3764815948</v>
        <stp/>
        <stp>BDP|6229753396345444597</stp>
        <tr r="J10" s="16"/>
      </tp>
      <tp t="s">
        <v>#N/A Requesting Data...3954459259</v>
        <stp/>
        <stp>BDP|6992386206898388576</stp>
        <tr r="I6" s="16"/>
      </tp>
      <tp t="s">
        <v>#N/A Requesting Data...3601616915</v>
        <stp/>
        <stp>BDP|4532089580725904075</stp>
        <tr r="H6" s="16"/>
      </tp>
      <tp t="s">
        <v>#N/A Requesting Data...3823444158</v>
        <stp/>
        <stp>BDP|3379476956402510911</stp>
        <tr r="G7" s="16"/>
      </tp>
      <tp t="s">
        <v>#N/A Requesting Data...3802949353</v>
        <stp/>
        <stp>BDP|1440775866201456872</stp>
        <tr r="I10" s="16"/>
      </tp>
      <tp t="s">
        <v>#N/A Requesting Data...3995003524</v>
        <stp/>
        <stp>BDP|2558557980072118785</stp>
        <tr r="I9" s="16"/>
      </tp>
      <tp t="s">
        <v>#N/A Requesting Data...4001175769</v>
        <stp/>
        <stp>BDP|9567764807640019488</stp>
        <tr r="D23" s="4"/>
      </tp>
      <tp t="s">
        <v>#N/A Requesting Data...3941421805</v>
        <stp/>
        <stp>BDP|6919533648008043579</stp>
        <tr r="J6" s="16"/>
      </tp>
      <tp t="s">
        <v>#N/A Requesting Data...3586773388</v>
        <stp/>
        <stp>BDP|9795865377547352559</stp>
        <tr r="H9" s="16"/>
      </tp>
      <tp t="s">
        <v>#N/A Requesting Data...3719159221</v>
        <stp/>
        <stp>BDP|3621777069803976439</stp>
        <tr r="D8" s="16"/>
      </tp>
      <tp t="s">
        <v>#N/A Requesting Data...4102656946</v>
        <stp/>
        <stp>BDP|2634117571192198044</stp>
        <tr r="E10" s="16"/>
      </tp>
      <tp t="s">
        <v>#N/A Requesting Data...3859193953</v>
        <stp/>
        <stp>BDP|4088085636931872034</stp>
        <tr r="H8" s="16"/>
      </tp>
      <tp t="s">
        <v>#N/A Requesting Data...3944095163</v>
        <stp/>
        <stp>BDP|3917812088037969338</stp>
        <tr r="I8" s="16"/>
      </tp>
      <tp t="s">
        <v>#N/A Requesting Data...4020060820</v>
        <stp/>
        <stp>BDP|8329996959595020626</stp>
        <tr r="G8" s="16"/>
      </tp>
      <tp t="s">
        <v>#N/A Requesting Data...4220144079</v>
        <stp/>
        <stp>BDP|9551902812626788049</stp>
        <tr r="E9" s="16"/>
      </tp>
      <tp t="s">
        <v>#N/A Requesting Data...3841124707</v>
        <stp/>
        <stp>BDP|4245519764736732652</stp>
        <tr r="D9" s="16"/>
      </tp>
      <tp t="s">
        <v>#N/A Requesting Data...4251772869</v>
        <stp/>
        <stp>BDP|2172564009019829930</stp>
        <tr r="H10" s="16"/>
      </tp>
      <tp t="s">
        <v>#N/A Requesting Data...3712087234</v>
        <stp/>
        <stp>BDP|1538312403986856411</stp>
        <tr r="G10" s="16"/>
      </tp>
      <tp t="s">
        <v>#N/A Requesting Data...3679322253</v>
        <stp/>
        <stp>BDP|3016032546861645645</stp>
        <tr r="L8" s="16"/>
      </tp>
      <tp t="s">
        <v>#N/A Requesting Data...4181711452</v>
        <stp/>
        <stp>BDP|4274184704243147681</stp>
        <tr r="E6" s="16"/>
      </tp>
      <tp t="s">
        <v>#N/A Requesting Data...3870753928</v>
        <stp/>
        <stp>BDP|5342164155427751487</stp>
        <tr r="I7" s="16"/>
      </tp>
      <tp t="s">
        <v>#N/A Requesting Data...3619596255</v>
        <stp/>
        <stp>BDP|2470954931023095833</stp>
        <tr r="J7" s="16"/>
      </tp>
    </main>
    <main first="bofaddin.rtdserver">
      <tp t="s">
        <v>#N/A Requesting Data...3995036025</v>
        <stp/>
        <stp>BDP|808002419262414195</stp>
        <tr r="D7" s="16"/>
      </tp>
      <tp t="s">
        <v>#N/A Requesting Data...3932012397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NAV'!$A$1169:$A$1487</c:f>
              <c:numCache>
                <c:formatCode>[$-409]d\-mmm\-yy;@</c:formatCode>
                <c:ptCount val="319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</c:numCache>
            </c:numRef>
          </c:cat>
          <c:val>
            <c:numRef>
              <c:f>'Historical NAV'!$N$1169:$N$1486</c:f>
              <c:numCache>
                <c:formatCode>0.00%;[Red]\(0.00%\)</c:formatCode>
                <c:ptCount val="318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NAV'!$A$2:$A$1487</c:f>
              <c:numCache>
                <c:formatCode>[$-409]d\-mmm\-yy;@</c:formatCode>
                <c:ptCount val="1486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</c:numCache>
            </c:numRef>
          </c:cat>
          <c:val>
            <c:numRef>
              <c:f>'Historical NAV'!$M$2:$M$1486</c:f>
              <c:numCache>
                <c:formatCode>0.00%;[Red]\(0.00%\)</c:formatCode>
                <c:ptCount val="1485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1616679.7699999998</c:v>
                </c:pt>
                <c:pt idx="1">
                  <c:v>230287.94000000041</c:v>
                </c:pt>
                <c:pt idx="2">
                  <c:v>174582.74999999991</c:v>
                </c:pt>
                <c:pt idx="3">
                  <c:v>140210.36999999994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897108.10000000009</c:v>
                </c:pt>
                <c:pt idx="7">
                  <c:v>0</c:v>
                </c:pt>
                <c:pt idx="8">
                  <c:v>-19960.118418942671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1616679.7699999998</c:v>
                </c:pt>
                <c:pt idx="1">
                  <c:v>230287.94000000041</c:v>
                </c:pt>
                <c:pt idx="2">
                  <c:v>174582.74999999991</c:v>
                </c:pt>
                <c:pt idx="3">
                  <c:v>140210.36999999994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897108.10000000009</c:v>
                </c:pt>
                <c:pt idx="7">
                  <c:v>0</c:v>
                </c:pt>
                <c:pt idx="8">
                  <c:v>-19960.118418942671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10" sqref="F10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45685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287</v>
      </c>
      <c r="B4" s="8">
        <f ca="1">OFFSET('Historical NAV'!I1,COUNT('Historical NAV'!A:A),,,)</f>
        <v>-7.5774828806290176E-2</v>
      </c>
      <c r="D4" s="91"/>
      <c r="E4" s="92"/>
    </row>
    <row r="5" spans="1:23">
      <c r="A5" t="s">
        <v>66</v>
      </c>
      <c r="B5" s="8">
        <f ca="1">OFFSET('Historical NAV'!K1,COUNT('Historical NAV'!A:A),,,)</f>
        <v>6.3576102670405366E-2</v>
      </c>
      <c r="E5" s="146"/>
    </row>
    <row r="6" spans="1:23">
      <c r="A6" t="s">
        <v>283</v>
      </c>
      <c r="B6" s="8">
        <f ca="1">OFFSET('Historical NAV'!N1,COUNT('Historical NAV'!A:A),,,)</f>
        <v>6.3576102670405366E-2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-1.1582532060214913E-4</v>
      </c>
      <c r="D9" t="s">
        <v>188</v>
      </c>
      <c r="E9" s="146">
        <f ca="1">OFFSET('Historical NAV'!B1,COUNT('Historical NAV'!A:A),,,)</f>
        <v>66298758.242438599</v>
      </c>
    </row>
    <row r="10" spans="1:23">
      <c r="A10" t="s">
        <v>181</v>
      </c>
      <c r="B10" s="2">
        <f ca="1">E13/E9</f>
        <v>5.2776252417956295E-6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-0.13425264357557906</v>
      </c>
      <c r="D11" t="s">
        <v>160</v>
      </c>
      <c r="E11" s="8">
        <f ca="1">E10/E9</f>
        <v>0.62703324575074149</v>
      </c>
    </row>
    <row r="12" spans="1:23">
      <c r="A12" t="s">
        <v>147</v>
      </c>
      <c r="B12" s="8">
        <f ca="1">OFFSET('Historical NAV'!T1,COUNT('Historical NAV'!A:A),,,)</f>
        <v>2.0546788424091265E-2</v>
      </c>
    </row>
    <row r="13" spans="1:23">
      <c r="A13" t="s">
        <v>148</v>
      </c>
      <c r="B13" s="8">
        <f ca="1">OFFSET('Historical NAV'!V1,COUNT('Historical NAV'!A:A),,,)</f>
        <v>0.77532588398385116</v>
      </c>
      <c r="D13" s="99" t="s">
        <v>180</v>
      </c>
      <c r="E13" s="152">
        <f>K25</f>
        <v>349.9</v>
      </c>
    </row>
    <row r="14" spans="1:23">
      <c r="A14" t="s">
        <v>125</v>
      </c>
      <c r="B14" s="51">
        <f ca="1">OFFSET('Historical NAV'!W1,COUNT('Historical NAV'!A:A),,,)</f>
        <v>1.7498742801397085</v>
      </c>
      <c r="D14" s="303">
        <v>5.0000000000000001E-3</v>
      </c>
      <c r="E14" s="123">
        <f>(D14*$E$13)/(1-D14)</f>
        <v>1.7582914572864321</v>
      </c>
    </row>
    <row r="15" spans="1:23">
      <c r="A15" t="s">
        <v>144</v>
      </c>
      <c r="B15" s="51">
        <f ca="1">OFFSET('Historical NAV'!AB1,COUNT('Historical NAV'!A:A),,,)</f>
        <v>4.0064543582111343</v>
      </c>
      <c r="D15" s="303">
        <v>0.01</v>
      </c>
      <c r="E15" s="123">
        <f>(D15*$E$13)/(1-D15)</f>
        <v>3.5343434343434339</v>
      </c>
      <c r="F15" s="133"/>
    </row>
    <row r="16" spans="1:23">
      <c r="A16" t="s">
        <v>145</v>
      </c>
      <c r="B16" s="51">
        <f ca="1">OFFSET('Historical NAV'!P1,COUNT('Historical NAV'!A:A),,,)</f>
        <v>0.55078818832221976</v>
      </c>
      <c r="D16" s="303">
        <v>1.4999999999999999E-2</v>
      </c>
      <c r="E16" s="123">
        <f>(D16*$E$13)/(1-D16)</f>
        <v>5.3284263959390854</v>
      </c>
      <c r="F16" s="169"/>
    </row>
    <row r="17" spans="1:23">
      <c r="A17" t="s">
        <v>185</v>
      </c>
      <c r="B17" s="51">
        <f ca="1">OFFSET('Historical NAV'!AC1,COUNT('Historical NAV'!A:A),,,)</f>
        <v>-5.3726888131229937E-2</v>
      </c>
      <c r="D17" s="303">
        <v>0.05</v>
      </c>
      <c r="E17" s="123">
        <f>(D17*$E$13)/(1-D17)</f>
        <v>18.415789473684214</v>
      </c>
    </row>
    <row r="18" spans="1:23">
      <c r="A18" t="s">
        <v>186</v>
      </c>
      <c r="B18" s="51">
        <f ca="1">OFFSET('Historical NAV'!AD1,COUNT('Historical NAV'!A:A),,,)</f>
        <v>-3.992648917433602E-2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-4.8816703882659546E-2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0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3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3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349.9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349.9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</v>
      </c>
      <c r="F26" s="103">
        <f t="shared" si="0"/>
        <v>0</v>
      </c>
      <c r="G26" s="103">
        <f t="shared" si="0"/>
        <v>0</v>
      </c>
      <c r="H26" s="103">
        <f t="shared" si="0"/>
        <v>1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</v>
      </c>
      <c r="F27" s="165">
        <f t="shared" ca="1" si="1"/>
        <v>0</v>
      </c>
      <c r="G27" s="165">
        <f t="shared" ca="1" si="1"/>
        <v>0</v>
      </c>
      <c r="H27" s="165">
        <f t="shared" ca="1" si="1"/>
        <v>5.2776252417956295E-6</v>
      </c>
      <c r="I27" s="165">
        <f t="shared" ca="1" si="1"/>
        <v>0</v>
      </c>
      <c r="J27" s="165">
        <f t="shared" ca="1" si="1"/>
        <v>0</v>
      </c>
      <c r="K27" s="165">
        <f t="shared" ca="1" si="1"/>
        <v>5.2776252417956295E-6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10161.86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10161.86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344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1616679.7699999998</v>
      </c>
      <c r="C33" s="154">
        <f>SUMIFS('Daily P&amp;L breakdown'!D:D, 'Daily P&amp;L breakdown'!$A:$A, "&gt;=" &amp; EOMONTH($A33, -1) + 1, 'Daily P&amp;L breakdown'!$A:$A, "&lt;=" &amp; EOMONTH($A33, 0))</f>
        <v>230287.94000000041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140210.36999999994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897108.10000000009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-19960.118418942671</v>
      </c>
      <c r="K33" s="154">
        <f t="shared" ref="K33:K44" si="2">SUM(B33:J33)</f>
        <v>4616529.1415810566</v>
      </c>
      <c r="L33" s="154">
        <f>SUM(Email!$T$9:$T$11)-K33</f>
        <v>-517837.00885556685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345</v>
      </c>
      <c r="B45" s="164">
        <f t="shared" ref="B45:I45" si="3">SUM(B33:B44)</f>
        <v>1616679.7699999998</v>
      </c>
      <c r="C45" s="164">
        <f>SUM(C33:C44)</f>
        <v>230287.94000000041</v>
      </c>
      <c r="D45" s="164">
        <f>SUM(D33:D44)</f>
        <v>174582.74999999991</v>
      </c>
      <c r="E45" s="164">
        <f t="shared" si="3"/>
        <v>140210.36999999994</v>
      </c>
      <c r="F45" s="164">
        <f t="shared" si="3"/>
        <v>1307091.58</v>
      </c>
      <c r="G45" s="164">
        <f t="shared" si="3"/>
        <v>270528.75</v>
      </c>
      <c r="H45" s="164">
        <f t="shared" si="3"/>
        <v>897108.10000000009</v>
      </c>
      <c r="I45" s="164">
        <f t="shared" si="3"/>
        <v>0</v>
      </c>
      <c r="J45" s="164">
        <f>SUM(J33:J44)</f>
        <v>-19960.118418942671</v>
      </c>
      <c r="K45" s="164">
        <f>SUM(K33:K44)</f>
        <v>4616529.1415810566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2.5557945548686498E-2</v>
      </c>
      <c r="C50" s="299">
        <f>C33/'Historical NAV'!$B$1169</f>
        <v>3.640601398160128E-3</v>
      </c>
      <c r="D50" s="299">
        <f>D33/'Historical NAV'!$B$1169</f>
        <v>2.7599630434170311E-3</v>
      </c>
      <c r="E50" s="299">
        <f>E33/'Historical NAV'!$B$1169</f>
        <v>2.2165731694788176E-3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1.4182301527213151E-2</v>
      </c>
      <c r="I50" s="299">
        <f>I33/'Historical NAV'!$B$1169</f>
        <v>0</v>
      </c>
      <c r="J50" s="299">
        <f>J33/'Historical NAV'!$B$1169</f>
        <v>-3.1554772266165692E-4</v>
      </c>
      <c r="K50" s="299">
        <f>K33/'Historical NAV'!$B$1169</f>
        <v>7.2982295327696886E-2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345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2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O1186" sqref="O1186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7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351</v>
      </c>
      <c r="B3" s="153" t="s">
        <v>140</v>
      </c>
      <c r="C3" s="153" t="s">
        <v>38</v>
      </c>
      <c r="D3" s="153">
        <v>10</v>
      </c>
      <c r="E3" s="153">
        <v>36.130000000000003</v>
      </c>
      <c r="F3" s="153">
        <v>361.3</v>
      </c>
      <c r="G3" s="153">
        <v>1</v>
      </c>
      <c r="H3" s="153">
        <v>361.3</v>
      </c>
      <c r="I3" s="218">
        <v>103.26</v>
      </c>
      <c r="J3"/>
      <c r="K3"/>
    </row>
    <row r="4" spans="1:11">
      <c r="A4" s="221" t="s">
        <v>352</v>
      </c>
      <c r="B4" s="153" t="s">
        <v>140</v>
      </c>
      <c r="C4" s="153" t="s">
        <v>38</v>
      </c>
      <c r="D4" s="153">
        <v>-20</v>
      </c>
      <c r="E4" s="153">
        <v>0.28999999999999998</v>
      </c>
      <c r="F4" s="153">
        <v>-5.8</v>
      </c>
      <c r="G4" s="153">
        <v>1</v>
      </c>
      <c r="H4" s="153">
        <v>-5.8</v>
      </c>
      <c r="I4" s="218">
        <v>-1.66</v>
      </c>
      <c r="J4"/>
      <c r="K4"/>
    </row>
    <row r="5" spans="1:11">
      <c r="A5" s="221" t="s">
        <v>353</v>
      </c>
      <c r="B5" s="153" t="s">
        <v>140</v>
      </c>
      <c r="C5" s="153" t="s">
        <v>38</v>
      </c>
      <c r="D5" s="153">
        <v>-10</v>
      </c>
      <c r="E5" s="153">
        <v>0.56000000000000005</v>
      </c>
      <c r="F5" s="153">
        <v>-5.6000000000000014</v>
      </c>
      <c r="G5" s="153">
        <v>1</v>
      </c>
      <c r="H5" s="153">
        <v>-5.6</v>
      </c>
      <c r="I5" s="218">
        <v>-1.6</v>
      </c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topLeftCell="C1" zoomScale="85" zoomScaleNormal="85" workbookViewId="0">
      <selection activeCell="N27" sqref="N27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337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335</v>
      </c>
      <c r="C3" s="109" t="s">
        <v>336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343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71204832.620000005</v>
      </c>
    </row>
    <row r="4" spans="2:22">
      <c r="B4" t="s">
        <v>343</v>
      </c>
      <c r="C4" t="s">
        <v>342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-7.5774828806290176E-2</v>
      </c>
      <c r="H4" s="8" t="str">
        <f t="shared" si="0"/>
        <v/>
      </c>
      <c r="I4" s="8">
        <f t="shared" ca="1" si="0"/>
        <v>-1.1582532060214913E-4</v>
      </c>
      <c r="J4" s="8">
        <f t="shared" ca="1" si="0"/>
        <v>6.3576102670405366E-2</v>
      </c>
      <c r="K4" s="8">
        <f ca="1">J4</f>
        <v>6.3576102670405366E-2</v>
      </c>
      <c r="L4" s="8">
        <f t="shared" ca="1" si="0"/>
        <v>6.3576102670405366E-2</v>
      </c>
      <c r="N4" t="s">
        <v>290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288</v>
      </c>
      <c r="T4" s="286">
        <f>ROUND(VLOOKUP("Deposits &amp; Withdrawals", 'Email input'!C:D, 2, FALSE),2)</f>
        <v>-9000000</v>
      </c>
    </row>
    <row r="5" spans="2:22">
      <c r="B5" t="s">
        <v>299</v>
      </c>
      <c r="C5" t="s">
        <v>334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288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899536.03583452746</v>
      </c>
      <c r="U5" s="8">
        <f>VLOOKUP("Commodities", 'Email input'!F:G, 2, FALSE)/100</f>
        <v>1.4460870610000001E-2</v>
      </c>
    </row>
    <row r="6" spans="2:22">
      <c r="B6" t="s">
        <v>309</v>
      </c>
      <c r="C6" t="s">
        <v>333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>
        <f t="array" ref="H6">IFERROR(_xll.BDP($B6,"INTERVAL_PERCENT_CHANGE", "END_DATE_OVERRIDE="&amp;TEXT(H$17,"yyyymmdd"), "START_DATE_OVERRIDE="&amp;TEXT(H$16,"yyyymmdd"))/100, "")</f>
        <v>-5.4972431833528864E-3</v>
      </c>
      <c r="I6" s="8">
        <f>_xll.BDP(B6,"CHG_PCT_1D")/100</f>
        <v>9.2178009999999994E-3</v>
      </c>
      <c r="J6" s="8">
        <f>_xll.BDP($B6,"CURRENT_TRR_MTD")/100</f>
        <v>3.2333279999999999E-2</v>
      </c>
      <c r="K6" s="8">
        <f>_xll.BDP(B6,"CHG_PCT_1M")/100</f>
        <v>1.6222230000000001E-2</v>
      </c>
      <c r="L6" s="8">
        <f t="array" ref="L6">_xll.BDP($B6,"CHG_PCT_YTD")/100</f>
        <v>3.1635839999999998E-2</v>
      </c>
      <c r="N6" t="s">
        <v>300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291</v>
      </c>
      <c r="T6" s="286">
        <f>($T$3+T$4)*U6</f>
        <v>3528329.0613928246</v>
      </c>
      <c r="U6" s="8">
        <f>VLOOKUP("new_equity", 'Email input'!F:G, 2, FALSE)/100</f>
        <v>5.6721140669999996E-2</v>
      </c>
    </row>
    <row r="7" spans="2:22">
      <c r="B7" t="s">
        <v>310</v>
      </c>
      <c r="C7" t="s">
        <v>332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>
        <f t="array" ref="H7">IFERROR(_xll.BDP($B7,"INTERVAL_PERCENT_CHANGE", "END_DATE_OVERRIDE="&amp;TEXT(H$17,"yyyymmdd"), "START_DATE_OVERRIDE="&amp;TEXT(H$16,"yyyymmdd"))/100, "")</f>
        <v>-1.4281705574673547E-2</v>
      </c>
      <c r="I7" s="8">
        <f t="array" ref="I7">_xll.BDP(B7,"CHG_PCT_1D")/100</f>
        <v>1.589225E-2</v>
      </c>
      <c r="J7" s="8">
        <f t="array" ref="J7">_xll.BDP($B7,"CURRENT_TRR_MTD")/100</f>
        <v>2.1704870000000001E-2</v>
      </c>
      <c r="K7" s="8">
        <f>_xll.BDP(B7,"CHG_PCT_1M")/100</f>
        <v>-4.6433649999999999E-4</v>
      </c>
      <c r="L7" s="8">
        <f t="array" ref="L7">_xll.BDP($B7,"CHG_PCT_YTD")/100</f>
        <v>2.1457519999999997E-2</v>
      </c>
      <c r="N7" s="47" t="s">
        <v>95</v>
      </c>
      <c r="O7" s="295">
        <f ca="1">OFFSET('Historical NAV'!F1,COUNT('Historical NAV'!A:A),,,)</f>
        <v>-7679.964463301003</v>
      </c>
      <c r="P7" s="296" t="s">
        <v>58</v>
      </c>
      <c r="Q7" s="297">
        <f ca="1">SUM(O7:P7)</f>
        <v>-7679.964463301003</v>
      </c>
      <c r="S7" t="s">
        <v>292</v>
      </c>
      <c r="T7" s="286">
        <f>($T$3+T$4)*U7</f>
        <v>153178.16991516078</v>
      </c>
      <c r="U7" s="8">
        <f>VLOOKUP("Fixed Income", 'Email input'!F:G, 2, FALSE)/100</f>
        <v>2.46248022E-3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>
        <f t="array" ref="H8">IFERROR(_xll.BDP($B8,"INTERVAL_PERCENT_CHANGE", "END_DATE_OVERRIDE="&amp;TEXT(H$17,"yyyymmdd"), "START_DATE_OVERRIDE="&amp;TEXT(H$16,"yyyymmdd"))/100, "")</f>
        <v>-5.3230933576714767E-3</v>
      </c>
      <c r="I8" s="8">
        <f t="array" ref="I8">_xll.BDP(B8,"CHG_PCT_1D")/100</f>
        <v>6.0112810000000003E-3</v>
      </c>
      <c r="J8" s="8">
        <f t="array" ref="J8">_xll.BDP($B8,"CURRENT_TRR_MTD")/100</f>
        <v>3.5368860000000002E-2</v>
      </c>
      <c r="K8" s="8">
        <f>_xll.BDP(B8,"CHG_PCT_1M")/100</f>
        <v>2.1540629999999998E-2</v>
      </c>
      <c r="L8" s="8">
        <f t="array" ref="L8">_xll.BDP($B8,"CHG_PCT_YTD")/100</f>
        <v>3.4632789999999997E-2</v>
      </c>
      <c r="N8" t="s">
        <v>301</v>
      </c>
      <c r="O8" s="69">
        <f ca="1">OFFSET('Historical NAV'!J1,COUNT('Historical NAV'!A:A),,,)</f>
        <v>4093925.6209945008</v>
      </c>
      <c r="P8" s="280">
        <f>SUM(P4:P5)*P9</f>
        <v>21512.876600000007</v>
      </c>
      <c r="Q8" s="280">
        <f ca="1">SUM(O8:P8)</f>
        <v>4115438.4975945009</v>
      </c>
      <c r="S8" s="47" t="s">
        <v>293</v>
      </c>
      <c r="T8" s="287">
        <f>($T$3+T$4)*U8</f>
        <v>-462391.01599808043</v>
      </c>
      <c r="U8" s="207">
        <f>VLOOKUP("Cash", 'Email input'!F:G, 2, FALSE)/100</f>
        <v>-7.4333616300000004E-3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>
        <f t="array" ref="H9">IFERROR(_xll.BDP($B9,"INTERVAL_PERCENT_CHANGE", "END_DATE_OVERRIDE="&amp;TEXT(H$17,"yyyymmdd"), "START_DATE_OVERRIDE="&amp;TEXT(H$16,"yyyymmdd"))/100, "")</f>
        <v>-3.231453058824589E-4</v>
      </c>
      <c r="I9" s="8">
        <f t="array" ref="I9">_xll.BDP(B9,"CHG_PCT_1D")/100</f>
        <v>-3.2990039999999999E-3</v>
      </c>
      <c r="J9" s="8">
        <f t="array" ref="J9">_xll.BDP($B9,"CURRENT_TRR_MTD")/100</f>
        <v>3.3675440000000001E-3</v>
      </c>
      <c r="K9" s="8">
        <f>_xll.BDP(B9,"CHG_PCT_1M")/100</f>
        <v>4.131778E-3</v>
      </c>
      <c r="L9" s="8">
        <f t="array" ref="L9">_xll.BDP($B9,"CHG_PCT_YTD")/100</f>
        <v>3.3675440000000001E-3</v>
      </c>
      <c r="N9" t="s">
        <v>302</v>
      </c>
      <c r="O9" s="8">
        <f ca="1">OFFSET('Historical NAV'!K1,COUNT('Historical NAV'!A:A),,,)</f>
        <v>6.3576102670405366E-2</v>
      </c>
      <c r="P9" s="285">
        <f>J5</f>
        <v>1.0000000000000002E-2</v>
      </c>
      <c r="S9" t="s">
        <v>294</v>
      </c>
      <c r="T9" s="288">
        <f>SUM(T5:T8)</f>
        <v>4118652.2511444325</v>
      </c>
      <c r="V9" s="312">
        <f>T9/(T3+T4)</f>
        <v>6.6211129869999996E-2</v>
      </c>
    </row>
    <row r="10" spans="2:22" ht="15.75" thickBot="1">
      <c r="B10" t="s">
        <v>330</v>
      </c>
      <c r="C10" s="8" t="s">
        <v>331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>
        <f t="array" ref="H10">IFERROR(_xll.BDP($B10,"INTERVAL_PERCENT_CHANGE", "END_DATE_OVERRIDE="&amp;TEXT(H$17,"yyyymmdd"), "START_DATE_OVERRIDE="&amp;TEXT(H$16,"yyyymmdd"))/100, "")</f>
        <v>-1.3857828904687208E-2</v>
      </c>
      <c r="I10" s="8">
        <f>_xll.BDP(B10,"CHG_PCT_1D")/100</f>
        <v>1.4610609999999999E-4</v>
      </c>
      <c r="J10" s="8">
        <f t="array" ref="J10">_xll.BDP($B10,"CURRENT_TRR_MTD")/100</f>
        <v>3.2750720000000004E-2</v>
      </c>
      <c r="K10" s="8">
        <f>_xll.BDP(B10,"CHG_PCT_1M")/100</f>
        <v>3.8582990000000005E-2</v>
      </c>
      <c r="L10" s="8">
        <f t="array" ref="L10">_xll.BDP($B10,"CHG_PCT_YTD")/100</f>
        <v>3.2750720000000004E-2</v>
      </c>
      <c r="N10" s="275" t="s">
        <v>297</v>
      </c>
      <c r="O10" s="281">
        <f ca="1">O4+O5+O8</f>
        <v>66298758.240994506</v>
      </c>
      <c r="P10" s="276">
        <f>P4+P5+P8</f>
        <v>2172800.5366000002</v>
      </c>
      <c r="Q10" s="281">
        <f ca="1">SUM(O10:P10)</f>
        <v>68471558.777594507</v>
      </c>
      <c r="S10" t="s">
        <v>295</v>
      </c>
      <c r="T10" s="286">
        <f>SUM('Email input'!D5:D10)</f>
        <v>-455308.41143370001</v>
      </c>
      <c r="U10" s="8"/>
    </row>
    <row r="11" spans="2:22" ht="15.75" hidden="1" outlineLevel="1" thickTop="1">
      <c r="O11" s="283"/>
      <c r="P11" s="283"/>
      <c r="Q11" s="283"/>
      <c r="S11" t="s">
        <v>338</v>
      </c>
      <c r="T11" s="294">
        <v>435348.29301475734</v>
      </c>
      <c r="U11" s="8"/>
    </row>
    <row r="12" spans="2:22" ht="15.75" collapsed="1" thickTop="1">
      <c r="S12" t="s">
        <v>296</v>
      </c>
      <c r="T12" s="280">
        <f>SUM('Email input'!D10:D13)</f>
        <v>-4766.5102869000002</v>
      </c>
      <c r="U12" s="8"/>
    </row>
    <row r="13" spans="2:22" ht="15.75" thickBot="1">
      <c r="S13" s="275" t="s">
        <v>297</v>
      </c>
      <c r="T13" s="281">
        <f>T3+T4+T9+T10+T12+T11</f>
        <v>66298758.242438599</v>
      </c>
      <c r="U13" s="277"/>
    </row>
    <row r="14" spans="2:22" ht="15.75" thickTop="1"/>
    <row r="15" spans="2:22" s="289" customFormat="1">
      <c r="T15" s="290"/>
    </row>
    <row r="16" spans="2:22">
      <c r="B16" t="s">
        <v>326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325</v>
      </c>
      <c r="P16" s="310">
        <v>2151287.66</v>
      </c>
      <c r="S16" t="s">
        <v>324</v>
      </c>
      <c r="T16" s="282">
        <f ca="1">OFFSET('Historical NAV'!B1,COUNT('Historical NAV'!A:A),,,)</f>
        <v>66298758.242438599</v>
      </c>
    </row>
    <row r="17" spans="2:21">
      <c r="B17" t="s">
        <v>327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66298758.242438599</v>
      </c>
    </row>
    <row r="18" spans="2:21">
      <c r="B18" t="s">
        <v>328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-7.5774828806290176E-2</v>
      </c>
      <c r="H18" s="298"/>
      <c r="I18" s="8">
        <f ca="1">Dashboard!B9</f>
        <v>-1.1582532060214913E-4</v>
      </c>
      <c r="J18" s="8">
        <f ca="1">Dashboard!B5</f>
        <v>6.3576102670405366E-2</v>
      </c>
      <c r="K18" s="8"/>
      <c r="L18" s="69">
        <f ca="1">Dashboard!B6</f>
        <v>6.3576102670405366E-2</v>
      </c>
      <c r="O18" s="69"/>
      <c r="T18" s="284">
        <f ca="1">T16-T17</f>
        <v>0</v>
      </c>
    </row>
    <row r="19" spans="2:21">
      <c r="B19" t="s">
        <v>329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339</v>
      </c>
      <c r="B1" s="282" t="s">
        <v>321</v>
      </c>
      <c r="C1" t="s">
        <v>340</v>
      </c>
      <c r="D1" s="282" t="s">
        <v>341</v>
      </c>
      <c r="F1" t="s">
        <v>150</v>
      </c>
      <c r="G1" t="s">
        <v>150</v>
      </c>
    </row>
    <row r="2" spans="1:7">
      <c r="A2" t="s">
        <v>339</v>
      </c>
      <c r="B2" s="282" t="s">
        <v>322</v>
      </c>
      <c r="C2" t="s">
        <v>315</v>
      </c>
      <c r="D2" s="282">
        <v>71204832.621444106</v>
      </c>
      <c r="F2" t="s">
        <v>321</v>
      </c>
      <c r="G2" t="s">
        <v>322</v>
      </c>
    </row>
    <row r="3" spans="1:7">
      <c r="A3" t="s">
        <v>339</v>
      </c>
      <c r="B3" s="282" t="s">
        <v>322</v>
      </c>
      <c r="C3" t="s">
        <v>316</v>
      </c>
      <c r="D3" s="282">
        <v>4587729.8550800299</v>
      </c>
      <c r="F3" t="s">
        <v>165</v>
      </c>
      <c r="G3" t="s">
        <v>20</v>
      </c>
    </row>
    <row r="4" spans="1:7">
      <c r="A4" t="s">
        <v>339</v>
      </c>
      <c r="B4" s="282" t="s">
        <v>322</v>
      </c>
      <c r="C4" t="s">
        <v>317</v>
      </c>
      <c r="D4" s="282">
        <v>-9000000</v>
      </c>
      <c r="F4" t="s">
        <v>44</v>
      </c>
      <c r="G4">
        <v>1.4460870610000001</v>
      </c>
    </row>
    <row r="5" spans="1:7">
      <c r="A5" t="s">
        <v>339</v>
      </c>
      <c r="B5" s="282" t="s">
        <v>322</v>
      </c>
      <c r="C5" t="s">
        <v>350</v>
      </c>
      <c r="D5" s="282">
        <v>-10.1312549</v>
      </c>
      <c r="F5" t="s">
        <v>292</v>
      </c>
      <c r="G5">
        <v>0.24624802200000001</v>
      </c>
    </row>
    <row r="6" spans="1:7">
      <c r="A6" t="s">
        <v>339</v>
      </c>
      <c r="B6" s="282" t="s">
        <v>322</v>
      </c>
      <c r="C6" t="s">
        <v>348</v>
      </c>
      <c r="D6" s="282">
        <v>93053.959070600002</v>
      </c>
      <c r="F6" t="s">
        <v>293</v>
      </c>
      <c r="G6">
        <v>-0.74333616300000005</v>
      </c>
    </row>
    <row r="7" spans="1:7">
      <c r="A7" t="s">
        <v>339</v>
      </c>
      <c r="B7" s="282" t="s">
        <v>322</v>
      </c>
      <c r="C7" t="s">
        <v>349</v>
      </c>
      <c r="D7" s="282">
        <v>-12905.4012332</v>
      </c>
    </row>
    <row r="8" spans="1:7">
      <c r="A8" t="s">
        <v>339</v>
      </c>
      <c r="B8" s="282" t="s">
        <v>322</v>
      </c>
      <c r="C8" t="s">
        <v>318</v>
      </c>
      <c r="D8" s="282">
        <v>-28154.3305239</v>
      </c>
      <c r="F8" t="s">
        <v>323</v>
      </c>
      <c r="G8">
        <v>5.6721140669999999</v>
      </c>
    </row>
    <row r="9" spans="1:7">
      <c r="A9" t="s">
        <v>339</v>
      </c>
      <c r="B9" s="282" t="s">
        <v>322</v>
      </c>
      <c r="C9" t="s">
        <v>347</v>
      </c>
      <c r="D9" s="282">
        <v>-540990.49269069999</v>
      </c>
    </row>
    <row r="10" spans="1:7">
      <c r="A10" t="s">
        <v>339</v>
      </c>
      <c r="B10" s="282" t="s">
        <v>322</v>
      </c>
      <c r="C10" t="s">
        <v>319</v>
      </c>
      <c r="D10" s="282">
        <v>33697.985198399998</v>
      </c>
    </row>
    <row r="11" spans="1:7">
      <c r="A11" t="s">
        <v>339</v>
      </c>
      <c r="B11" s="282" t="s">
        <v>322</v>
      </c>
      <c r="C11" t="s">
        <v>43</v>
      </c>
      <c r="D11" s="282">
        <v>-414.57</v>
      </c>
    </row>
    <row r="12" spans="1:7">
      <c r="A12" t="s">
        <v>339</v>
      </c>
      <c r="B12" s="282" t="s">
        <v>322</v>
      </c>
      <c r="C12" t="s">
        <v>18</v>
      </c>
      <c r="D12" s="282">
        <v>-26047.228254059999</v>
      </c>
    </row>
    <row r="13" spans="1:7">
      <c r="A13" t="s">
        <v>339</v>
      </c>
      <c r="B13" s="282" t="s">
        <v>322</v>
      </c>
      <c r="C13" t="s">
        <v>346</v>
      </c>
      <c r="D13" s="282">
        <v>-12002.697231239999</v>
      </c>
    </row>
    <row r="14" spans="1:7">
      <c r="A14" t="s">
        <v>339</v>
      </c>
      <c r="B14" s="282" t="s">
        <v>322</v>
      </c>
      <c r="C14" t="s">
        <v>320</v>
      </c>
      <c r="D14" s="282">
        <v>-31.327166600000002</v>
      </c>
    </row>
    <row r="15" spans="1:7">
      <c r="A15" t="s">
        <v>339</v>
      </c>
      <c r="B15" s="282" t="s">
        <v>322</v>
      </c>
      <c r="C15" t="s">
        <v>297</v>
      </c>
      <c r="D15" s="282">
        <v>66298758.242438599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66298758.242438599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4093925.6209945008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6.3576102670405366E-2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0.11279631515402611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-1.1582532060214913E-4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5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5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/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172"/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66298758.242438599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4093925.6209945008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6.3576102670405366E-2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-7679.964463301003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-1.1582532060214913E-4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2025-01-29T06:44:47Z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