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814D0E43-1AD4-43F3-8BBE-0DBFC57C3D84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16" l="1" a="1"/>
  <c r="D8" i="16"/>
  <c r="D10" i="16" a="1"/>
  <c r="D10" i="16"/>
  <c r="D9" i="16" a="1"/>
  <c r="D9" i="16"/>
  <c r="D6" i="16" a="1"/>
  <c r="D6" i="16"/>
  <c r="D7" i="16" a="1"/>
  <c r="D7" i="16"/>
  <c r="H7" i="16" a="1"/>
  <c r="H7" i="16"/>
  <c r="H9" i="16" a="1"/>
  <c r="H9" i="16"/>
  <c r="H6" i="16" a="1"/>
  <c r="H6" i="16"/>
  <c r="H8" i="16" a="1"/>
  <c r="H8" i="16"/>
  <c r="H10" i="16" a="1"/>
  <c r="H10" i="16"/>
  <c r="E8" i="16" a="1"/>
  <c r="E8" i="16"/>
  <c r="E9" i="16" a="1"/>
  <c r="E9" i="16"/>
  <c r="E10" i="16" a="1"/>
  <c r="E10" i="16"/>
  <c r="E6" i="16" a="1"/>
  <c r="E6" i="16"/>
  <c r="E7" i="16" a="1"/>
  <c r="E7" i="16"/>
  <c r="G6" i="16" a="1"/>
  <c r="G6" i="16"/>
  <c r="G9" i="16" a="1"/>
  <c r="G9" i="16"/>
  <c r="G8" i="16" a="1"/>
  <c r="G8" i="16"/>
  <c r="G7" i="16" a="1"/>
  <c r="G7" i="16"/>
  <c r="G10" i="16" a="1"/>
  <c r="G10" i="16"/>
  <c r="F6" i="16" a="1"/>
  <c r="F6" i="16"/>
  <c r="F7" i="16" a="1"/>
  <c r="F7" i="16"/>
  <c r="F9" i="16" a="1"/>
  <c r="F9" i="16"/>
  <c r="F8" i="16" a="1"/>
  <c r="F8" i="16"/>
  <c r="F10" i="16" a="1"/>
  <c r="F10" i="16"/>
  <c r="K10" i="16"/>
  <c r="K6" i="16"/>
  <c r="C22" i="4"/>
  <c r="L10" i="16" a="1"/>
  <c r="L10" i="16"/>
  <c r="I6" i="16"/>
  <c r="J6" i="16"/>
  <c r="G22" i="4"/>
  <c r="J10" i="16" a="1"/>
  <c r="J10" i="16"/>
  <c r="L6" i="16" a="1"/>
  <c r="L6" i="16"/>
  <c r="G23" i="4"/>
  <c r="I10" i="16"/>
  <c r="C23" i="4"/>
  <c r="K9" i="16"/>
  <c r="L9" i="16" a="1"/>
  <c r="L9" i="16"/>
  <c r="K7" i="16"/>
  <c r="K8" i="16"/>
  <c r="I7" i="16" a="1"/>
  <c r="I7" i="16"/>
  <c r="J9" i="16" a="1"/>
  <c r="J9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F22" i="4"/>
  <c r="H23" i="4"/>
  <c r="E23" i="4"/>
  <c r="H22" i="4"/>
  <c r="D22" i="4"/>
  <c r="E22" i="4"/>
  <c r="D23" i="4"/>
  <c r="F23" i="4"/>
  <c r="C24" i="4"/>
  <c r="X1187" i="14"/>
  <c r="E1187" i="14"/>
  <c r="D1187" i="14"/>
  <c r="C1187" i="14"/>
  <c r="B1187" i="14"/>
  <c r="A1187" i="14"/>
  <c r="L197" i="13"/>
  <c r="A197" i="13"/>
  <c r="X1189" i="3"/>
  <c r="F1189" i="3"/>
  <c r="G1189" i="3" s="1"/>
  <c r="D1189" i="3"/>
  <c r="X1186" i="14"/>
  <c r="E1186" i="14"/>
  <c r="D1186" i="14"/>
  <c r="C1186" i="14"/>
  <c r="B1186" i="14"/>
  <c r="A1186" i="14"/>
  <c r="L196" i="13"/>
  <c r="A196" i="13"/>
  <c r="X1188" i="3"/>
  <c r="D1188" i="3"/>
  <c r="J19" i="16"/>
  <c r="F17" i="16"/>
  <c r="G17" i="16" s="1"/>
  <c r="H17" i="16" s="1"/>
  <c r="E17" i="16"/>
  <c r="T16" i="16"/>
  <c r="F16" i="16"/>
  <c r="G16" i="16" s="1"/>
  <c r="H16" i="16" s="1"/>
  <c r="T12" i="16"/>
  <c r="T10" i="16"/>
  <c r="F1187" i="14" l="1"/>
  <c r="L1189" i="3"/>
  <c r="Y1189" i="3"/>
  <c r="Z1189" i="3" s="1"/>
  <c r="AA1189" i="3" s="1"/>
  <c r="F1186" i="14"/>
  <c r="H1187" i="14" s="1"/>
  <c r="I1187" i="14" s="1"/>
  <c r="L1187" i="14" l="1"/>
  <c r="Y1187" i="14"/>
  <c r="Z1187" i="14" s="1"/>
  <c r="AA1187" i="14" s="1"/>
  <c r="U8" i="16"/>
  <c r="U7" i="16" l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P9" i="16" l="1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T18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89" i="3" l="1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P1169" i="3"/>
  <c r="O1169" i="3"/>
  <c r="Y1169" i="3"/>
  <c r="Z1169" i="3" s="1"/>
  <c r="AA1169" i="3" s="1"/>
  <c r="K1169" i="3"/>
  <c r="L1169" i="3"/>
  <c r="N1189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89" i="3" l="1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O8" i="16" l="1"/>
  <c r="Q8" i="16" s="1"/>
  <c r="J1189" i="3"/>
  <c r="K1176" i="3"/>
  <c r="K1177" i="3" s="1"/>
  <c r="K1178" i="3" s="1"/>
  <c r="K1179" i="3" s="1"/>
  <c r="G1166" i="3"/>
  <c r="F1163" i="14"/>
  <c r="H1164" i="14" s="1"/>
  <c r="I1164" i="14" s="1"/>
  <c r="O10" i="16" l="1"/>
  <c r="Q10" i="16" s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K1189" i="3" l="1"/>
  <c r="O9" i="16" s="1"/>
  <c r="H1162" i="14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F1159" i="3" l="1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L1157" i="14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Q1185" i="14"/>
  <c r="R1185" i="14" s="1"/>
  <c r="F1157" i="3"/>
  <c r="Q1187" i="3"/>
  <c r="R1187" i="3" s="1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Y1151" i="3"/>
  <c r="Z1151" i="3" s="1"/>
  <c r="AA1151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0" i="3" l="1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Q1097" i="3"/>
  <c r="R1097" i="3" s="1"/>
  <c r="F1097" i="14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C1170" i="14" l="1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AD1189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096" i="14" l="1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0" i="14" l="1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U1183" i="14"/>
  <c r="V1183" i="14" s="1"/>
  <c r="H817" i="14"/>
  <c r="I817" i="14" s="1"/>
  <c r="U1182" i="14"/>
  <c r="V1182" i="14" s="1"/>
  <c r="H816" i="14"/>
  <c r="I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Z934" i="14" l="1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3" i="14" l="1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87" i="14" l="1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W1186" i="14" l="1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7" i="14" l="1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4" i="3" l="1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L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Y811" i="3" l="1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89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7" i="3" l="1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8" i="3" l="1"/>
  <c r="AA938" i="3" s="1"/>
  <c r="AB1189" i="3"/>
  <c r="Z937" i="3"/>
  <c r="AA937" i="3" s="1"/>
  <c r="AB1188" i="3"/>
  <c r="Z936" i="3"/>
  <c r="AA936" i="3" s="1"/>
  <c r="AB1187" i="3"/>
  <c r="Z935" i="3"/>
  <c r="AA935" i="3" s="1"/>
  <c r="AB1186" i="3"/>
  <c r="Z934" i="3"/>
  <c r="AA934" i="3" s="1"/>
  <c r="AB1185" i="3"/>
  <c r="Z933" i="3"/>
  <c r="AA933" i="3" s="1"/>
  <c r="AB1184" i="3" s="1"/>
  <c r="Z932" i="3"/>
  <c r="AA932" i="3" s="1"/>
  <c r="AB1183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2" i="3" l="1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63" i="3"/>
  <c r="M37" i="3"/>
  <c r="M71" i="3"/>
  <c r="M24" i="3"/>
  <c r="M141" i="3"/>
  <c r="M99" i="3"/>
  <c r="M148" i="3"/>
  <c r="M47" i="3"/>
  <c r="M110" i="3"/>
  <c r="M85" i="3"/>
  <c r="M142" i="3"/>
  <c r="M161" i="3"/>
  <c r="M31" i="3"/>
  <c r="M94" i="3"/>
  <c r="M77" i="3"/>
  <c r="M108" i="3"/>
  <c r="M91" i="3"/>
  <c r="M90" i="3"/>
  <c r="M139" i="3"/>
  <c r="M169" i="3"/>
  <c r="M145" i="3"/>
  <c r="M82" i="3"/>
  <c r="M78" i="3"/>
  <c r="M61" i="3"/>
  <c r="M92" i="3"/>
  <c r="M75" i="3"/>
  <c r="M74" i="3"/>
  <c r="M38" i="3"/>
  <c r="M138" i="3"/>
  <c r="M100" i="3"/>
  <c r="M129" i="3"/>
  <c r="M67" i="3"/>
  <c r="M62" i="3"/>
  <c r="M45" i="3"/>
  <c r="M76" i="3"/>
  <c r="M59" i="3"/>
  <c r="M162" i="3"/>
  <c r="M155" i="3"/>
  <c r="M36" i="3"/>
  <c r="M113" i="3"/>
  <c r="M46" i="3"/>
  <c r="M29" i="3"/>
  <c r="M60" i="3"/>
  <c r="M43" i="3"/>
  <c r="M42" i="3"/>
  <c r="M30" i="3"/>
  <c r="M44" i="3"/>
  <c r="M27" i="3"/>
  <c r="M26" i="3"/>
  <c r="M57" i="3"/>
  <c r="M88" i="3"/>
  <c r="M103" i="3"/>
  <c r="M166" i="3"/>
  <c r="M118" i="3"/>
  <c r="M87" i="3"/>
  <c r="M133" i="3"/>
  <c r="M86" i="3"/>
  <c r="M54" i="3"/>
  <c r="M69" i="3"/>
  <c r="M48" i="3"/>
  <c r="M125" i="3"/>
  <c r="M84" i="3"/>
  <c r="M65" i="3"/>
  <c r="M156" i="3"/>
  <c r="M49" i="3"/>
  <c r="M144" i="3"/>
  <c r="M114" i="3"/>
  <c r="M35" i="3"/>
  <c r="M164" i="3"/>
  <c r="M52" i="3"/>
  <c r="M116" i="3"/>
  <c r="M33" i="3"/>
  <c r="M154" i="3"/>
  <c r="M96" i="3"/>
  <c r="M127" i="3"/>
  <c r="M131" i="3"/>
  <c r="M80" i="3"/>
  <c r="M111" i="3"/>
  <c r="M170" i="3"/>
  <c r="M83" i="3"/>
  <c r="M51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143" i="3" l="1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9" i="3" l="1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<sst xmlns="http://schemas.openxmlformats.org/spreadsheetml/2006/main" count="794" uniqueCount="356">
  <si>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</si>
  <si>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</si>
  <si>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</si>
  <si>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</si>
  <si>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</si>
  <si>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</si>
  <si>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</si>
  <si>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</si>
  <si>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</si>
  <si>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</si>
  <si>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</si>
  <si>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</si>
  <si>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</si>
  <si>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</si>
  <si>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</si>
  <si>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</si>
  <si>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</si>
  <si>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</si>
  <si>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</si>
  <si>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</si>
  <si>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</si>
  <si>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</si>
  <si>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</si>
  <si>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</si>
  <si>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</si>
  <si>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</si>
  <si>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</si>
  <si>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</si>
  <si>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</si>
  <si>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</si>
  <si>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</si>
  <si>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</si>
  <si>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</si>
  <si>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</si>
  <si>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</si>
  <si>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</si>
  <si>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</si>
  <si>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</si>
  <si>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</si>
  <si>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</si>
  <si>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</si>
  <si>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</si>
  <si>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</si>
  <si>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</si>
  <si>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</si>
  <si>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</si>
  <si>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</si>
  <si>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</si>
  <si>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</si>
  <si>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</si>
  <si>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</si>
  <si>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</si>
  <si>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</si>
  <si>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</si>
  <si>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</si>
  <si>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</si>
  <si>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</si>
  <si>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</si>
  <si>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</si>
  <si>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</si>
  <si>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</si>
  <si>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</si>
  <si>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</si>
  <si>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</si>
  <si>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</si>
  <si>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</si>
  <si>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</si>
  <si>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</si>
  <si>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</si>
  <si>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</si>
  <si>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</si>
  <si>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</si>
  <si>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</si>
  <si>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</si>
  <si>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</si>
  <si>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</si>
  <si>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</si>
  <si>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</si>
  <si>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</si>
  <si>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</si>
  <si>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</si>
  <si>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</si>
  <si>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</si>
  <si>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</si>
  <si>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</si>
  <si>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</si>
  <si>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</si>
  <si>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</si>
  <si>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</si>
  <si>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</si>
  <si>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</si>
  <si>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</si>
  <si>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</si>
  <si>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</si>
  <si>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</si>
  <si>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</si>
  <si>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</si>
  <si>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</si>
  <si>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</si>
  <si>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</si>
  <si>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</si>
  <si>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</si>
  <si>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</si>
  <si>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</si>
  <si>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</si>
  <si>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</si>
  <si>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</si>
  <si>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</si>
  <si>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</si>
  <si>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</si>
  <si>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</si>
  <si>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</si>
  <si>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</si>
  <si>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</si>
  <si>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</si>
  <si>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</si>
  <si>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</si>
  <si>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</si>
  <si>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</si>
  <si>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</si>
  <si>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</si>
  <si>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</si>
  <si>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</si>
  <si>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</si>
  <si>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</si>
  <si>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</si>
  <si>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</si>
  <si>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</si>
  <si>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</si>
  <si>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</si>
  <si>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</si>
  <si>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</si>
  <si>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</si>
  <si>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</si>
  <si>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</si>
  <si>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</si>
  <si>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</si>
  <si>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</si>
  <si>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</si>
  <si>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</si>
  <si>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</si>
  <si>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</si>
  <si>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</si>
  <si>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</si>
  <si>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</si>
  <si>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</si>
  <si>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</si>
  <si>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</si>
  <si>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</si>
  <si>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</si>
  <si>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</si>
  <si>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</si>
  <si>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</si>
  <si>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</si>
  <si>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</si>
  <si>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</si>
  <si>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</si>
  <si>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</si>
  <si>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</si>
  <si>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</si>
  <si>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</si>
  <si>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</si>
  <si>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</si>
  <si>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</si>
  <si>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</si>
  <si>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</si>
  <si>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</si>
  <si>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</si>
  <si>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</si>
  <si>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</si>
  <si>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</si>
  <si>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</si>
  <si>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</si>
  <si>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</si>
  <si>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</si>
  <si>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</si>
  <si>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</si>
  <si>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</si>
  <si>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</si>
  <si>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</si>
  <si>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</si>
  <si>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</si>
  <si>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</si>
  <si>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</si>
  <si>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</si>
  <si>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</si>
  <si>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</si>
  <si>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</si>
  <si>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</si>
  <si>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</si>
  <si>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</si>
  <si>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</si>
  <si>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</si>
  <si>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</si>
  <si>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</si>
  <si>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</si>
  <si>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</si>
  <si>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</si>
  <si>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</si>
  <si>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</si>
  <si>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</si>
  <si>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</si>
  <si>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</si>
  <si>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</si>
  <si>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</si>
  <si>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</si>
  <si>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</si>
  <si>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</si>
  <si>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</si>
  <si>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</si>
  <si>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</si>
  <si>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</si>
  <si>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</si>
  <si>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</si>
  <si>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</si>
  <si>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</si>
  <si>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</si>
  <si>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</si>
  <si>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</si>
  <si>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</si>
  <si>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</si>
  <si>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</si>
  <si>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</si>
  <si>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</si>
  <si>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</si>
  <si>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</si>
  <si>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</si>
  <si>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</si>
  <si>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</si>
  <si>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</si>
  <si>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</si>
  <si>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</si>
  <si>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</si>
  <si>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</si>
  <si>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</si>
  <si>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</si>
  <si>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</si>
  <si>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</si>
  <si>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</si>
  <si>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</si>
  <si>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</si>
  <si>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</si>
  <si>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</si>
  <si>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</si>
  <si>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</si>
  <si>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</si>
  <si>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</si>
  <si>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</si>
  <si>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</si>
  <si>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</si>
  <si>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</si>
  <si>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</si>
  <si>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</si>
  <si>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</si>
  <si>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</si>
  <si>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</si>
  <si>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</si>
  <si>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</si>
  <si>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</si>
  <si>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</si>
  <si>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</si>
  <si>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</si>
  <si>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</si>
  <si>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</si>
  <si>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</si>
  <si>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</si>
  <si>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</si>
  <si>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</si>
  <si>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</si>
  <si>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</si>
  <si>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</si>
  <si>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</si>
  <si>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</si>
  <si>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</si>
  <si>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</si>
  <si>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</si>
  <si>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</si>
  <si>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</si>
  <si>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</si>
  <si>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</si>
  <si>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</si>
  <si>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</si>
  <si>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</si>
  <si>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</si>
  <si>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</si>
  <si>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</si>
  <si>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</si>
  <si>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</si>
  <si>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</si>
  <si>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</si>
  <si>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</si>
  <si>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</si>
  <si>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</si>
  <si>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</si>
  <si>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</si>
  <si>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</si>
  <si>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</si>
  <si>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</si>
  <si>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</si>
  <si>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</si>
  <si>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</si>
  <si>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</si>
  <si>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</si>
  <si>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</si>
  <si>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</si>
  <si>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</si>
  <si>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</si>
  <si>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</si>
  <si>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</si>
  <si>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</si>
  <si>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</si>
  <si>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</si>
  <si>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</si>
  <si>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</si>
  <si>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</si>
  <si>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</si>
  <si>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</si>
  <si>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</si>
  <si>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</si>
  <si>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</si>
  <si>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</si>
  <si>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</si>
  <si>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</si>
  <si>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</si>
  <si>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</si>
  <si>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</si>
  <si>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</si>
  <si>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</si>
  <si>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</si>
  <si>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</si>
  <si>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</si>
  <si>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</si>
  <si>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</si>
  <si>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</si>
  <si>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</si>
  <si>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</si>
  <si>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</si>
  <si>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</si>
  <si>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</si>
  <si>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</si>
  <si>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</si>
  <si>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</si>
  <si>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</si>
  <si>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</si>
  <si>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</si>
  <si>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</si>
  <si>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Transaction Fees</t>
  </si>
  <si>
    <t>Interest</t>
  </si>
  <si>
    <t>Dividends</t>
  </si>
  <si>
    <t>Withholding Tax</t>
  </si>
  <si>
    <t>Internal Transfers</t>
  </si>
  <si>
    <t>NVDA 16JAN26 110 C</t>
  </si>
  <si>
    <t>NVDA 31JAN25 115 P</t>
  </si>
  <si>
    <t>NVDA 31JAN25 119 P</t>
  </si>
  <si>
    <t>NVDA 07FEB25 119 P</t>
  </si>
  <si>
    <t>NVDA 31JAN25 126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</si>
</sst>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Data...3851729103</v>
        <stp/>
        <stp>BDP|17488990371770934291</stp>
        <tr r="L9" s="16"/>
      </tp>
      <tp t="s">
        <v>#N/A Requesting Data...2796089798</v>
        <stp/>
        <stp>BDP|12334903160624343193</stp>
        <tr r="H7" s="16"/>
      </tp>
      <tp t="s">
        <v>#N/A Requesting Data...3285169670</v>
        <stp/>
        <stp>BDP|11631739781717341169</stp>
        <tr r="D10" s="16"/>
      </tp>
      <tp t="s">
        <v>#N/A Requesting Data...2738940701</v>
        <stp/>
        <stp>BDP|12503804164161346560</stp>
        <tr r="H23" s="4"/>
      </tp>
      <tp t="s">
        <v>#N/A Requesting Data...4157782838</v>
        <stp/>
        <stp>BDP|15038974491608239300</stp>
        <tr r="E8" s="16"/>
      </tp>
      <tp t="s">
        <v>#N/A Requesting Data...3638879016</v>
        <stp/>
        <stp>BDP|18194437827130447215</stp>
        <tr r="K6" s="16"/>
      </tp>
      <tp t="s">
        <v>#N/A Requesting Data...2986546117</v>
        <stp/>
        <stp>BDP|14342216399620183288</stp>
        <tr r="F7" s="16"/>
      </tp>
      <tp t="s">
        <v>#N/A Requesting Data...2478432800</v>
        <stp/>
        <stp>BDP|12868917489186433836</stp>
        <tr r="D22" s="4"/>
      </tp>
      <tp t="s">
        <v>#N/A Requesting Data...2993660573</v>
        <stp/>
        <stp>BDP|17458564132487035495</stp>
        <tr r="G6" s="16"/>
      </tp>
      <tp t="s">
        <v>#N/A Requesting Data...4048015377</v>
        <stp/>
        <stp>BDP|11441239167720550763</stp>
        <tr r="G22" s="4"/>
      </tp>
      <tp t="s">
        <v>#N/A Requesting Data...3087009254</v>
        <stp/>
        <stp>BDP|12134806195186667708</stp>
        <tr r="F9" s="16"/>
      </tp>
      <tp t="s">
        <v>#N/A Requesting Data...2792227497</v>
        <stp/>
        <stp>BDP|15571183826414458091</stp>
        <tr r="F23" s="4"/>
      </tp>
      <tp t="s">
        <v>#N/A Requesting Data...2774282592</v>
        <stp/>
        <stp>BDP|16691583684581330968</stp>
        <tr r="F22" s="4"/>
      </tp>
      <tp t="s">
        <v>#N/A Requesting Data...4042497636</v>
        <stp/>
        <stp>BDP|10851542879122214334</stp>
        <tr r="K7" s="16"/>
      </tp>
      <tp t="s">
        <v>#N/A Requesting Data...2399076757</v>
        <stp/>
        <stp>BDP|13033893993631589338</stp>
        <tr r="C24" s="4"/>
      </tp>
      <tp t="s">
        <v>#N/A Requesting Data...3399196726</v>
        <stp/>
        <stp>BDP|15628696981164784920</stp>
        <tr r="F6" s="16"/>
      </tp>
      <tp t="s">
        <v>#N/A Requesting Data...2922273327</v>
        <stp/>
        <stp>BDP|17421494076265054774</stp>
        <tr r="D6" s="16"/>
      </tp>
      <tp t="s">
        <v>#N/A Requesting Data...3056764236</v>
        <stp/>
        <stp>BDP|11395363488884515847</stp>
        <tr r="E22" s="4"/>
      </tp>
      <tp t="s">
        <v>#N/A Requesting Data...4069098171</v>
        <stp/>
        <stp>BDP|11453968001806112847</stp>
        <tr r="L10" s="16"/>
      </tp>
      <tp t="s">
        <v>#N/A Requesting Data...2919582888</v>
        <stp/>
        <stp>BDP|14662245951000286439</stp>
        <tr r="C22" s="4"/>
      </tp>
      <tp t="s">
        <v>#N/A Requesting Data...3202533410</v>
        <stp/>
        <stp>BDP|16854102045504656375</stp>
        <tr r="K10" s="16"/>
      </tp>
      <tp t="s">
        <v>#N/A Requesting Data...3223623336</v>
        <stp/>
        <stp>BDP|17541570393706762923</stp>
        <tr r="K9" s="16"/>
      </tp>
      <tp t="s">
        <v>#N/A Requesting Data...2551294693</v>
        <stp/>
        <stp>BDP|14370156815235148488</stp>
        <tr r="F8" s="16"/>
      </tp>
      <tp t="s">
        <v>#N/A Requesting Data...3327531479</v>
        <stp/>
        <stp>BDP|16879443774998906816</stp>
        <tr r="K8" s="16"/>
      </tp>
    </main>
    <main first="bofaddin.rtdserver">
      <tp t="s">
        <v>#N/A Requesting Data...3787408426</v>
        <stp/>
        <stp>BDP|1413003601749412533</stp>
        <tr r="L6" s="16"/>
      </tp>
      <tp t="s">
        <v>#N/A Requesting Data...2511162577</v>
        <stp/>
        <stp>BDP|8485886604566386829</stp>
        <tr r="H22" s="4"/>
      </tp>
      <tp t="s">
        <v>#N/A Requesting Data...3699897808</v>
        <stp/>
        <stp>BDP|9958272376154164648</stp>
        <tr r="J9" s="16"/>
      </tp>
      <tp t="s">
        <v>#N/A Requesting Data...2654434821</v>
        <stp/>
        <stp>BDP|4155052320638790009</stp>
        <tr r="L7" s="16"/>
      </tp>
      <tp t="s">
        <v>#N/A Requesting Data...2460143013</v>
        <stp/>
        <stp>BDP|4997210966577515802</stp>
        <tr r="G9" s="16"/>
      </tp>
      <tp t="s">
        <v>#N/A Requesting Data...3490223545</v>
        <stp/>
        <stp>BDP|3599663092060873385</stp>
        <tr r="G23" s="4"/>
      </tp>
      <tp t="s">
        <v>#N/A Requesting Data...3351108527</v>
        <stp/>
        <stp>BDP|2715175043958188031</stp>
        <tr r="C23" s="4"/>
      </tp>
      <tp t="s">
        <v>#N/A Requesting Data...3022610799</v>
        <stp/>
        <stp>BDP|4938759477168674381</stp>
        <tr r="E23" s="4"/>
      </tp>
      <tp t="s">
        <v>#N/A Requesting Data...2829789451</v>
        <stp/>
        <stp>BDP|5516778511589823234</stp>
        <tr r="F10" s="16"/>
      </tp>
      <tp t="s">
        <v>#N/A Requesting Data...4116878991</v>
        <stp/>
        <stp>BDP|4120548091556971632</stp>
        <tr r="J8" s="16"/>
      </tp>
      <tp t="s">
        <v>#N/A Requesting Data...3743306029</v>
        <stp/>
        <stp>BDP|6229753396345444597</stp>
        <tr r="J10" s="16"/>
      </tp>
      <tp t="s">
        <v>#N/A Requesting Data...3520117627</v>
        <stp/>
        <stp>BDP|6992386206898388576</stp>
        <tr r="I6" s="16"/>
      </tp>
      <tp t="s">
        <v>#N/A Requesting Data...3809111745</v>
        <stp/>
        <stp>BDP|4532089580725904075</stp>
        <tr r="H6" s="16"/>
      </tp>
      <tp t="s">
        <v>#N/A Requesting Data...3940893626</v>
        <stp/>
        <stp>BDP|3379476956402510911</stp>
        <tr r="G7" s="16"/>
      </tp>
      <tp t="s">
        <v>#N/A Requesting Data...3426037567</v>
        <stp/>
        <stp>BDP|1440775866201456872</stp>
        <tr r="I10" s="16"/>
      </tp>
      <tp t="s">
        <v>#N/A Requesting Data...4242401953</v>
        <stp/>
        <stp>BDP|2558557980072118785</stp>
        <tr r="I9" s="16"/>
      </tp>
      <tp t="s">
        <v>#N/A Requesting Data...3154628970</v>
        <stp/>
        <stp>BDP|9567764807640019488</stp>
        <tr r="D23" s="4"/>
      </tp>
      <tp t="s">
        <v>#N/A Requesting Data...3747303650</v>
        <stp/>
        <stp>BDP|6919533648008043579</stp>
        <tr r="J6" s="16"/>
      </tp>
      <tp t="s">
        <v>#N/A Requesting Data...3917727834</v>
        <stp/>
        <stp>BDP|9795865377547352559</stp>
        <tr r="H9" s="16"/>
      </tp>
      <tp t="s">
        <v>#N/A Requesting Data...3228842436</v>
        <stp/>
        <stp>BDP|3621777069803976439</stp>
        <tr r="D8" s="16"/>
      </tp>
      <tp t="s">
        <v>#N/A Requesting Data...3441334671</v>
        <stp/>
        <stp>BDP|2634117571192198044</stp>
        <tr r="E10" s="16"/>
      </tp>
      <tp t="s">
        <v>#N/A Requesting Data...2456128989</v>
        <stp/>
        <stp>BDP|4088085636931872034</stp>
        <tr r="H8" s="16"/>
      </tp>
      <tp t="s">
        <v>#N/A Requesting Data...3559246432</v>
        <stp/>
        <stp>BDP|3917812088037969338</stp>
        <tr r="I8" s="16"/>
      </tp>
      <tp t="s">
        <v>#N/A Requesting Data...2680961020</v>
        <stp/>
        <stp>BDP|8329996959595020626</stp>
        <tr r="G8" s="16"/>
      </tp>
      <tp t="s">
        <v>#N/A Requesting Data...4066770935</v>
        <stp/>
        <stp>BDP|9551902812626788049</stp>
        <tr r="E9" s="16"/>
      </tp>
      <tp t="s">
        <v>#N/A Requesting Data...3077472248</v>
        <stp/>
        <stp>BDP|4245519764736732652</stp>
        <tr r="D9" s="16"/>
      </tp>
      <tp t="s">
        <v>#N/A Requesting Data...4273680957</v>
        <stp/>
        <stp>BDP|2172564009019829930</stp>
        <tr r="H10" s="16"/>
      </tp>
      <tp t="s">
        <v>#N/A Requesting Data...3662184533</v>
        <stp/>
        <stp>BDP|1538312403986856411</stp>
        <tr r="G10" s="16"/>
      </tp>
      <tp t="s">
        <v>#N/A Requesting Data...2502842960</v>
        <stp/>
        <stp>BDP|3016032546861645645</stp>
        <tr r="L8" s="16"/>
      </tp>
      <tp t="s">
        <v>#N/A Requesting Data...3718352238</v>
        <stp/>
        <stp>BDP|4274184704243147681</stp>
        <tr r="E6" s="16"/>
      </tp>
      <tp t="s">
        <v>#N/A Requesting Data...3933413687</v>
        <stp/>
        <stp>BDP|5342164155427751487</stp>
        <tr r="I7" s="16"/>
      </tp>
      <tp t="s">
        <v>#N/A Requesting Data...4031341315</v>
        <stp/>
        <stp>BDP|2470954931023095833</stp>
        <tr r="J7" s="16"/>
      </tp>
      <tp t="s">
        <v>#N/A Requesting Data...3051247554</v>
        <stp/>
        <stp>BDP|808002419262414195</stp>
        <tr r="D7" s="16"/>
      </tp>
      <tp t="s">
        <v>#N/A Requesting Data...3478157400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NAV'!$A$1169:$A$1489</c:f>
              <c:numCache>
                <c:formatCode>[$-409]d\-mmm\-yy;@</c:formatCode>
                <c:ptCount val="321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</c:numCache>
            </c:numRef>
          </c:cat>
          <c:val>
            <c:numRef>
              <c:f>'Historical NAV'!$N$1169:$N$1488</c:f>
              <c:numCache>
                <c:formatCode>0.00%;[Red]\(0.00%\)</c:formatCode>
                <c:ptCount val="320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NAV'!$A$2:$A$1489</c:f>
              <c:numCache>
                <c:formatCode>[$-409]d\-mmm\-yy;@</c:formatCode>
                <c:ptCount val="1488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</c:numCache>
            </c:numRef>
          </c:cat>
          <c:val>
            <c:numRef>
              <c:f>'Historical NAV'!$M$2:$M$1488</c:f>
              <c:numCache>
                <c:formatCode>0.00%;[Red]\(0.00%\)</c:formatCode>
                <c:ptCount val="1487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229793.66000000041</c:v>
                </c:pt>
                <c:pt idx="2">
                  <c:v>174582.74999999991</c:v>
                </c:pt>
                <c:pt idx="3">
                  <c:v>141390.62999999995</c:v>
                </c:pt>
                <c:pt idx="4">
                  <c:v>1307091.58</c:v>
                </c:pt>
                <c:pt idx="5">
                  <c:v>270528.75</c:v>
                </c:pt>
                <c:pt idx="6">
                  <c:v>896760.41000000015</c:v>
                </c:pt>
                <c:pt idx="7">
                  <c:v>0</c:v>
                </c:pt>
                <c:pt idx="8">
                  <c:v>-21223.336496886914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229793.66000000041</c:v>
                </c:pt>
                <c:pt idx="2">
                  <c:v>174582.74999999991</c:v>
                </c:pt>
                <c:pt idx="3">
                  <c:v>141390.62999999995</c:v>
                </c:pt>
                <c:pt idx="4">
                  <c:v>1307091.58</c:v>
                </c:pt>
                <c:pt idx="5">
                  <c:v>270528.75</c:v>
                </c:pt>
                <c:pt idx="6">
                  <c:v>896760.41000000015</c:v>
                </c:pt>
                <c:pt idx="7">
                  <c:v>0</c:v>
                </c:pt>
                <c:pt idx="8">
                  <c:v>-21223.336496886914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10" sqref="F10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45687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287</v>
      </c>
      <c r="B4" s="8">
        <f ca="1">OFFSET('Historical NAV'!I1,COUNT('Historical NAV'!A:A),,,)</f>
        <v>-7.5647639458667967E-2</v>
      </c>
      <c r="D4" s="91"/>
      <c r="E4" s="92"/>
    </row>
    <row r="5" spans="1:23">
      <c r="A5" t="s">
        <v>66</v>
      </c>
      <c r="B5" s="8">
        <f ca="1">OFFSET('Historical NAV'!K1,COUNT('Historical NAV'!A:A),,,)</f>
        <v>6.371136039766756E-2</v>
      </c>
      <c r="E5" s="146"/>
    </row>
    <row r="6" spans="1:23">
      <c r="A6" t="s">
        <v>283</v>
      </c>
      <c r="B6" s="8">
        <f ca="1">OFFSET('Historical NAV'!N1,COUNT('Historical NAV'!A:A),,,)</f>
        <v>6.371136039766756E-2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2.078245554740882E-4</v>
      </c>
      <c r="D9" t="s">
        <v>188</v>
      </c>
      <c r="E9" s="146">
        <f ca="1">OFFSET('Historical NAV'!B1,COUNT('Historical NAV'!A:A),,,)</f>
        <v>66307189.627214603</v>
      </c>
    </row>
    <row r="10" spans="1:23">
      <c r="A10" t="s">
        <v>181</v>
      </c>
      <c r="B10" s="2">
        <f ca="1">E13/E9</f>
        <v>1.8844080212489745E-3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-0.12311042377016056</v>
      </c>
      <c r="D11" t="s">
        <v>160</v>
      </c>
      <c r="E11" s="8">
        <f ca="1">E10/E9</f>
        <v>0.62695351444872138</v>
      </c>
    </row>
    <row r="12" spans="1:23">
      <c r="A12" t="s">
        <v>147</v>
      </c>
      <c r="B12" s="8">
        <f ca="1">OFFSET('Historical NAV'!T1,COUNT('Historical NAV'!A:A),,,)</f>
        <v>-9.7154838543926612E-3</v>
      </c>
    </row>
    <row r="13" spans="1:23">
      <c r="A13" t="s">
        <v>148</v>
      </c>
      <c r="B13" s="8">
        <f ca="1">OFFSET('Historical NAV'!V1,COUNT('Historical NAV'!A:A),,,)</f>
        <v>0.776681219948267</v>
      </c>
      <c r="D13" s="99" t="s">
        <v>180</v>
      </c>
      <c r="E13" s="152">
        <f>K25</f>
        <v>124949.8</v>
      </c>
    </row>
    <row r="14" spans="1:23">
      <c r="A14" t="s">
        <v>125</v>
      </c>
      <c r="B14" s="51">
        <f ca="1">OFFSET('Historical NAV'!W1,COUNT('Historical NAV'!A:A),,,)</f>
        <v>1.6707928183603009</v>
      </c>
      <c r="D14" s="303">
        <v>5.0000000000000001E-3</v>
      </c>
      <c r="E14" s="123">
        <f>(D14*$E$13)/(1-D14)</f>
        <v>627.88844221105535</v>
      </c>
    </row>
    <row r="15" spans="1:23">
      <c r="A15" t="s">
        <v>144</v>
      </c>
      <c r="B15" s="51">
        <f ca="1">OFFSET('Historical NAV'!AB1,COUNT('Historical NAV'!A:A),,,)</f>
        <v>4.0603042907780891</v>
      </c>
      <c r="D15" s="303">
        <v>0.01</v>
      </c>
      <c r="E15" s="123">
        <f>(D15*$E$13)/(1-D15)</f>
        <v>1262.119191919192</v>
      </c>
      <c r="F15" s="133"/>
    </row>
    <row r="16" spans="1:23">
      <c r="A16" t="s">
        <v>145</v>
      </c>
      <c r="B16" s="51">
        <f ca="1">OFFSET('Historical NAV'!P1,COUNT('Historical NAV'!A:A),,,)</f>
        <v>0.52283258013687339</v>
      </c>
      <c r="D16" s="303">
        <v>1.4999999999999999E-2</v>
      </c>
      <c r="E16" s="123">
        <f>(D16*$E$13)/(1-D16)</f>
        <v>1902.7888324873097</v>
      </c>
      <c r="F16" s="169"/>
    </row>
    <row r="17" spans="1:23">
      <c r="A17" t="s">
        <v>185</v>
      </c>
      <c r="B17" s="51">
        <f ca="1">OFFSET('Historical NAV'!AC1,COUNT('Historical NAV'!A:A),,,)</f>
        <v>-4.6071882429871619E-2</v>
      </c>
      <c r="D17" s="303">
        <v>0.05</v>
      </c>
      <c r="E17" s="123">
        <f>(D17*$E$13)/(1-D17)</f>
        <v>6576.3052631578958</v>
      </c>
    </row>
    <row r="18" spans="1:23">
      <c r="A18" t="s">
        <v>186</v>
      </c>
      <c r="B18" s="51">
        <f ca="1">OFFSET('Historical NAV'!AD1,COUNT('Historical NAV'!A:A),,,)</f>
        <v>-3.9874949151526437E-2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-4.8811944499750667E-2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0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5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6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124650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299.8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124949.8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124650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0.9976006364155845</v>
      </c>
      <c r="D26" s="103">
        <f>D25/$K$25</f>
        <v>0</v>
      </c>
      <c r="E26" s="103">
        <f>E25/$K$25</f>
        <v>0</v>
      </c>
      <c r="F26" s="103">
        <f t="shared" si="0"/>
        <v>0</v>
      </c>
      <c r="G26" s="103">
        <f t="shared" si="0"/>
        <v>0</v>
      </c>
      <c r="H26" s="103">
        <f t="shared" si="0"/>
        <v>2.3993635844155015E-3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0.9976006364155845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1.8798866412646092E-3</v>
      </c>
      <c r="D27" s="165">
        <f ca="1">D25/$E$9</f>
        <v>0</v>
      </c>
      <c r="E27" s="165">
        <f t="shared" ref="E27:K27" ca="1" si="1">E25/$E$9</f>
        <v>0</v>
      </c>
      <c r="F27" s="165">
        <f t="shared" ca="1" si="1"/>
        <v>0</v>
      </c>
      <c r="G27" s="165">
        <f t="shared" ca="1" si="1"/>
        <v>0</v>
      </c>
      <c r="H27" s="165">
        <f t="shared" ca="1" si="1"/>
        <v>4.5213799843652616E-6</v>
      </c>
      <c r="I27" s="165">
        <f t="shared" ca="1" si="1"/>
        <v>0</v>
      </c>
      <c r="J27" s="165">
        <f t="shared" ca="1" si="1"/>
        <v>0</v>
      </c>
      <c r="K27" s="165">
        <f t="shared" ca="1" si="1"/>
        <v>1.8844080212489745E-3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950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8138.8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9088.7999999999993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344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229793.66000000041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141390.62999999995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896760.41000000015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-21223.336496886914</v>
      </c>
      <c r="K33" s="154">
        <f t="shared" ref="K33:K44" si="2">SUM(B33:J33)</f>
        <v>4615604.2335031135</v>
      </c>
      <c r="L33" s="154">
        <f>SUM(Email!$T$9:$T$11)-K33</f>
        <v>-516912.25221741106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345</v>
      </c>
      <c r="B45" s="164">
        <f t="shared" ref="B45:I45" si="3">SUM(B33:B44)</f>
        <v>1616679.7899999998</v>
      </c>
      <c r="C45" s="164">
        <f>SUM(C33:C44)</f>
        <v>229793.66000000041</v>
      </c>
      <c r="D45" s="164">
        <f>SUM(D33:D44)</f>
        <v>174582.74999999991</v>
      </c>
      <c r="E45" s="164">
        <f t="shared" si="3"/>
        <v>141390.62999999995</v>
      </c>
      <c r="F45" s="164">
        <f t="shared" si="3"/>
        <v>1307091.58</v>
      </c>
      <c r="G45" s="164">
        <f t="shared" si="3"/>
        <v>270528.75</v>
      </c>
      <c r="H45" s="164">
        <f t="shared" si="3"/>
        <v>896760.41000000015</v>
      </c>
      <c r="I45" s="164">
        <f t="shared" si="3"/>
        <v>0</v>
      </c>
      <c r="J45" s="164">
        <f>SUM(J33:J44)</f>
        <v>-21223.336496886914</v>
      </c>
      <c r="K45" s="164">
        <f>SUM(K33:K44)</f>
        <v>4615604.2335031135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3.6327873699523003E-3</v>
      </c>
      <c r="D50" s="299">
        <f>D33/'Historical NAV'!$B$1169</f>
        <v>2.7599630434170311E-3</v>
      </c>
      <c r="E50" s="299">
        <f>E33/'Historical NAV'!$B$1169</f>
        <v>2.2352317940085801E-3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1.4176804927173541E-2</v>
      </c>
      <c r="I50" s="299">
        <f>I33/'Historical NAV'!$B$1169</f>
        <v>0</v>
      </c>
      <c r="J50" s="299">
        <f>J33/'Historical NAV'!$B$1169</f>
        <v>-3.3551782400845323E-4</v>
      </c>
      <c r="K50" s="299">
        <f>K33/'Historical NAV'!$B$1169</f>
        <v>7.2967673538810632E-2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345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4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B1189" sqref="B1189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9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1000</v>
      </c>
      <c r="E3" s="153">
        <v>124.65</v>
      </c>
      <c r="F3" s="153">
        <v>124650</v>
      </c>
      <c r="G3" s="153">
        <v>1</v>
      </c>
      <c r="H3" s="153">
        <v>124650</v>
      </c>
      <c r="I3" s="218">
        <v>99.76</v>
      </c>
      <c r="J3"/>
      <c r="K3"/>
    </row>
    <row r="4" spans="1:11">
      <c r="A4" s="221" t="s">
        <v>354</v>
      </c>
      <c r="B4" s="153" t="s">
        <v>140</v>
      </c>
      <c r="C4" s="153" t="s">
        <v>38</v>
      </c>
      <c r="D4" s="153">
        <v>-10</v>
      </c>
      <c r="E4" s="153">
        <v>2.42</v>
      </c>
      <c r="F4" s="153">
        <v>-24.2</v>
      </c>
      <c r="G4" s="153">
        <v>1</v>
      </c>
      <c r="H4" s="153">
        <v>-24.2</v>
      </c>
      <c r="I4" s="218">
        <v>-0.02</v>
      </c>
      <c r="J4"/>
      <c r="K4"/>
    </row>
    <row r="5" spans="1:11">
      <c r="A5" s="221" t="s">
        <v>351</v>
      </c>
      <c r="B5" s="153" t="s">
        <v>140</v>
      </c>
      <c r="C5" s="153" t="s">
        <v>38</v>
      </c>
      <c r="D5" s="153">
        <v>10</v>
      </c>
      <c r="E5" s="153">
        <v>34.200000000000003</v>
      </c>
      <c r="F5" s="153">
        <v>342</v>
      </c>
      <c r="G5" s="153">
        <v>1</v>
      </c>
      <c r="H5" s="153">
        <v>342</v>
      </c>
      <c r="I5" s="218">
        <v>0.27</v>
      </c>
      <c r="J5"/>
      <c r="K5"/>
    </row>
    <row r="6" spans="1:11">
      <c r="A6" s="221" t="s">
        <v>352</v>
      </c>
      <c r="B6" s="153" t="s">
        <v>140</v>
      </c>
      <c r="C6" s="153" t="s">
        <v>38</v>
      </c>
      <c r="D6" s="153">
        <v>-20</v>
      </c>
      <c r="E6" s="153">
        <v>0.16</v>
      </c>
      <c r="F6" s="153">
        <v>-3.2</v>
      </c>
      <c r="G6" s="153">
        <v>1</v>
      </c>
      <c r="H6" s="153">
        <v>-3.2</v>
      </c>
      <c r="I6" s="218">
        <v>0</v>
      </c>
      <c r="J6"/>
      <c r="K6"/>
    </row>
    <row r="7" spans="1:11">
      <c r="A7" s="221" t="s">
        <v>353</v>
      </c>
      <c r="B7" s="153" t="s">
        <v>140</v>
      </c>
      <c r="C7" s="153" t="s">
        <v>38</v>
      </c>
      <c r="D7" s="153">
        <v>-10</v>
      </c>
      <c r="E7" s="153">
        <v>0.36</v>
      </c>
      <c r="F7" s="153">
        <v>-3.6</v>
      </c>
      <c r="G7" s="153">
        <v>1</v>
      </c>
      <c r="H7" s="153">
        <v>-3.6</v>
      </c>
      <c r="I7" s="218">
        <v>0</v>
      </c>
      <c r="J7"/>
      <c r="K7"/>
    </row>
    <row r="8" spans="1:11">
      <c r="A8" s="221" t="s">
        <v>355</v>
      </c>
      <c r="B8" s="153" t="s">
        <v>140</v>
      </c>
      <c r="C8" s="153" t="s">
        <v>38</v>
      </c>
      <c r="D8" s="153">
        <v>-10</v>
      </c>
      <c r="E8" s="153">
        <v>1.1200000000000001</v>
      </c>
      <c r="F8" s="153">
        <v>-11.2</v>
      </c>
      <c r="G8" s="153">
        <v>1</v>
      </c>
      <c r="H8" s="153">
        <v>-11.2</v>
      </c>
      <c r="I8" s="218">
        <v>-0.01</v>
      </c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topLeftCell="C1" zoomScale="85" zoomScaleNormal="85" workbookViewId="0">
      <selection activeCell="S2" sqref="S2:U13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337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335</v>
      </c>
      <c r="C3" s="109" t="s">
        <v>336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343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71204832.620000005</v>
      </c>
    </row>
    <row r="4" spans="2:22">
      <c r="B4" t="s">
        <v>343</v>
      </c>
      <c r="C4" t="s">
        <v>342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-7.5647639458667967E-2</v>
      </c>
      <c r="H4" s="8" t="str">
        <f t="shared" si="0"/>
        <v/>
      </c>
      <c r="I4" s="8">
        <f t="shared" ca="1" si="0"/>
        <v>2.078245554740882E-4</v>
      </c>
      <c r="J4" s="8">
        <f t="shared" ca="1" si="0"/>
        <v>6.371136039766756E-2</v>
      </c>
      <c r="K4" s="8">
        <f ca="1">J4</f>
        <v>6.371136039766756E-2</v>
      </c>
      <c r="L4" s="8">
        <f t="shared" ca="1" si="0"/>
        <v>6.371136039766756E-2</v>
      </c>
      <c r="N4" t="s">
        <v>290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288</v>
      </c>
      <c r="T4" s="286">
        <f>ROUND(VLOOKUP("Deposits &amp; Withdrawals", 'Email input'!C:D, 2, FALSE),2)</f>
        <v>-9000000</v>
      </c>
    </row>
    <row r="5" spans="2:22">
      <c r="B5" t="s">
        <v>299</v>
      </c>
      <c r="C5" t="s">
        <v>334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288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899536.03583452746</v>
      </c>
      <c r="U5" s="8">
        <f>VLOOKUP("Commodities", 'Email input'!F:G, 2, FALSE)/100</f>
        <v>1.4460870610000001E-2</v>
      </c>
    </row>
    <row r="6" spans="2:22">
      <c r="B6" t="s">
        <v>309</v>
      </c>
      <c r="C6" t="s">
        <v>333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1.743970810417798E-2</v>
      </c>
      <c r="H6" s="8">
        <f t="array" ref="H6">IFERROR(_xll.BDP($B6,"INTERVAL_PERCENT_CHANGE", "END_DATE_OVERRIDE="&amp;TEXT(H$17,"yyyymmdd"), "START_DATE_OVERRIDE="&amp;TEXT(H$16,"yyyymmdd"))/100, "")</f>
        <v>-2.6879781814834658E-4</v>
      </c>
      <c r="I6" s="8">
        <f>_xll.BDP(B6,"CHG_PCT_1D")/100</f>
        <v>4.7009060000000004E-3</v>
      </c>
      <c r="J6" s="8">
        <f>_xll.BDP($B6,"CURRENT_TRR_MTD")/100</f>
        <v>3.7861440000000003E-2</v>
      </c>
      <c r="K6" s="8">
        <f>_xll.BDP(B6,"CHG_PCT_1M")/100</f>
        <v>3.7078170000000001E-2</v>
      </c>
      <c r="L6" s="8">
        <f t="array" ref="L6">_xll.BDP($B6,"CHG_PCT_YTD")/100</f>
        <v>3.7078170000000001E-2</v>
      </c>
      <c r="N6" t="s">
        <v>300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291</v>
      </c>
      <c r="T6" s="286">
        <f>($T$3+T$4)*U6</f>
        <v>3537571.9673692775</v>
      </c>
      <c r="U6" s="8">
        <f>VLOOKUP("new_equity", 'Email input'!F:G, 2, FALSE)/100</f>
        <v>5.6869728900000006E-2</v>
      </c>
    </row>
    <row r="7" spans="2:22">
      <c r="B7" t="s">
        <v>310</v>
      </c>
      <c r="C7" t="s">
        <v>332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1.5524353870944278E-2</v>
      </c>
      <c r="H7" s="8">
        <f t="array" ref="H7">IFERROR(_xll.BDP($B7,"INTERVAL_PERCENT_CHANGE", "END_DATE_OVERRIDE="&amp;TEXT(H$17,"yyyymmdd"), "START_DATE_OVERRIDE="&amp;TEXT(H$16,"yyyymmdd"))/100, "")</f>
        <v>5.1437470635983882E-5</v>
      </c>
      <c r="I7" s="8">
        <f t="array" ref="I7">_xll.BDP(B7,"CHG_PCT_1D")/100</f>
        <v>1.232744E-2</v>
      </c>
      <c r="J7" s="8">
        <f t="array" ref="J7">_xll.BDP($B7,"CURRENT_TRR_MTD")/100</f>
        <v>3.6566790000000002E-2</v>
      </c>
      <c r="K7" s="8">
        <f>_xll.BDP(B7,"CHG_PCT_1M")/100</f>
        <v>3.6221379999999997E-2</v>
      </c>
      <c r="L7" s="8">
        <f t="array" ref="L7">_xll.BDP($B7,"CHG_PCT_YTD")/100</f>
        <v>3.6221379999999997E-2</v>
      </c>
      <c r="N7" s="47" t="s">
        <v>95</v>
      </c>
      <c r="O7" s="295">
        <f ca="1">OFFSET('Historical NAV'!F1,COUNT('Historical NAV'!A:A),,,)</f>
        <v>13777.398927204311</v>
      </c>
      <c r="P7" s="296" t="s">
        <v>58</v>
      </c>
      <c r="Q7" s="297">
        <f ca="1">SUM(O7:P7)</f>
        <v>13777.398927204311</v>
      </c>
      <c r="S7" t="s">
        <v>292</v>
      </c>
      <c r="T7" s="286">
        <f>($T$3+T$4)*U7</f>
        <v>153178.16991516078</v>
      </c>
      <c r="U7" s="8">
        <f>VLOOKUP("Fixed Income", 'Email input'!F:G, 2, FALSE)/100</f>
        <v>2.46248022E-3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2.0892835872255461E-2</v>
      </c>
      <c r="H8" s="8">
        <f t="array" ref="H8">IFERROR(_xll.BDP($B8,"INTERVAL_PERCENT_CHANGE", "END_DATE_OVERRIDE="&amp;TEXT(H$17,"yyyymmdd"), "START_DATE_OVERRIDE="&amp;TEXT(H$16,"yyyymmdd"))/100, "")</f>
        <v>-8.5304321221340565E-4</v>
      </c>
      <c r="I8" s="8">
        <f t="array" ref="I8">_xll.BDP(B8,"CHG_PCT_1D")/100</f>
        <v>6.54129E-3</v>
      </c>
      <c r="J8" s="8">
        <f t="array" ref="J8">_xll.BDP($B8,"CURRENT_TRR_MTD")/100</f>
        <v>4.0099330000000002E-2</v>
      </c>
      <c r="K8" s="8">
        <f>_xll.BDP(B8,"CHG_PCT_1M")/100</f>
        <v>3.928239E-2</v>
      </c>
      <c r="L8" s="8">
        <f t="array" ref="L8">_xll.BDP($B8,"CHG_PCT_YTD")/100</f>
        <v>3.928239E-2</v>
      </c>
      <c r="N8" t="s">
        <v>301</v>
      </c>
      <c r="O8" s="69">
        <f ca="1">OFFSET('Historical NAV'!J1,COUNT('Historical NAV'!A:A),,,)</f>
        <v>4102357.0057705045</v>
      </c>
      <c r="P8" s="280">
        <f>SUM(P4:P5)*P9</f>
        <v>21512.876600000007</v>
      </c>
      <c r="Q8" s="280">
        <f ca="1">SUM(O8:P8)</f>
        <v>4123869.8823705046</v>
      </c>
      <c r="S8" s="47" t="s">
        <v>293</v>
      </c>
      <c r="T8" s="287">
        <f>($T$3+T$4)*U8</f>
        <v>-470370.8553363767</v>
      </c>
      <c r="U8" s="207">
        <f>VLOOKUP("Cash", 'Email input'!F:G, 2, FALSE)/100</f>
        <v>-7.5616449000000001E-3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9.3638707188410351E-3</v>
      </c>
      <c r="H9" s="8">
        <f t="array" ref="H9">IFERROR(_xll.BDP($B9,"INTERVAL_PERCENT_CHANGE", "END_DATE_OVERRIDE="&amp;TEXT(H$17,"yyyymmdd"), "START_DATE_OVERRIDE="&amp;TEXT(H$16,"yyyymmdd"))/100, "")</f>
        <v>2.3651014276998318E-3</v>
      </c>
      <c r="I9" s="8">
        <f t="array" ref="I9">_xll.BDP(B9,"CHG_PCT_1D")/100</f>
        <v>2.71113E-3</v>
      </c>
      <c r="J9" s="8">
        <f t="array" ref="J9">_xll.BDP($B9,"CURRENT_TRR_MTD")/100</f>
        <v>6.0657550000000008E-3</v>
      </c>
      <c r="K9" s="8">
        <f>_xll.BDP(B9,"CHG_PCT_1M")/100</f>
        <v>6.0657550000000008E-3</v>
      </c>
      <c r="L9" s="8">
        <f t="array" ref="L9">_xll.BDP($B9,"CHG_PCT_YTD")/100</f>
        <v>6.0657550000000008E-3</v>
      </c>
      <c r="N9" t="s">
        <v>302</v>
      </c>
      <c r="O9" s="8">
        <f ca="1">OFFSET('Historical NAV'!K1,COUNT('Historical NAV'!A:A),,,)</f>
        <v>6.371136039766756E-2</v>
      </c>
      <c r="P9" s="285">
        <f>J5</f>
        <v>1.0000000000000002E-2</v>
      </c>
      <c r="S9" t="s">
        <v>294</v>
      </c>
      <c r="T9" s="288">
        <f>SUM(T5:T8)</f>
        <v>4119915.3177825892</v>
      </c>
      <c r="V9" s="312">
        <f>T9/(T3+T4)</f>
        <v>6.6231434830000019E-2</v>
      </c>
    </row>
    <row r="10" spans="2:22" ht="15.75" thickBot="1">
      <c r="B10" t="s">
        <v>330</v>
      </c>
      <c r="C10" s="8" t="s">
        <v>331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-2.5729128594532218E-3</v>
      </c>
      <c r="H10" s="8">
        <f t="array" ref="H10">IFERROR(_xll.BDP($B10,"INTERVAL_PERCENT_CHANGE", "END_DATE_OVERRIDE="&amp;TEXT(H$17,"yyyymmdd"), "START_DATE_OVERRIDE="&amp;TEXT(H$16,"yyyymmdd"))/100, "")</f>
        <v>-1.0909910092827045E-2</v>
      </c>
      <c r="I10" s="8">
        <f>_xll.BDP(B10,"CHG_PCT_1D")/100</f>
        <v>-4.2128500000000006E-3</v>
      </c>
      <c r="J10" s="8">
        <f t="array" ref="J10">_xll.BDP($B10,"CURRENT_TRR_MTD")/100</f>
        <v>3.5837979999999998E-2</v>
      </c>
      <c r="K10" s="8">
        <f>_xll.BDP(B10,"CHG_PCT_1M")/100</f>
        <v>3.5837979999999998E-2</v>
      </c>
      <c r="L10" s="8">
        <f t="array" ref="L10">_xll.BDP($B10,"CHG_PCT_YTD")/100</f>
        <v>3.5837979999999998E-2</v>
      </c>
      <c r="N10" s="275" t="s">
        <v>297</v>
      </c>
      <c r="O10" s="281">
        <f ca="1">O4+O5+O8</f>
        <v>66307189.625770509</v>
      </c>
      <c r="P10" s="276">
        <f>P4+P5+P8</f>
        <v>2172800.5366000002</v>
      </c>
      <c r="Q10" s="281">
        <f ca="1">SUM(O10:P10)</f>
        <v>68479990.162370503</v>
      </c>
      <c r="S10" t="s">
        <v>295</v>
      </c>
      <c r="T10" s="286">
        <f>SUM('Email input'!D5:D10)</f>
        <v>-445687.56812189997</v>
      </c>
      <c r="U10" s="8"/>
    </row>
    <row r="11" spans="2:22" ht="15.75" hidden="1" outlineLevel="1" thickTop="1">
      <c r="O11" s="283"/>
      <c r="P11" s="283"/>
      <c r="Q11" s="283"/>
      <c r="S11" t="s">
        <v>338</v>
      </c>
      <c r="T11" s="294">
        <v>424464.23162501305</v>
      </c>
      <c r="U11" s="8"/>
    </row>
    <row r="12" spans="2:22" ht="15.75" collapsed="1" thickTop="1">
      <c r="S12" t="s">
        <v>296</v>
      </c>
      <c r="T12" s="280">
        <f>SUM('Email input'!D10:D13)</f>
        <v>3665.0259289000023</v>
      </c>
      <c r="U12" s="8"/>
    </row>
    <row r="13" spans="2:22" ht="15.75" thickBot="1">
      <c r="S13" s="275" t="s">
        <v>297</v>
      </c>
      <c r="T13" s="281">
        <f>T3+T4+T9+T10+T12+T11</f>
        <v>66307189.627214603</v>
      </c>
      <c r="U13" s="277"/>
    </row>
    <row r="14" spans="2:22" ht="15.75" thickTop="1"/>
    <row r="15" spans="2:22" s="289" customFormat="1">
      <c r="T15" s="290"/>
    </row>
    <row r="16" spans="2:22">
      <c r="B16" t="s">
        <v>326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325</v>
      </c>
      <c r="P16" s="310">
        <v>2151287.66</v>
      </c>
      <c r="S16" t="s">
        <v>324</v>
      </c>
      <c r="T16" s="282">
        <f ca="1">OFFSET('Historical NAV'!B1,COUNT('Historical NAV'!A:A),,,)</f>
        <v>66307189.627214603</v>
      </c>
    </row>
    <row r="17" spans="2:21">
      <c r="B17" t="s">
        <v>327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66307189.627214603</v>
      </c>
    </row>
    <row r="18" spans="2:21">
      <c r="B18" t="s">
        <v>328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-7.5647639458667967E-2</v>
      </c>
      <c r="H18" s="298"/>
      <c r="I18" s="8">
        <f ca="1">Dashboard!B9</f>
        <v>2.078245554740882E-4</v>
      </c>
      <c r="J18" s="8">
        <f ca="1">Dashboard!B5</f>
        <v>6.371136039766756E-2</v>
      </c>
      <c r="K18" s="8"/>
      <c r="L18" s="69">
        <f ca="1">Dashboard!B6</f>
        <v>6.371136039766756E-2</v>
      </c>
      <c r="O18" s="69"/>
      <c r="T18" s="284">
        <f ca="1">T16-T17</f>
        <v>0</v>
      </c>
    </row>
    <row r="19" spans="2:21">
      <c r="B19" t="s">
        <v>329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339</v>
      </c>
      <c r="B1" s="282" t="s">
        <v>321</v>
      </c>
      <c r="C1" t="s">
        <v>340</v>
      </c>
      <c r="D1" s="282" t="s">
        <v>341</v>
      </c>
      <c r="F1" t="s">
        <v>150</v>
      </c>
      <c r="G1" t="s">
        <v>150</v>
      </c>
    </row>
    <row r="2" spans="1:7">
      <c r="A2" t="s">
        <v>339</v>
      </c>
      <c r="B2" s="282" t="s">
        <v>322</v>
      </c>
      <c r="C2" t="s">
        <v>315</v>
      </c>
      <c r="D2" s="282">
        <v>71204832.621444106</v>
      </c>
      <c r="F2" t="s">
        <v>321</v>
      </c>
      <c r="G2" t="s">
        <v>322</v>
      </c>
    </row>
    <row r="3" spans="1:7">
      <c r="A3" t="s">
        <v>339</v>
      </c>
      <c r="B3" s="282" t="s">
        <v>322</v>
      </c>
      <c r="C3" t="s">
        <v>316</v>
      </c>
      <c r="D3" s="282">
        <v>4586526.4022502303</v>
      </c>
      <c r="F3" t="s">
        <v>165</v>
      </c>
      <c r="G3" t="s">
        <v>20</v>
      </c>
    </row>
    <row r="4" spans="1:7">
      <c r="A4" t="s">
        <v>339</v>
      </c>
      <c r="B4" s="282" t="s">
        <v>322</v>
      </c>
      <c r="C4" t="s">
        <v>317</v>
      </c>
      <c r="D4" s="282">
        <v>-9000000</v>
      </c>
      <c r="F4" t="s">
        <v>44</v>
      </c>
      <c r="G4">
        <v>1.4460870610000001</v>
      </c>
    </row>
    <row r="5" spans="1:7">
      <c r="A5" t="s">
        <v>339</v>
      </c>
      <c r="B5" s="282" t="s">
        <v>322</v>
      </c>
      <c r="C5" t="s">
        <v>350</v>
      </c>
      <c r="D5" s="282">
        <v>-10.1312549</v>
      </c>
      <c r="F5" t="s">
        <v>292</v>
      </c>
      <c r="G5">
        <v>0.24624802200000001</v>
      </c>
    </row>
    <row r="6" spans="1:7">
      <c r="A6" t="s">
        <v>339</v>
      </c>
      <c r="B6" s="282" t="s">
        <v>322</v>
      </c>
      <c r="C6" t="s">
        <v>348</v>
      </c>
      <c r="D6" s="282">
        <v>93053.959070600002</v>
      </c>
      <c r="F6" t="s">
        <v>293</v>
      </c>
      <c r="G6">
        <v>-0.75616448999999997</v>
      </c>
    </row>
    <row r="7" spans="1:7">
      <c r="A7" t="s">
        <v>339</v>
      </c>
      <c r="B7" s="282" t="s">
        <v>322</v>
      </c>
      <c r="C7" t="s">
        <v>349</v>
      </c>
      <c r="D7" s="282">
        <v>-11725.1212332</v>
      </c>
    </row>
    <row r="8" spans="1:7">
      <c r="A8" t="s">
        <v>339</v>
      </c>
      <c r="B8" s="282" t="s">
        <v>322</v>
      </c>
      <c r="C8" t="s">
        <v>318</v>
      </c>
      <c r="D8" s="282">
        <v>-28154.3305239</v>
      </c>
      <c r="F8" t="s">
        <v>323</v>
      </c>
      <c r="G8">
        <v>5.6869728900000007</v>
      </c>
    </row>
    <row r="9" spans="1:7">
      <c r="A9" t="s">
        <v>339</v>
      </c>
      <c r="B9" s="282" t="s">
        <v>322</v>
      </c>
      <c r="C9" t="s">
        <v>347</v>
      </c>
      <c r="D9" s="282">
        <v>-540990.49269069999</v>
      </c>
    </row>
    <row r="10" spans="1:7">
      <c r="A10" t="s">
        <v>339</v>
      </c>
      <c r="B10" s="282" t="s">
        <v>322</v>
      </c>
      <c r="C10" t="s">
        <v>319</v>
      </c>
      <c r="D10" s="282">
        <v>42138.548510200002</v>
      </c>
    </row>
    <row r="11" spans="1:7">
      <c r="A11" t="s">
        <v>339</v>
      </c>
      <c r="B11" s="282" t="s">
        <v>322</v>
      </c>
      <c r="C11" t="s">
        <v>43</v>
      </c>
      <c r="D11" s="282">
        <v>-414.57</v>
      </c>
    </row>
    <row r="12" spans="1:7">
      <c r="A12" t="s">
        <v>339</v>
      </c>
      <c r="B12" s="282" t="s">
        <v>322</v>
      </c>
      <c r="C12" t="s">
        <v>18</v>
      </c>
      <c r="D12" s="282">
        <v>-26056.255350060001</v>
      </c>
    </row>
    <row r="13" spans="1:7">
      <c r="A13" t="s">
        <v>339</v>
      </c>
      <c r="B13" s="282" t="s">
        <v>322</v>
      </c>
      <c r="C13" t="s">
        <v>346</v>
      </c>
      <c r="D13" s="282">
        <v>-12002.697231239999</v>
      </c>
    </row>
    <row r="14" spans="1:7">
      <c r="A14" t="s">
        <v>339</v>
      </c>
      <c r="B14" s="282" t="s">
        <v>322</v>
      </c>
      <c r="C14" t="s">
        <v>320</v>
      </c>
      <c r="D14" s="282">
        <v>-8.3057765999999997</v>
      </c>
    </row>
    <row r="15" spans="1:7">
      <c r="A15" t="s">
        <v>339</v>
      </c>
      <c r="B15" s="282" t="s">
        <v>322</v>
      </c>
      <c r="C15" t="s">
        <v>297</v>
      </c>
      <c r="D15" s="282">
        <v>66307189.627214603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66307189.627214603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4102357.0057705045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6.371136039766756E-2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0.11293783234317267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2.078245554740882E-4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7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7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/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172"/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66307189.627214603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4102357.0057705045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6.371136039766756E-2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13777.398927204311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2.078245554740882E-4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4.7009060000000004E-3</v>
      </c>
      <c r="D22" s="25">
        <f>_xll.BDP(D27,$A27)/100</f>
        <v>1.166411E-2</v>
      </c>
      <c r="E22" s="26">
        <f>_xll.BDP(E27,$A27)/100</f>
        <v>7.1097339999999997E-4</v>
      </c>
      <c r="F22" s="27">
        <f>_xll.BDP(F27,$A27)/100</f>
        <v>-1.3059999999999999E-3</v>
      </c>
      <c r="G22" s="27">
        <f>_xll.BDP(G27,$A27)/100</f>
        <v>-4.2128500000000006E-3</v>
      </c>
      <c r="H22" s="25">
        <f>_xll.BDP(H27,$A27)/100</f>
        <v>5.7329981353841878E-3</v>
      </c>
    </row>
    <row r="23" spans="1:11">
      <c r="A23" s="355" t="s">
        <v>66</v>
      </c>
      <c r="B23" s="356"/>
      <c r="C23" s="28">
        <f>_xll.BDP(C27,$A28)/100</f>
        <v>3.7078170000000001E-2</v>
      </c>
      <c r="D23" s="28">
        <f>_xll.BDP(D27,$A28)/100</f>
        <v>3.1098230000000001E-2</v>
      </c>
      <c r="E23" s="29">
        <f>_xll.BDP(E27,$A28)/100</f>
        <v>5.5702519999999998E-2</v>
      </c>
      <c r="F23" s="30">
        <f>_xll.BDP(F27,$A28)/100</f>
        <v>-1.2825999999999999E-2</v>
      </c>
      <c r="G23" s="30">
        <f>_xll.BDP(G27,$A28)/100</f>
        <v>3.5837979999999998E-2</v>
      </c>
      <c r="H23" s="28">
        <f>_xll.BDP(H27,$A28)/100</f>
        <v>-6.6367398858838871E-4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2025-01-31T15:22:04Z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