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2\"/>
    </mc:Choice>
  </mc:AlternateContent>
  <xr:revisionPtr revIDLastSave="0" documentId="13_ncr:1_{88BAC24F-F8C2-41C9-9665-411729059466}" xr6:coauthVersionLast="47" xr6:coauthVersionMax="47" xr10:uidLastSave="{00000000-0000-0000-0000-000000000000}"/>
  <bookViews>
    <workbookView xWindow="-120" yWindow="-120" windowWidth="29040" windowHeight="15720" tabRatio="719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191" i="3" l="1"/>
  <c r="I1191" i="3"/>
  <c r="H1191" i="3"/>
  <c r="H7" i="16" a="1"/>
  <c r="H7" i="16"/>
  <c r="H6" i="16" a="1"/>
  <c r="H6" i="16"/>
  <c r="H10" i="16" a="1"/>
  <c r="H10" i="16"/>
  <c r="H9" i="16" a="1"/>
  <c r="H9" i="16"/>
  <c r="H8" i="16" a="1"/>
  <c r="H8" i="16"/>
  <c r="F10" i="16" a="1"/>
  <c r="F10" i="16"/>
  <c r="F8" i="16" a="1"/>
  <c r="F8" i="16"/>
  <c r="F7" i="16" a="1"/>
  <c r="F7" i="16"/>
  <c r="F9" i="16" a="1"/>
  <c r="F9" i="16"/>
  <c r="F6" i="16" a="1"/>
  <c r="F6" i="16"/>
  <c r="G9" i="16" a="1"/>
  <c r="G9" i="16"/>
  <c r="G6" i="16" a="1"/>
  <c r="G6" i="16"/>
  <c r="G10" i="16" a="1"/>
  <c r="G10" i="16"/>
  <c r="G8" i="16" a="1"/>
  <c r="G8" i="16"/>
  <c r="G7" i="16" a="1"/>
  <c r="G7" i="16"/>
  <c r="E6" i="16" a="1"/>
  <c r="E6" i="16"/>
  <c r="E7" i="16" a="1"/>
  <c r="E7" i="16"/>
  <c r="E8" i="16" a="1"/>
  <c r="E8" i="16"/>
  <c r="E10" i="16" a="1"/>
  <c r="E10" i="16"/>
  <c r="E9" i="16" a="1"/>
  <c r="E9" i="16"/>
  <c r="E16" i="16"/>
  <c r="D6" i="16" a="1"/>
  <c r="D6" i="16"/>
  <c r="D7" i="16" a="1"/>
  <c r="D7" i="16"/>
  <c r="D8" i="16" a="1"/>
  <c r="D8" i="16"/>
  <c r="D10" i="16" a="1"/>
  <c r="D10" i="16"/>
  <c r="D9" i="16" a="1"/>
  <c r="D9" i="16"/>
  <c r="C22" i="4"/>
  <c r="G22" i="4"/>
  <c r="L10" i="16" a="1"/>
  <c r="L10" i="16"/>
  <c r="J6" i="16"/>
  <c r="K10" i="16"/>
  <c r="I6" i="16"/>
  <c r="K6" i="16"/>
  <c r="J10" i="16" a="1"/>
  <c r="J10" i="16"/>
  <c r="G23" i="4"/>
  <c r="C23" i="4"/>
  <c r="I10" i="16"/>
  <c r="L6" i="16" a="1"/>
  <c r="L6" i="16"/>
  <c r="F22" i="4"/>
  <c r="F23" i="4"/>
  <c r="D22" i="4"/>
  <c r="H23" i="4"/>
  <c r="E22" i="4"/>
  <c r="D23" i="4"/>
  <c r="H22" i="4"/>
  <c r="E23" i="4"/>
  <c r="K8" i="16"/>
  <c r="K9" i="16"/>
  <c r="L9" i="16" a="1"/>
  <c r="L9" i="16"/>
  <c r="K7" i="16"/>
  <c r="L7" i="16" a="1"/>
  <c r="L7" i="16"/>
  <c r="I7" i="16" a="1"/>
  <c r="I7" i="16"/>
  <c r="J9" i="16" a="1"/>
  <c r="J9" i="16"/>
  <c r="J8" i="16" a="1"/>
  <c r="J8" i="16"/>
  <c r="I8" i="16" a="1"/>
  <c r="I8" i="16"/>
  <c r="L8" i="16" a="1"/>
  <c r="L8" i="16"/>
  <c r="J7" i="16" a="1"/>
  <c r="J7" i="16"/>
  <c r="I9" i="16" a="1"/>
  <c r="I9" i="16"/>
  <c r="C24" i="4"/>
  <c r="X1189" i="14"/>
  <c r="E1189" i="14"/>
  <c r="D1189" i="14"/>
  <c r="C1189" i="14"/>
  <c r="B1189" i="14"/>
  <c r="A1189" i="14"/>
  <c r="L199" i="13"/>
  <c r="A199" i="13"/>
  <c r="X1191" i="3"/>
  <c r="F1191" i="3"/>
  <c r="G1191" i="3" s="1"/>
  <c r="D1191" i="3"/>
  <c r="X1188" i="14"/>
  <c r="E1188" i="14"/>
  <c r="D1188" i="14"/>
  <c r="C1188" i="14"/>
  <c r="B1188" i="14"/>
  <c r="A1188" i="14"/>
  <c r="L198" i="13"/>
  <c r="A198" i="13"/>
  <c r="X1190" i="3"/>
  <c r="D1190" i="3"/>
  <c r="X1187" i="14"/>
  <c r="E1187" i="14"/>
  <c r="D1187" i="14"/>
  <c r="C1187" i="14"/>
  <c r="B1187" i="14"/>
  <c r="A1187" i="14"/>
  <c r="L197" i="13"/>
  <c r="A197" i="13"/>
  <c r="X1189" i="3"/>
  <c r="D1189" i="3"/>
  <c r="F1190" i="3" s="1"/>
  <c r="G1190" i="3" s="1"/>
  <c r="X1186" i="14"/>
  <c r="E1186" i="14"/>
  <c r="D1186" i="14"/>
  <c r="C1186" i="14"/>
  <c r="B1186" i="14"/>
  <c r="A1186" i="14"/>
  <c r="L196" i="13"/>
  <c r="A196" i="13"/>
  <c r="X1188" i="3"/>
  <c r="D1188" i="3"/>
  <c r="F1189" i="3" s="1"/>
  <c r="G1189" i="3" s="1"/>
  <c r="J19" i="16"/>
  <c r="E17" i="16"/>
  <c r="F17" i="16" s="1"/>
  <c r="T16" i="16"/>
  <c r="F16" i="16"/>
  <c r="T12" i="16"/>
  <c r="T10" i="16"/>
  <c r="G16" i="16" l="1"/>
  <c r="G17" i="16"/>
  <c r="F1189" i="14"/>
  <c r="L1191" i="3"/>
  <c r="Y1191" i="3"/>
  <c r="Z1191" i="3" s="1"/>
  <c r="AA1191" i="3" s="1"/>
  <c r="F1188" i="14"/>
  <c r="H1189" i="14" s="1"/>
  <c r="I1189" i="14" s="1"/>
  <c r="L1190" i="3"/>
  <c r="Y1190" i="3"/>
  <c r="Z1190" i="3" s="1"/>
  <c r="AA1190" i="3" s="1"/>
  <c r="F1187" i="14"/>
  <c r="H1188" i="14" s="1"/>
  <c r="I1188" i="14" s="1"/>
  <c r="L1189" i="3"/>
  <c r="Y1189" i="3"/>
  <c r="Z1189" i="3" s="1"/>
  <c r="AA1189" i="3" s="1"/>
  <c r="F1186" i="14"/>
  <c r="H1187" i="14" s="1"/>
  <c r="I1187" i="14" s="1"/>
  <c r="H16" i="16" l="1"/>
  <c r="H17" i="16"/>
  <c r="L1189" i="14"/>
  <c r="Y1189" i="14"/>
  <c r="Z1189" i="14" s="1"/>
  <c r="AA1189" i="14" s="1"/>
  <c r="L1188" i="14"/>
  <c r="Y1188" i="14"/>
  <c r="Z1188" i="14" s="1"/>
  <c r="AA1188" i="14" s="1"/>
  <c r="L1187" i="14"/>
  <c r="Y1187" i="14"/>
  <c r="Z1187" i="14" s="1"/>
  <c r="AA1187" i="14" s="1"/>
  <c r="U8" i="16"/>
  <c r="U7" i="16" l="1"/>
  <c r="U6" i="16" l="1"/>
  <c r="U5" i="16" l="1"/>
  <c r="H5" i="16"/>
  <c r="G5" i="16"/>
  <c r="F5" i="16"/>
  <c r="E5" i="16"/>
  <c r="D5" i="16"/>
  <c r="T4" i="16"/>
  <c r="O5" i="16" s="1"/>
  <c r="Q5" i="16" s="1"/>
  <c r="P4" i="16"/>
  <c r="F4" i="16"/>
  <c r="E4" i="16"/>
  <c r="T3" i="16"/>
  <c r="J5" i="16" l="1"/>
  <c r="P9" i="16"/>
  <c r="P8" i="16" s="1"/>
  <c r="L5" i="16"/>
  <c r="K5" i="16"/>
  <c r="P10" i="16"/>
  <c r="T8" i="16"/>
  <c r="T7" i="16"/>
  <c r="T6" i="16"/>
  <c r="T5" i="16"/>
  <c r="T9" i="16" s="1"/>
  <c r="V9" i="16" s="1"/>
  <c r="O4" i="16"/>
  <c r="X1185" i="14"/>
  <c r="E1185" i="14"/>
  <c r="D1185" i="14"/>
  <c r="C1185" i="14"/>
  <c r="B1185" i="14"/>
  <c r="F1185" i="14" s="1"/>
  <c r="H1186" i="14" s="1"/>
  <c r="I1186" i="14" s="1"/>
  <c r="A1185" i="14"/>
  <c r="L195" i="13"/>
  <c r="A195" i="13"/>
  <c r="X1187" i="3"/>
  <c r="D1187" i="3"/>
  <c r="F1188" i="3" s="1"/>
  <c r="L1186" i="14" l="1"/>
  <c r="Y1186" i="14"/>
  <c r="Z1186" i="14" s="1"/>
  <c r="AA1186" i="14" s="1"/>
  <c r="G1188" i="3"/>
  <c r="O7" i="16"/>
  <c r="Q7" i="16" s="1"/>
  <c r="O6" i="16"/>
  <c r="Q4" i="16"/>
  <c r="T13" i="16"/>
  <c r="T17" i="16" s="1"/>
  <c r="P6" i="16"/>
  <c r="X1184" i="14"/>
  <c r="E1184" i="14"/>
  <c r="D1184" i="14"/>
  <c r="C1184" i="14"/>
  <c r="B1184" i="14"/>
  <c r="A1184" i="14"/>
  <c r="L194" i="13"/>
  <c r="A194" i="13"/>
  <c r="X1186" i="3"/>
  <c r="D1186" i="3"/>
  <c r="F1187" i="3" s="1"/>
  <c r="L1188" i="3" l="1"/>
  <c r="Y1188" i="3"/>
  <c r="Z1188" i="3" s="1"/>
  <c r="AA1188" i="3" s="1"/>
  <c r="Q6" i="16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J33" i="8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J1187" i="14" s="1"/>
  <c r="J1188" i="14" s="1"/>
  <c r="J1189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G1188" i="14" s="1"/>
  <c r="G1189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s="1"/>
  <c r="E1169" i="3" l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F1169" i="3"/>
  <c r="G1168" i="3"/>
  <c r="L1168" i="3" s="1"/>
  <c r="F1166" i="14"/>
  <c r="H1167" i="14" s="1"/>
  <c r="I1167" i="14" s="1"/>
  <c r="F1165" i="14"/>
  <c r="H1166" i="14" s="1"/>
  <c r="I1166" i="14" s="1"/>
  <c r="G1169" i="3" l="1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191" i="3" l="1"/>
  <c r="P1191" i="3"/>
  <c r="O1190" i="3"/>
  <c r="P1190" i="3"/>
  <c r="O1189" i="3"/>
  <c r="P1189" i="3"/>
  <c r="O1188" i="3"/>
  <c r="P1188" i="3"/>
  <c r="P1187" i="3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W1181" i="3" s="1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P1169" i="3"/>
  <c r="O1169" i="3"/>
  <c r="Y1169" i="3"/>
  <c r="Z1169" i="3" s="1"/>
  <c r="AA1169" i="3" s="1"/>
  <c r="K1169" i="3"/>
  <c r="L1169" i="3"/>
  <c r="N1191" i="3" s="1"/>
  <c r="X1164" i="14"/>
  <c r="E1164" i="14"/>
  <c r="D1164" i="14"/>
  <c r="C1164" i="14"/>
  <c r="B1164" i="14"/>
  <c r="A1164" i="14"/>
  <c r="L174" i="13"/>
  <c r="A174" i="13"/>
  <c r="X1166" i="3"/>
  <c r="D1166" i="3"/>
  <c r="F1167" i="3" s="1"/>
  <c r="W1191" i="3" l="1"/>
  <c r="N1189" i="3"/>
  <c r="N1190" i="3"/>
  <c r="W1190" i="3"/>
  <c r="W1189" i="3"/>
  <c r="N1187" i="3"/>
  <c r="N1188" i="3"/>
  <c r="W1188" i="3"/>
  <c r="N1185" i="3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G1167" i="3"/>
  <c r="F1164" i="14"/>
  <c r="H1165" i="14" s="1"/>
  <c r="I1165" i="14" s="1"/>
  <c r="I1181" i="3" l="1"/>
  <c r="I1182" i="3" s="1"/>
  <c r="I1183" i="3" s="1"/>
  <c r="I1184" i="3" s="1"/>
  <c r="I1185" i="3" s="1"/>
  <c r="I1186" i="3" s="1"/>
  <c r="I1187" i="3" s="1"/>
  <c r="I1188" i="3" s="1"/>
  <c r="I1189" i="3" s="1"/>
  <c r="I1190" i="3" s="1"/>
  <c r="I1180" i="3"/>
  <c r="J1180" i="3"/>
  <c r="J1181" i="3" s="1"/>
  <c r="J1182" i="3" s="1"/>
  <c r="J1183" i="3" s="1"/>
  <c r="J1184" i="3" s="1"/>
  <c r="J1185" i="3" s="1"/>
  <c r="J1186" i="3" s="1"/>
  <c r="J1187" i="3" s="1"/>
  <c r="J1188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s="1"/>
  <c r="J1189" i="3" l="1"/>
  <c r="J1190" i="3" s="1"/>
  <c r="J1191" i="3" s="1"/>
  <c r="O8" i="16" s="1"/>
  <c r="Q8" i="16" s="1"/>
  <c r="K1176" i="3"/>
  <c r="K1177" i="3" s="1"/>
  <c r="K1178" i="3" s="1"/>
  <c r="K1179" i="3" s="1"/>
  <c r="G1166" i="3"/>
  <c r="F1163" i="14"/>
  <c r="H1164" i="14" s="1"/>
  <c r="I1164" i="14" s="1"/>
  <c r="O10" i="16" l="1"/>
  <c r="Q10" i="16" s="1"/>
  <c r="K1180" i="3"/>
  <c r="K1181" i="3" s="1"/>
  <c r="K1182" i="3" s="1"/>
  <c r="K1183" i="3" s="1"/>
  <c r="K1184" i="3" s="1"/>
  <c r="K1185" i="3" s="1"/>
  <c r="K1186" i="3" s="1"/>
  <c r="K1187" i="3" s="1"/>
  <c r="K1188" i="3" s="1"/>
  <c r="L1164" i="14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F1165" i="3" s="1"/>
  <c r="X1161" i="14"/>
  <c r="E1161" i="14"/>
  <c r="D1161" i="14"/>
  <c r="C1161" i="14"/>
  <c r="B1161" i="14"/>
  <c r="F1161" i="14" s="1"/>
  <c r="A1161" i="14"/>
  <c r="L171" i="13"/>
  <c r="A171" i="13"/>
  <c r="X1163" i="3"/>
  <c r="D1163" i="3"/>
  <c r="F1164" i="3" s="1"/>
  <c r="G1164" i="3" s="1"/>
  <c r="A649" i="18"/>
  <c r="K1189" i="3" l="1"/>
  <c r="H1162" i="14"/>
  <c r="I1162" i="14" s="1"/>
  <c r="L1162" i="14" s="1"/>
  <c r="G1165" i="3"/>
  <c r="F1162" i="14"/>
  <c r="H1163" i="14" s="1"/>
  <c r="I1163" i="14" s="1"/>
  <c r="L1164" i="3"/>
  <c r="Y1164" i="3"/>
  <c r="Z1164" i="3" s="1"/>
  <c r="AA1164" i="3" s="1"/>
  <c r="K1190" i="3" l="1"/>
  <c r="O9" i="16" s="1"/>
  <c r="Y1162" i="14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H1161" i="14" s="1"/>
  <c r="I1161" i="14" s="1"/>
  <c r="A1160" i="14"/>
  <c r="L170" i="13"/>
  <c r="A170" i="13"/>
  <c r="X1162" i="3"/>
  <c r="D1162" i="3"/>
  <c r="F1163" i="3" s="1"/>
  <c r="X1159" i="14"/>
  <c r="E1159" i="14"/>
  <c r="D1159" i="14"/>
  <c r="C1159" i="14"/>
  <c r="B1159" i="14"/>
  <c r="A1159" i="14"/>
  <c r="L169" i="13"/>
  <c r="A169" i="13"/>
  <c r="X1161" i="3"/>
  <c r="D1161" i="3"/>
  <c r="F1162" i="3" s="1"/>
  <c r="G1162" i="3" s="1"/>
  <c r="Y1161" i="14" l="1"/>
  <c r="Z1161" i="14" s="1"/>
  <c r="AA1161" i="14" s="1"/>
  <c r="L1161" i="14"/>
  <c r="G1163" i="3"/>
  <c r="AC1191" i="3" s="1"/>
  <c r="L1162" i="3"/>
  <c r="Y1162" i="3"/>
  <c r="Z1162" i="3" s="1"/>
  <c r="AA1162" i="3" s="1"/>
  <c r="F1159" i="14"/>
  <c r="H1160" i="14" s="1"/>
  <c r="I1160" i="14" s="1"/>
  <c r="L1163" i="3" l="1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l="1"/>
  <c r="Q1191" i="3"/>
  <c r="R1191" i="3" s="1"/>
  <c r="G1161" i="3"/>
  <c r="AC1190" i="3" s="1"/>
  <c r="F1158" i="14"/>
  <c r="H1159" i="14" l="1"/>
  <c r="I1159" i="14" s="1"/>
  <c r="Q1189" i="14"/>
  <c r="R1189" i="14" s="1"/>
  <c r="L1159" i="14"/>
  <c r="Y1159" i="14"/>
  <c r="Z1159" i="14" s="1"/>
  <c r="AA115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A1157" i="14"/>
  <c r="L166" i="13"/>
  <c r="A166" i="13"/>
  <c r="X1159" i="3"/>
  <c r="D1159" i="3"/>
  <c r="H1158" i="14" l="1"/>
  <c r="I1158" i="14" s="1"/>
  <c r="AC1189" i="14" s="1"/>
  <c r="Q1188" i="14"/>
  <c r="R1188" i="14" s="1"/>
  <c r="F1160" i="3"/>
  <c r="Q1190" i="3"/>
  <c r="R1190" i="3" s="1"/>
  <c r="L1158" i="14"/>
  <c r="Y1158" i="14"/>
  <c r="Z1158" i="14" s="1"/>
  <c r="AA1158" i="14" s="1"/>
  <c r="G1160" i="3"/>
  <c r="AC1189" i="3" s="1"/>
  <c r="X1156" i="14"/>
  <c r="E1156" i="14"/>
  <c r="D1156" i="14"/>
  <c r="C1156" i="14"/>
  <c r="B1156" i="14"/>
  <c r="A1156" i="14"/>
  <c r="L165" i="13"/>
  <c r="A165" i="13"/>
  <c r="X1158" i="3"/>
  <c r="D1158" i="3"/>
  <c r="F1159" i="3" l="1"/>
  <c r="G1159" i="3" s="1"/>
  <c r="AC1188" i="3" s="1"/>
  <c r="Q1189" i="3"/>
  <c r="R1189" i="3" s="1"/>
  <c r="L1160" i="3"/>
  <c r="Y1160" i="3"/>
  <c r="Z1160" i="3" s="1"/>
  <c r="AA1160" i="3" s="1"/>
  <c r="L1159" i="3"/>
  <c r="Y1159" i="3"/>
  <c r="Z1159" i="3" s="1"/>
  <c r="AA1159" i="3" s="1"/>
  <c r="F1156" i="14"/>
  <c r="H1157" i="14" l="1"/>
  <c r="I1157" i="14" s="1"/>
  <c r="Q1187" i="14"/>
  <c r="R1187" i="14" s="1"/>
  <c r="A648" i="18"/>
  <c r="L1157" i="14" l="1"/>
  <c r="AC1188" i="14"/>
  <c r="Y1157" i="14"/>
  <c r="Z1157" i="14" s="1"/>
  <c r="AA1157" i="14" s="1"/>
  <c r="X1155" i="14"/>
  <c r="E1155" i="14"/>
  <c r="D1155" i="14"/>
  <c r="C1155" i="14"/>
  <c r="B1155" i="14"/>
  <c r="A1155" i="14"/>
  <c r="L164" i="13"/>
  <c r="A164" i="13"/>
  <c r="X1157" i="3"/>
  <c r="D1157" i="3"/>
  <c r="F1158" i="3" l="1"/>
  <c r="G1158" i="3" s="1"/>
  <c r="AC1187" i="3" s="1"/>
  <c r="Q1188" i="3"/>
  <c r="R1188" i="3" s="1"/>
  <c r="F1155" i="14"/>
  <c r="H1156" i="14" l="1"/>
  <c r="I1156" i="14" s="1"/>
  <c r="Q1186" i="14"/>
  <c r="R1186" i="14" s="1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Y1156" i="14" l="1"/>
  <c r="Z1156" i="14" s="1"/>
  <c r="AA1156" i="14" s="1"/>
  <c r="AC1187" i="14"/>
  <c r="L1156" i="14"/>
  <c r="H1155" i="14"/>
  <c r="I1155" i="14" s="1"/>
  <c r="Q1185" i="14"/>
  <c r="R1185" i="14" s="1"/>
  <c r="F1157" i="3"/>
  <c r="Q1187" i="3"/>
  <c r="R1187" i="3" s="1"/>
  <c r="Y1155" i="14"/>
  <c r="Z1155" i="14" s="1"/>
  <c r="AA1155" i="14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L1155" i="14" l="1"/>
  <c r="AC1186" i="14"/>
  <c r="H1154" i="14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Y1153" i="14" l="1"/>
  <c r="Z1153" i="14" s="1"/>
  <c r="AA1153" i="14" s="1"/>
  <c r="L1153" i="14"/>
  <c r="F1154" i="3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L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G1154" i="3"/>
  <c r="F1151" i="14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Y1151" i="3" l="1"/>
  <c r="Z1151" i="3" s="1"/>
  <c r="AA1151" i="3" s="1"/>
  <c r="Y1150" i="3"/>
  <c r="Z1150" i="3" s="1"/>
  <c r="AA1150" i="3" s="1"/>
  <c r="L1153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L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Y1151" i="14" l="1"/>
  <c r="Z1151" i="14" s="1"/>
  <c r="AA1151" i="14" s="1"/>
  <c r="AC1180" i="14"/>
  <c r="AC1174" i="3"/>
  <c r="L1152" i="14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X1107" i="14"/>
  <c r="E1107" i="14"/>
  <c r="D1107" i="14"/>
  <c r="C1107" i="14"/>
  <c r="B1107" i="14"/>
  <c r="A1107" i="14"/>
  <c r="A115" i="13"/>
  <c r="X1107" i="3"/>
  <c r="D1107" i="3"/>
  <c r="X1106" i="14"/>
  <c r="E1106" i="14"/>
  <c r="D1106" i="14"/>
  <c r="C1106" i="14"/>
  <c r="B1106" i="14"/>
  <c r="A1106" i="14"/>
  <c r="L114" i="13"/>
  <c r="A114" i="13"/>
  <c r="X1106" i="3"/>
  <c r="D1106" i="3"/>
  <c r="X1105" i="14"/>
  <c r="E1105" i="14"/>
  <c r="D1105" i="14"/>
  <c r="C1105" i="14"/>
  <c r="B1105" i="14"/>
  <c r="A1105" i="14"/>
  <c r="L113" i="13"/>
  <c r="A113" i="13"/>
  <c r="X1105" i="3"/>
  <c r="D1105" i="3"/>
  <c r="X1104" i="14"/>
  <c r="E1104" i="14"/>
  <c r="D1104" i="14"/>
  <c r="C1104" i="14"/>
  <c r="B1104" i="14"/>
  <c r="A1104" i="14"/>
  <c r="L112" i="13"/>
  <c r="A112" i="13"/>
  <c r="X1104" i="3"/>
  <c r="D1104" i="3"/>
  <c r="X1103" i="14"/>
  <c r="E1103" i="14"/>
  <c r="D1103" i="14"/>
  <c r="C1103" i="14"/>
  <c r="B1103" i="14"/>
  <c r="F1103" i="14" s="1"/>
  <c r="Q1134" i="14" s="1"/>
  <c r="R1134" i="14" s="1"/>
  <c r="A1103" i="14"/>
  <c r="A111" i="13"/>
  <c r="X1103" i="3"/>
  <c r="D1103" i="3"/>
  <c r="L25" i="8"/>
  <c r="X1102" i="14"/>
  <c r="E1102" i="14"/>
  <c r="D1102" i="14"/>
  <c r="C1102" i="14"/>
  <c r="B1102" i="14"/>
  <c r="A1102" i="14"/>
  <c r="L110" i="13"/>
  <c r="A110" i="13"/>
  <c r="X1102" i="3"/>
  <c r="D1102" i="3"/>
  <c r="S1191" i="3" s="1"/>
  <c r="T1191" i="3" s="1"/>
  <c r="X1101" i="14"/>
  <c r="E1101" i="14"/>
  <c r="D1101" i="14"/>
  <c r="C1101" i="14"/>
  <c r="B1101" i="14"/>
  <c r="A1101" i="14"/>
  <c r="L109" i="13"/>
  <c r="A109" i="13"/>
  <c r="X1101" i="3"/>
  <c r="D1101" i="3"/>
  <c r="S1190" i="3" s="1"/>
  <c r="T1190" i="3" s="1"/>
  <c r="X1100" i="14"/>
  <c r="E1100" i="14"/>
  <c r="D1100" i="14"/>
  <c r="C1100" i="14"/>
  <c r="B1100" i="14"/>
  <c r="A1100" i="14"/>
  <c r="L108" i="13"/>
  <c r="A108" i="13"/>
  <c r="X1100" i="3"/>
  <c r="D1100" i="3"/>
  <c r="S1189" i="3" s="1"/>
  <c r="T1189" i="3" s="1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Q1128" i="3" l="1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L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L1104" i="3" s="1"/>
  <c r="Q1134" i="3"/>
  <c r="R1134" i="3" s="1"/>
  <c r="F1103" i="3"/>
  <c r="G1103" i="3" s="1"/>
  <c r="Y1103" i="3" s="1"/>
  <c r="Z1103" i="3" s="1"/>
  <c r="AA1103" i="3" s="1"/>
  <c r="Q1133" i="3"/>
  <c r="R1133" i="3" s="1"/>
  <c r="F1102" i="3"/>
  <c r="Q1132" i="3"/>
  <c r="R1132" i="3" s="1"/>
  <c r="F1101" i="3"/>
  <c r="G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H1104" i="14"/>
  <c r="I1104" i="14" s="1"/>
  <c r="F1104" i="14"/>
  <c r="Q1104" i="3"/>
  <c r="R1104" i="3" s="1"/>
  <c r="Q1103" i="3"/>
  <c r="R1103" i="3" s="1"/>
  <c r="Q1100" i="3"/>
  <c r="R1100" i="3" s="1"/>
  <c r="Q1102" i="3"/>
  <c r="R1102" i="3" s="1"/>
  <c r="F1102" i="14"/>
  <c r="Q1101" i="3"/>
  <c r="R1101" i="3" s="1"/>
  <c r="F1101" i="14"/>
  <c r="Q1100" i="14"/>
  <c r="R1100" i="14" s="1"/>
  <c r="F1100" i="14"/>
  <c r="Q1099" i="3"/>
  <c r="R1099" i="3" s="1"/>
  <c r="Q1099" i="14"/>
  <c r="R1099" i="14" s="1"/>
  <c r="F1099" i="14"/>
  <c r="D1099" i="3"/>
  <c r="S1188" i="3" s="1"/>
  <c r="T1188" i="3" s="1"/>
  <c r="Q1098" i="3"/>
  <c r="R1098" i="3" s="1"/>
  <c r="F1098" i="3"/>
  <c r="G1098" i="3" s="1"/>
  <c r="D1098" i="3"/>
  <c r="S1187" i="3" s="1"/>
  <c r="T1187" i="3" s="1"/>
  <c r="F1098" i="14"/>
  <c r="S1189" i="14" s="1"/>
  <c r="T1189" i="14" s="1"/>
  <c r="Q1097" i="3"/>
  <c r="R1097" i="3" s="1"/>
  <c r="F1097" i="14"/>
  <c r="S1188" i="14" s="1"/>
  <c r="T1188" i="14" s="1"/>
  <c r="Q1096" i="3"/>
  <c r="R1096" i="3" s="1"/>
  <c r="Q1096" i="14"/>
  <c r="R1096" i="14" s="1"/>
  <c r="F1096" i="14"/>
  <c r="S1187" i="14" s="1"/>
  <c r="T1187" i="14" s="1"/>
  <c r="F1095" i="14"/>
  <c r="S1186" i="14" s="1"/>
  <c r="T1186" i="14" s="1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Y1101" i="3" l="1"/>
  <c r="Z1101" i="3" s="1"/>
  <c r="AA1101" i="3" s="1"/>
  <c r="AC1170" i="14"/>
  <c r="L1096" i="3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H1102" i="3"/>
  <c r="G1107" i="3"/>
  <c r="AC1137" i="3" s="1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L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L1102" i="14" s="1"/>
  <c r="Q1132" i="14"/>
  <c r="R1132" i="14" s="1"/>
  <c r="H1101" i="14"/>
  <c r="I1101" i="14" s="1"/>
  <c r="Y1101" i="14" s="1"/>
  <c r="Z1101" i="14" s="1"/>
  <c r="AA1101" i="14" s="1"/>
  <c r="Q1131" i="14"/>
  <c r="R1131" i="14" s="1"/>
  <c r="H1100" i="14"/>
  <c r="I1100" i="14" s="1"/>
  <c r="Q1130" i="14"/>
  <c r="R1130" i="14" s="1"/>
  <c r="H1099" i="14"/>
  <c r="I1099" i="14" s="1"/>
  <c r="L1099" i="14" s="1"/>
  <c r="Q1129" i="14"/>
  <c r="R1129" i="14" s="1"/>
  <c r="F1100" i="3"/>
  <c r="G1100" i="3" s="1"/>
  <c r="Q1130" i="3"/>
  <c r="R1130" i="3" s="1"/>
  <c r="H1098" i="14"/>
  <c r="I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L1098" i="14" l="1"/>
  <c r="AD1189" i="14"/>
  <c r="I1102" i="3"/>
  <c r="AD1191" i="3"/>
  <c r="AD1188" i="14"/>
  <c r="AD1189" i="3"/>
  <c r="AD1190" i="3"/>
  <c r="L1096" i="14"/>
  <c r="AD1187" i="14"/>
  <c r="AD1186" i="14"/>
  <c r="AD1187" i="3"/>
  <c r="AD1188" i="3"/>
  <c r="Y1094" i="14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D18" i="16" s="1"/>
  <c r="D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G4" i="16" l="1"/>
  <c r="H4" i="16"/>
  <c r="K1162" i="3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S919" i="14" s="1"/>
  <c r="T919" i="14" s="1"/>
  <c r="X829" i="14"/>
  <c r="F829" i="14"/>
  <c r="S918" i="14" s="1"/>
  <c r="T918" i="14" s="1"/>
  <c r="X828" i="14"/>
  <c r="F828" i="14"/>
  <c r="S917" i="14" s="1"/>
  <c r="T917" i="14" s="1"/>
  <c r="X827" i="14"/>
  <c r="F827" i="14"/>
  <c r="X826" i="14"/>
  <c r="F826" i="14"/>
  <c r="S915" i="14" s="1"/>
  <c r="T915" i="14" s="1"/>
  <c r="X825" i="14"/>
  <c r="F825" i="14"/>
  <c r="S914" i="14" s="1"/>
  <c r="T914" i="14" s="1"/>
  <c r="X824" i="14"/>
  <c r="F824" i="14"/>
  <c r="S913" i="14" s="1"/>
  <c r="T913" i="14" s="1"/>
  <c r="X823" i="14"/>
  <c r="F823" i="14"/>
  <c r="X822" i="14"/>
  <c r="F822" i="14"/>
  <c r="X821" i="14"/>
  <c r="F821" i="14"/>
  <c r="X820" i="14"/>
  <c r="F820" i="14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H824" i="14" l="1"/>
  <c r="I824" i="14" s="1"/>
  <c r="U1189" i="14"/>
  <c r="V1189" i="14" s="1"/>
  <c r="S911" i="14"/>
  <c r="T911" i="14" s="1"/>
  <c r="U1188" i="14"/>
  <c r="V1188" i="14" s="1"/>
  <c r="S910" i="14"/>
  <c r="T910" i="14" s="1"/>
  <c r="U1187" i="14"/>
  <c r="V1187" i="14" s="1"/>
  <c r="S909" i="14"/>
  <c r="T909" i="14" s="1"/>
  <c r="U1186" i="14"/>
  <c r="V1186" i="14" s="1"/>
  <c r="H820" i="14"/>
  <c r="I820" i="14" s="1"/>
  <c r="U1185" i="14"/>
  <c r="V1185" i="14" s="1"/>
  <c r="H819" i="14"/>
  <c r="I819" i="14" s="1"/>
  <c r="U1184" i="14"/>
  <c r="V1184" i="14" s="1"/>
  <c r="H818" i="14"/>
  <c r="I818" i="14" s="1"/>
  <c r="Y818" i="14" s="1"/>
  <c r="U1183" i="14"/>
  <c r="V1183" i="14" s="1"/>
  <c r="H817" i="14"/>
  <c r="I817" i="14" s="1"/>
  <c r="U1182" i="14"/>
  <c r="V1182" i="14" s="1"/>
  <c r="H816" i="14"/>
  <c r="I816" i="14" s="1"/>
  <c r="Y816" i="14" s="1"/>
  <c r="U1181" i="14"/>
  <c r="V1181" i="14" s="1"/>
  <c r="H815" i="14"/>
  <c r="I815" i="14" s="1"/>
  <c r="Y815" i="14" s="1"/>
  <c r="U1180" i="14"/>
  <c r="V1180" i="14" s="1"/>
  <c r="H814" i="14"/>
  <c r="I814" i="14" s="1"/>
  <c r="Y814" i="14" s="1"/>
  <c r="U1179" i="14"/>
  <c r="V1179" i="14" s="1"/>
  <c r="H813" i="14"/>
  <c r="I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L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J824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L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L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Y824" i="14"/>
  <c r="L824" i="14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L818" i="14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05" i="14"/>
  <c r="Y805" i="14"/>
  <c r="L813" i="14"/>
  <c r="Y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Z936" i="14" l="1"/>
  <c r="AA936" i="14" s="1"/>
  <c r="L816" i="14"/>
  <c r="Z934" i="14"/>
  <c r="AA934" i="14" s="1"/>
  <c r="L821" i="14"/>
  <c r="L815" i="14"/>
  <c r="L814" i="14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Z807" i="14" s="1"/>
  <c r="AA807" i="14" s="1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941" i="14" s="1"/>
  <c r="AA941" i="14" s="1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775" i="14"/>
  <c r="AA775" i="14" s="1"/>
  <c r="M27" i="14"/>
  <c r="Z772" i="14"/>
  <c r="AA772" i="14" s="1"/>
  <c r="Y938" i="14"/>
  <c r="Z938" i="14" s="1"/>
  <c r="AA938" i="14" s="1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Z943" i="14" s="1"/>
  <c r="AA943" i="14" s="1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Z937" i="14" s="1"/>
  <c r="AA937" i="14" s="1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Z939" i="14" s="1"/>
  <c r="AA939" i="14" s="1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Z940" i="14" s="1"/>
  <c r="AA940" i="14" s="1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Z942" i="14" s="1"/>
  <c r="AA942" i="14" s="1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L823" i="14" l="1"/>
  <c r="Z935" i="14"/>
  <c r="AA935" i="14" s="1"/>
  <c r="Z933" i="14"/>
  <c r="AA933" i="14" s="1"/>
  <c r="Z931" i="14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36" i="8"/>
  <c r="B38" i="8"/>
  <c r="B40" i="8"/>
  <c r="C42" i="8"/>
  <c r="C44" i="8"/>
  <c r="G40" i="8"/>
  <c r="I33" i="8"/>
  <c r="I50" i="8" s="1"/>
  <c r="H33" i="8"/>
  <c r="H50" i="8" s="1"/>
  <c r="C34" i="8"/>
  <c r="C36" i="8"/>
  <c r="C38" i="8"/>
  <c r="C40" i="8"/>
  <c r="D42" i="8"/>
  <c r="D44" i="8"/>
  <c r="H42" i="8"/>
  <c r="B35" i="8"/>
  <c r="C33" i="8"/>
  <c r="C50" i="8" s="1"/>
  <c r="D34" i="8"/>
  <c r="D36" i="8"/>
  <c r="D38" i="8"/>
  <c r="D40" i="8"/>
  <c r="E42" i="8"/>
  <c r="E44" i="8"/>
  <c r="G36" i="8"/>
  <c r="B41" i="8"/>
  <c r="E34" i="8"/>
  <c r="E36" i="8"/>
  <c r="E38" i="8"/>
  <c r="E40" i="8"/>
  <c r="F42" i="8"/>
  <c r="F44" i="8"/>
  <c r="G38" i="8"/>
  <c r="C43" i="8"/>
  <c r="F34" i="8"/>
  <c r="F36" i="8"/>
  <c r="F38" i="8"/>
  <c r="F40" i="8"/>
  <c r="G42" i="8"/>
  <c r="G44" i="8"/>
  <c r="H44" i="8"/>
  <c r="B37" i="8"/>
  <c r="G34" i="8"/>
  <c r="F41" i="8"/>
  <c r="H34" i="8"/>
  <c r="H36" i="8"/>
  <c r="H38" i="8"/>
  <c r="H40" i="8"/>
  <c r="I42" i="8"/>
  <c r="I44" i="8"/>
  <c r="B43" i="8"/>
  <c r="B39" i="8"/>
  <c r="B44" i="8"/>
  <c r="I34" i="8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K1187" i="14" s="1"/>
  <c r="K1188" i="14" s="1"/>
  <c r="K1189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AE1189" i="14" l="1"/>
  <c r="O1189" i="14"/>
  <c r="P1189" i="14"/>
  <c r="O1188" i="14"/>
  <c r="P1188" i="14"/>
  <c r="AE1188" i="14"/>
  <c r="O1187" i="14"/>
  <c r="P1187" i="14"/>
  <c r="AE1187" i="14"/>
  <c r="P1186" i="14"/>
  <c r="O1186" i="14"/>
  <c r="AE1186" i="14"/>
  <c r="AE1185" i="14"/>
  <c r="O1185" i="14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M1188" i="14" l="1"/>
  <c r="M1189" i="14"/>
  <c r="N1189" i="14"/>
  <c r="W1189" i="14"/>
  <c r="W1188" i="14"/>
  <c r="N1188" i="14"/>
  <c r="W1186" i="14"/>
  <c r="M1186" i="14"/>
  <c r="M1187" i="14"/>
  <c r="N1187" i="14"/>
  <c r="W1187" i="14"/>
  <c r="N1186" i="14"/>
  <c r="W1185" i="14"/>
  <c r="M1184" i="14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89" i="14" l="1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D825" i="3"/>
  <c r="D826" i="3"/>
  <c r="D827" i="3"/>
  <c r="D828" i="3"/>
  <c r="S917" i="3" s="1"/>
  <c r="T917" i="3" s="1"/>
  <c r="D829" i="3"/>
  <c r="S918" i="3" s="1"/>
  <c r="T918" i="3" s="1"/>
  <c r="D830" i="3"/>
  <c r="S919" i="3" s="1"/>
  <c r="T919" i="3" s="1"/>
  <c r="D831" i="3"/>
  <c r="S920" i="3" s="1"/>
  <c r="T920" i="3" s="1"/>
  <c r="D832" i="3"/>
  <c r="S921" i="3" s="1"/>
  <c r="T921" i="3" s="1"/>
  <c r="D833" i="3"/>
  <c r="S922" i="3" s="1"/>
  <c r="T922" i="3" s="1"/>
  <c r="D834" i="3"/>
  <c r="S923" i="3" s="1"/>
  <c r="T923" i="3" s="1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16" i="3" l="1"/>
  <c r="T916" i="3" s="1"/>
  <c r="U1191" i="3"/>
  <c r="V1191" i="3" s="1"/>
  <c r="S915" i="3"/>
  <c r="T915" i="3" s="1"/>
  <c r="U1190" i="3"/>
  <c r="V1190" i="3" s="1"/>
  <c r="S914" i="3"/>
  <c r="T914" i="3" s="1"/>
  <c r="U1189" i="3"/>
  <c r="V1189" i="3" s="1"/>
  <c r="S913" i="3"/>
  <c r="T913" i="3" s="1"/>
  <c r="U1188" i="3"/>
  <c r="V1188" i="3" s="1"/>
  <c r="S912" i="3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Y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4" i="3" l="1"/>
  <c r="Y811" i="3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AE1191" i="3" s="1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89" i="3" l="1"/>
  <c r="AE1190" i="3"/>
  <c r="AE1187" i="3"/>
  <c r="AE1188" i="3"/>
  <c r="L794" i="3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Z948" i="3" s="1"/>
  <c r="AA948" i="3" s="1"/>
  <c r="L937" i="3"/>
  <c r="Y937" i="3"/>
  <c r="L935" i="3"/>
  <c r="Y935" i="3"/>
  <c r="L934" i="3"/>
  <c r="Y934" i="3"/>
  <c r="L936" i="3"/>
  <c r="Y936" i="3"/>
  <c r="L921" i="3"/>
  <c r="Y921" i="3"/>
  <c r="L943" i="3"/>
  <c r="Y943" i="3"/>
  <c r="Z943" i="3" s="1"/>
  <c r="AA943" i="3" s="1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Z941" i="3" s="1"/>
  <c r="AA941" i="3" s="1"/>
  <c r="L947" i="3"/>
  <c r="Y947" i="3"/>
  <c r="Z947" i="3" s="1"/>
  <c r="AA947" i="3" s="1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L920" i="3"/>
  <c r="Y920" i="3"/>
  <c r="L946" i="3"/>
  <c r="Y946" i="3"/>
  <c r="Z946" i="3" s="1"/>
  <c r="AA946" i="3" s="1"/>
  <c r="L928" i="3"/>
  <c r="Y928" i="3"/>
  <c r="L955" i="3"/>
  <c r="Y955" i="3"/>
  <c r="Z955" i="3" s="1"/>
  <c r="AA955" i="3" s="1"/>
  <c r="L945" i="3"/>
  <c r="Y945" i="3"/>
  <c r="Z945" i="3" s="1"/>
  <c r="AA945" i="3" s="1"/>
  <c r="L931" i="3"/>
  <c r="Y931" i="3"/>
  <c r="L949" i="3"/>
  <c r="Y949" i="3"/>
  <c r="Z949" i="3" s="1"/>
  <c r="AA949" i="3" s="1"/>
  <c r="L940" i="3"/>
  <c r="Y940" i="3"/>
  <c r="L938" i="3"/>
  <c r="Y938" i="3"/>
  <c r="L944" i="3"/>
  <c r="Y944" i="3"/>
  <c r="Z944" i="3" s="1"/>
  <c r="AA944" i="3" s="1"/>
  <c r="L922" i="3"/>
  <c r="Y922" i="3"/>
  <c r="L942" i="3"/>
  <c r="Y942" i="3"/>
  <c r="Z942" i="3" s="1"/>
  <c r="AA942" i="3" s="1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40" i="3" l="1"/>
  <c r="AA940" i="3" s="1"/>
  <c r="AB1191" i="3"/>
  <c r="Z939" i="3"/>
  <c r="AA939" i="3" s="1"/>
  <c r="AB1190" i="3"/>
  <c r="Z938" i="3"/>
  <c r="AA938" i="3" s="1"/>
  <c r="AB1189" i="3"/>
  <c r="Z937" i="3"/>
  <c r="AA937" i="3" s="1"/>
  <c r="AB1188" i="3"/>
  <c r="Z936" i="3"/>
  <c r="AA936" i="3" s="1"/>
  <c r="AB1187" i="3"/>
  <c r="Z935" i="3"/>
  <c r="AA935" i="3" s="1"/>
  <c r="AB1186" i="3"/>
  <c r="Z934" i="3"/>
  <c r="AA934" i="3" s="1"/>
  <c r="AB1185" i="3"/>
  <c r="Z933" i="3"/>
  <c r="AA933" i="3" s="1"/>
  <c r="AB1184" i="3" s="1"/>
  <c r="Z932" i="3"/>
  <c r="AA932" i="3" s="1"/>
  <c r="Z931" i="3"/>
  <c r="AA931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83" i="3" l="1"/>
  <c r="AB1182" i="3"/>
  <c r="AB1180" i="3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32" i="3"/>
  <c r="M63" i="3"/>
  <c r="M110" i="3"/>
  <c r="M85" i="3"/>
  <c r="M161" i="3"/>
  <c r="M31" i="3"/>
  <c r="M77" i="3"/>
  <c r="M108" i="3"/>
  <c r="M61" i="3"/>
  <c r="M92" i="3"/>
  <c r="M75" i="3"/>
  <c r="M38" i="3"/>
  <c r="M138" i="3"/>
  <c r="M129" i="3"/>
  <c r="M67" i="3"/>
  <c r="M46" i="3"/>
  <c r="M29" i="3"/>
  <c r="M43" i="3"/>
  <c r="M42" i="3"/>
  <c r="M44" i="3"/>
  <c r="M27" i="3"/>
  <c r="M86" i="3"/>
  <c r="M54" i="3"/>
  <c r="M48" i="3"/>
  <c r="M125" i="3"/>
  <c r="M65" i="3"/>
  <c r="M156" i="3"/>
  <c r="M154" i="3"/>
  <c r="M96" i="3"/>
  <c r="M131" i="3"/>
  <c r="M80" i="3"/>
  <c r="M170" i="3"/>
  <c r="M83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99" i="3" l="1"/>
  <c r="M111" i="3"/>
  <c r="M84" i="3"/>
  <c r="M30" i="3"/>
  <c r="M100" i="3"/>
  <c r="M94" i="3"/>
  <c r="M68" i="3"/>
  <c r="M127" i="3"/>
  <c r="M69" i="3"/>
  <c r="M60" i="3"/>
  <c r="M74" i="3"/>
  <c r="M142" i="3"/>
  <c r="M47" i="3"/>
  <c r="M52" i="3"/>
  <c r="M118" i="3"/>
  <c r="M155" i="3"/>
  <c r="M82" i="3"/>
  <c r="M33" i="3"/>
  <c r="M35" i="3"/>
  <c r="M103" i="3"/>
  <c r="M59" i="3"/>
  <c r="M169" i="3"/>
  <c r="M24" i="3"/>
  <c r="M133" i="3"/>
  <c r="M114" i="3"/>
  <c r="M88" i="3"/>
  <c r="M76" i="3"/>
  <c r="M139" i="3"/>
  <c r="M71" i="3"/>
  <c r="M116" i="3"/>
  <c r="M87" i="3"/>
  <c r="M36" i="3"/>
  <c r="M78" i="3"/>
  <c r="M148" i="3"/>
  <c r="M164" i="3"/>
  <c r="M166" i="3"/>
  <c r="M162" i="3"/>
  <c r="M145" i="3"/>
  <c r="M141" i="3"/>
  <c r="M144" i="3"/>
  <c r="M57" i="3"/>
  <c r="M45" i="3"/>
  <c r="M90" i="3"/>
  <c r="M37" i="3"/>
  <c r="M113" i="3"/>
  <c r="M51" i="3"/>
  <c r="M49" i="3"/>
  <c r="M26" i="3"/>
  <c r="M62" i="3"/>
  <c r="M91" i="3"/>
  <c r="M163" i="3"/>
  <c r="M143" i="3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W649" i="3" l="1"/>
  <c r="M1191" i="3"/>
  <c r="M1190" i="3"/>
  <c r="M1189" i="3"/>
  <c r="M1188" i="3"/>
  <c r="M1187" i="3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<sst xmlns="http://schemas.openxmlformats.org/spreadsheetml/2006/main" count="775" uniqueCount="351">
  <si>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</si>
  <si>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</si>
  <si>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</si>
  <si>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</si>
  <si>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</si>
  <si>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</si>
  <si>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</si>
  <si>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</si>
  <si>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</si>
  <si>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</si>
  <si>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</si>
  <si>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</si>
  <si>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</si>
  <si>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</si>
  <si>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</si>
  <si>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</si>
  <si>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</si>
  <si>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</si>
  <si>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</si>
  <si>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</si>
  <si>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</si>
  <si>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</si>
  <si>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</si>
  <si>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</si>
  <si>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</si>
  <si>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</si>
  <si>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</si>
  <si>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</si>
  <si>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</si>
  <si>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</si>
  <si>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</si>
  <si>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</si>
  <si>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</si>
  <si>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</si>
  <si>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</si>
  <si>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</si>
  <si>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</si>
  <si>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</si>
  <si>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</si>
  <si>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</si>
  <si>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</si>
  <si>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</si>
  <si>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</si>
  <si>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</si>
  <si>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</si>
  <si>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</si>
  <si>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</si>
  <si>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</si>
  <si>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</si>
  <si>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</si>
  <si>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</si>
  <si>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</si>
  <si>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</si>
  <si>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</si>
  <si>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</si>
  <si>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</si>
  <si>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</si>
  <si>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</si>
  <si>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</si>
  <si>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</si>
  <si>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</si>
  <si>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</si>
  <si>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</si>
  <si>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</si>
  <si>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</si>
  <si>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</si>
  <si>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</si>
  <si>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</si>
  <si>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</si>
  <si>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</si>
  <si>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</si>
  <si>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</si>
  <si>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</si>
  <si>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</si>
  <si>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</si>
  <si>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</si>
  <si>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</si>
  <si>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</si>
  <si>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</si>
  <si>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</si>
  <si>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</si>
  <si>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</si>
  <si>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</si>
  <si>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</si>
  <si>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</si>
  <si>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</si>
  <si>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</si>
  <si>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</si>
  <si>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</si>
  <si>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</si>
  <si>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</si>
  <si>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</si>
  <si>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</si>
  <si>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</si>
  <si>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</si>
  <si>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</si>
  <si>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</si>
  <si>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</si>
  <si>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</si>
  <si>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</si>
  <si>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</si>
  <si>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</si>
  <si>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</si>
  <si>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</si>
  <si>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</si>
  <si>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</si>
  <si>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</si>
  <si>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</si>
  <si>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</si>
  <si>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</si>
  <si>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</si>
  <si>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</si>
  <si>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</si>
  <si>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</si>
  <si>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</si>
  <si>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</si>
  <si>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</si>
  <si>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</si>
  <si>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</si>
  <si>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</si>
  <si>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</si>
  <si>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</si>
  <si>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</si>
  <si>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</si>
  <si>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</si>
  <si>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</si>
  <si>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</si>
  <si>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</si>
  <si>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</si>
  <si>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</si>
  <si>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</si>
  <si>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</si>
  <si>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</si>
  <si>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</si>
  <si>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</si>
  <si>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</si>
  <si>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</si>
  <si>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</si>
  <si>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</si>
  <si>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</si>
  <si>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</si>
  <si>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</si>
  <si>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</si>
  <si>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</si>
  <si>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</si>
  <si>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</si>
  <si>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</si>
  <si>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</si>
  <si>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</si>
  <si>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</si>
  <si>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</si>
  <si>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</si>
  <si>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</si>
  <si>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</si>
  <si>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</si>
  <si>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</si>
  <si>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</si>
  <si>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</si>
  <si>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</si>
  <si>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</si>
  <si>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</si>
  <si>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</si>
  <si>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</si>
  <si>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</si>
  <si>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</si>
  <si>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</si>
  <si>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</si>
  <si>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</si>
  <si>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</si>
  <si>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</si>
  <si>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</si>
  <si>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</si>
  <si>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</si>
  <si>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</si>
  <si>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</si>
  <si>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</si>
  <si>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</si>
  <si>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</si>
  <si>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</si>
  <si>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</si>
  <si>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</si>
  <si>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</si>
  <si>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</si>
  <si>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</si>
  <si>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</si>
  <si>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</si>
  <si>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</si>
  <si>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</si>
  <si>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</si>
  <si>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</si>
  <si>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</si>
  <si>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</si>
  <si>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</si>
  <si>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</si>
  <si>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</si>
  <si>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</si>
  <si>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</si>
  <si>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</si>
  <si>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</si>
  <si>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</si>
  <si>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</si>
  <si>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</si>
  <si>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</si>
  <si>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</si>
  <si>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</si>
  <si>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</si>
  <si>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</si>
  <si>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</si>
  <si>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</si>
  <si>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</si>
  <si>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</si>
  <si>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</si>
  <si>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</si>
  <si>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</si>
  <si>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</si>
  <si>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</si>
  <si>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</si>
  <si>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</si>
  <si>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</si>
  <si>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</si>
  <si>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</si>
  <si>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</si>
  <si>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</si>
  <si>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</si>
  <si>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</si>
  <si>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</si>
  <si>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</si>
  <si>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</si>
  <si>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</si>
  <si>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</si>
  <si>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</si>
  <si>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</si>
  <si>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</si>
  <si>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</si>
  <si>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</si>
  <si>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</si>
  <si>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</si>
  <si>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</si>
  <si>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</si>
  <si>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</si>
  <si>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</si>
  <si>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</si>
  <si>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</si>
  <si>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</si>
  <si>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</si>
  <si>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</si>
  <si>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</si>
  <si>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</si>
  <si>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</si>
  <si>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</si>
  <si>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</si>
  <si>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</si>
  <si>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</si>
  <si>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</si>
  <si>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</si>
  <si>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</si>
  <si>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</si>
  <si>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</si>
  <si>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</si>
  <si>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</si>
  <si>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</si>
  <si>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</si>
  <si>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</si>
  <si>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</si>
  <si>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</si>
  <si>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</si>
  <si>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</si>
  <si>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</si>
  <si>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</si>
  <si>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</si>
  <si>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</si>
  <si>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</si>
  <si>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</si>
  <si>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</si>
  <si>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</si>
  <si>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</si>
  <si>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</si>
  <si>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</si>
  <si>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</si>
  <si>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</si>
  <si>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</si>
  <si>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</si>
  <si>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Mark to Market Breakdown</t>
  </si>
  <si>
    <t>YTD</t>
  </si>
  <si>
    <t>QQQ+TSM+NVDA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</si>
  <si>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</si>
  <si>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</si>
  <si>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</si>
  <si>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</si>
  <si>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</si>
  <si>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</si>
  <si>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</si>
  <si>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</si>
  <si>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</si>
  <si>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</si>
  <si>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</si>
  <si>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</si>
  <si>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</si>
  <si>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</si>
  <si>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</si>
  <si>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</si>
  <si>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</si>
  <si>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</si>
  <si>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</si>
  <si>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</si>
  <si>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</si>
  <si>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</si>
  <si>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</si>
  <si>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</si>
  <si>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</si>
  <si>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</si>
  <si>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</si>
  <si>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</si>
  <si>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</si>
  <si>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</si>
  <si>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</si>
  <si>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</si>
  <si>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</si>
  <si>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</si>
  <si>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</si>
  <si>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</si>
  <si>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</si>
  <si>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</si>
  <si>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</si>
  <si>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</si>
  <si>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</si>
  <si>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</si>
  <si>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</si>
  <si>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</si>
  <si>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</si>
  <si>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</si>
  <si>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</si>
  <si>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</si>
  <si>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</si>
  <si>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</si>
  <si>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</si>
  <si>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</si>
  <si>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Change in NAV</t>
  </si>
  <si>
    <t>Field Name</t>
  </si>
  <si>
    <t>Field Value</t>
  </si>
  <si>
    <t>Straits Multi-Asset Macro Strategy</t>
  </si>
  <si>
    <t>Inhouse</t>
  </si>
  <si>
    <t>checking</t>
  </si>
  <si>
    <t>FY2025</t>
  </si>
  <si>
    <t>NVDA 16JAN26 110 C</t>
  </si>
  <si>
    <t>NVDA 31JAN25 115 P</t>
  </si>
  <si>
    <t>NVDA 31JAN25 119 P</t>
  </si>
  <si>
    <t>NVDA 07FEB25 119 P</t>
  </si>
  <si>
    <t>NVDA 31JAN25 126 C</t>
  </si>
  <si>
    <t>NVDA 07FEB25 120 P</t>
  </si>
  <si>
    <t>SGOV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</si>
</sst>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10" fillId="5" borderId="7" xfId="0" applyNumberFormat="1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10" fontId="7" fillId="0" borderId="7" xfId="1" applyNumberFormat="1" applyFont="1" applyFill="1" applyBorder="1" applyAlignment="1">
      <alignment horizontal="right" vertical="center"/>
    </xf>
    <xf numFmtId="44" fontId="7" fillId="0" borderId="5" xfId="0" applyNumberFormat="1" applyFont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10" fontId="6" fillId="5" borderId="7" xfId="1" applyNumberFormat="1" applyFont="1" applyFill="1" applyBorder="1" applyAlignment="1">
      <alignment horizontal="right" vertical="center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4" xfId="1" applyNumberFormat="1" applyFont="1" applyFill="1" applyBorder="1" applyAlignment="1">
      <alignment horizontal="right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BDP|13843568691370437419</stp>
        <tr r="G9" s="16"/>
      </tp>
      <tp t="s">
        <v>#N/A Requesting Data...4171251499</v>
        <stp/>
        <stp>BDP|17488990371770934291</stp>
        <tr r="L9" s="16"/>
      </tp>
      <tp t="s">
        <v>#N/A N/A</v>
        <stp/>
        <stp>BDP|13727818016546450707</stp>
        <tr r="H10" s="16"/>
      </tp>
      <tp t="s">
        <v>#N/A N/A</v>
        <stp/>
        <stp>BDP|11025807958107061305</stp>
        <tr r="D6" s="16"/>
      </tp>
      <tp t="s">
        <v>#N/A Requesting Data...4220009602</v>
        <stp/>
        <stp>BDP|12503804164161346560</stp>
        <tr r="H23" s="4"/>
      </tp>
      <tp t="s">
        <v>#N/A N/A</v>
        <stp/>
        <stp>BDP|16037198422009566377</stp>
        <tr r="H7" s="16"/>
      </tp>
      <tp t="s">
        <v>#N/A N/A</v>
        <stp/>
        <stp>BDP|14887355760439675744</stp>
        <tr r="G8" s="16"/>
      </tp>
      <tp t="s">
        <v>#N/A N/A</v>
        <stp/>
        <stp>BDP|15882609691144832149</stp>
        <tr r="G10" s="16"/>
      </tp>
      <tp t="s">
        <v>#N/A N/A</v>
        <stp/>
        <stp>BDP|11927491993173780392</stp>
        <tr r="E7" s="16"/>
      </tp>
      <tp t="s">
        <v>#N/A Requesting Data...1752086864</v>
        <stp/>
        <stp>BDP|18194437827130447215</stp>
        <tr r="K6" s="16"/>
      </tp>
      <tp t="s">
        <v>#N/A N/A</v>
        <stp/>
        <stp>BDP|15408295575394886937</stp>
        <tr r="H6" s="16"/>
      </tp>
      <tp t="s">
        <v>#N/A Requesting Data...2897087341</v>
        <stp/>
        <stp>BDP|12868917489186433836</stp>
        <tr r="D22" s="4"/>
      </tp>
      <tp t="s">
        <v>#N/A Requesting Data...2985984890</v>
        <stp/>
        <stp>BDP|11441239167720550763</stp>
        <tr r="G22" s="4"/>
      </tp>
      <tp t="s">
        <v>#N/A N/A</v>
        <stp/>
        <stp>BDP|16083383279081530134</stp>
        <tr r="G6" s="16"/>
      </tp>
      <tp t="s">
        <v>#N/A Requesting Data...2544507486</v>
        <stp/>
        <stp>BDP|15571183826414458091</stp>
        <tr r="F23" s="4"/>
      </tp>
      <tp t="s">
        <v>#N/A Requesting Data...3694782960</v>
        <stp/>
        <stp>BDP|16691583684581330968</stp>
        <tr r="F22" s="4"/>
      </tp>
      <tp t="s">
        <v>#N/A Requesting Data...3502788734</v>
        <stp/>
        <stp>BDP|10851542879122214334</stp>
        <tr r="K7" s="16"/>
      </tp>
      <tp t="s">
        <v>#N/A Requesting Data...2372099055</v>
        <stp/>
        <stp>BDP|13033893993631589338</stp>
        <tr r="C24" s="4"/>
      </tp>
      <tp t="s">
        <v>#N/A N/A</v>
        <stp/>
        <stp>BDP|17427418226980805092</stp>
        <tr r="E6" s="16"/>
      </tp>
      <tp t="s">
        <v>#N/A N/A</v>
        <stp/>
        <stp>BDP|12801142977284637660</stp>
        <tr r="F9" s="16"/>
      </tp>
      <tp t="s">
        <v>#N/A Requesting Data...3443254486</v>
        <stp/>
        <stp>BDP|11395363488884515847</stp>
        <tr r="E22" s="4"/>
      </tp>
      <tp t="s">
        <v>#N/A Requesting Data...2905177270</v>
        <stp/>
        <stp>BDP|11453968001806112847</stp>
        <tr r="L10" s="16"/>
      </tp>
      <tp t="s">
        <v>#N/A N/A</v>
        <stp/>
        <stp>BDP|13427178278194281624</stp>
        <tr r="H9" s="16"/>
      </tp>
      <tp t="s">
        <v>#N/A Requesting Data...3238076509</v>
        <stp/>
        <stp>BDP|14662245951000286439</stp>
        <tr r="C22" s="4"/>
      </tp>
      <tp t="s">
        <v>#N/A Requesting Data...2155482615</v>
        <stp/>
        <stp>BDP|16854102045504656375</stp>
        <tr r="K10" s="16"/>
      </tp>
      <tp t="s">
        <v>#N/A Requesting Data...1443169783</v>
        <stp/>
        <stp>BDP|17541570393706762923</stp>
        <tr r="K9" s="16"/>
      </tp>
      <tp t="s">
        <v>#N/A N/A</v>
        <stp/>
        <stp>BDP|14476774127851531505</stp>
        <tr r="E9" s="16"/>
      </tp>
      <tp t="s">
        <v>#N/A Requesting Data...2737714873</v>
        <stp/>
        <stp>BDP|16879443774998906816</stp>
        <tr r="K8" s="16"/>
      </tp>
    </main>
    <main first="bofaddin.rtdserver">
      <tp t="s">
        <v>#N/A N/A</v>
        <stp/>
        <stp>BDP|9184051814111053572</stp>
        <tr r="E8" s="16"/>
      </tp>
      <tp t="s">
        <v>#N/A Requesting Data...4288135057</v>
        <stp/>
        <stp>BDP|1413003601749412533</stp>
        <tr r="L6" s="16"/>
      </tp>
      <tp t="s">
        <v>#N/A Requesting Data...4248028132</v>
        <stp/>
        <stp>BDP|8485886604566386829</stp>
        <tr r="H22" s="4"/>
      </tp>
      <tp t="s">
        <v>#N/A Requesting Data...3153414119</v>
        <stp/>
        <stp>BDP|9958272376154164648</stp>
        <tr r="J9" s="16"/>
      </tp>
      <tp t="s">
        <v>#N/A Requesting Data...4056389284</v>
        <stp/>
        <stp>BDP|4155052320638790009</stp>
        <tr r="L7" s="16"/>
      </tp>
      <tp t="s">
        <v>#N/A N/A</v>
        <stp/>
        <stp>BDP|4020462511547452937</stp>
        <tr r="F7" s="16"/>
      </tp>
      <tp t="s">
        <v>#N/A Requesting Data...2628784245</v>
        <stp/>
        <stp>BDP|3599663092060873385</stp>
        <tr r="G23" s="4"/>
      </tp>
      <tp t="s">
        <v>#N/A N/A</v>
        <stp/>
        <stp>BDP|5197169271935733907</stp>
        <tr r="H8" s="16"/>
      </tp>
      <tp t="s">
        <v>#N/A Requesting Data...3235707460</v>
        <stp/>
        <stp>BDP|2715175043958188031</stp>
        <tr r="C23" s="4"/>
      </tp>
      <tp t="s">
        <v>#N/A Requesting Data...2548000021</v>
        <stp/>
        <stp>BDP|4938759477168674381</stp>
        <tr r="E23" s="4"/>
      </tp>
      <tp t="s">
        <v>#N/A Requesting Data...3503528530</v>
        <stp/>
        <stp>BDP|4120548091556971632</stp>
        <tr r="J8" s="16"/>
      </tp>
      <tp t="s">
        <v>#N/A Requesting Data...3577868608</v>
        <stp/>
        <stp>BDP|6229753396345444597</stp>
        <tr r="J10" s="16"/>
      </tp>
      <tp t="s">
        <v>#N/A Requesting Data...3047033971</v>
        <stp/>
        <stp>BDP|6992386206898388576</stp>
        <tr r="I6" s="16"/>
      </tp>
      <tp t="s">
        <v>#N/A Requesting Data...3938115977</v>
        <stp/>
        <stp>BDP|1440775866201456872</stp>
        <tr r="I10" s="16"/>
      </tp>
      <tp t="s">
        <v>#N/A Requesting Data...3455701625</v>
        <stp/>
        <stp>BDP|2558557980072118785</stp>
        <tr r="I9" s="16"/>
      </tp>
      <tp t="s">
        <v>#N/A Requesting Data...2837437635</v>
        <stp/>
        <stp>BDP|9567764807640019488</stp>
        <tr r="D23" s="4"/>
      </tp>
      <tp t="s">
        <v>#N/A Requesting Data...2322765883</v>
        <stp/>
        <stp>BDP|6919533648008043579</stp>
        <tr r="J6" s="16"/>
      </tp>
      <tp t="s">
        <v>#N/A N/A</v>
        <stp/>
        <stp>BDP|1309843736337904909</stp>
        <tr r="G7" s="16"/>
      </tp>
      <tp t="s">
        <v>#N/A N/A</v>
        <stp/>
        <stp>BDP|1008282973937479734</stp>
        <tr r="F10" s="16"/>
      </tp>
      <tp t="s">
        <v>#N/A N/A</v>
        <stp/>
        <stp>BDP|6402462776015551568</stp>
        <tr r="D7" s="16"/>
      </tp>
      <tp t="s">
        <v>#N/A Requesting Data...3233299511</v>
        <stp/>
        <stp>BDP|3917812088037969338</stp>
        <tr r="I8" s="16"/>
      </tp>
      <tp t="s">
        <v>#N/A N/A</v>
        <stp/>
        <stp>BDP|3783811399514793104</stp>
        <tr r="D9" s="16"/>
      </tp>
      <tp t="s">
        <v>#N/A N/A</v>
        <stp/>
        <stp>BDP|3813102979953158681</stp>
        <tr r="D8" s="16"/>
      </tp>
      <tp t="s">
        <v>#N/A Requesting Data...3658186881</v>
        <stp/>
        <stp>BDP|3016032546861645645</stp>
        <tr r="L8" s="16"/>
      </tp>
      <tp t="s">
        <v>#N/A Requesting Data...2372128224</v>
        <stp/>
        <stp>BDP|5342164155427751487</stp>
        <tr r="I7" s="16"/>
      </tp>
      <tp t="s">
        <v>#N/A N/A</v>
        <stp/>
        <stp>BDP|5398486785213771927</stp>
        <tr r="F8" s="16"/>
      </tp>
      <tp t="s">
        <v>#N/A Requesting Data...2344812260</v>
        <stp/>
        <stp>BDP|2470954931023095833</stp>
        <tr r="J7" s="16"/>
      </tp>
      <tp t="s">
        <v>#N/A N/A</v>
        <stp/>
        <stp>BDP|684981373249800382</stp>
        <tr r="E10" s="16"/>
      </tp>
      <tp t="s">
        <v>#N/A N/A</v>
        <stp/>
        <stp>BDP|278915754941876425</stp>
        <tr r="D10" s="16"/>
      </tp>
      <tp t="s">
        <v>#N/A N/A</v>
        <stp/>
        <stp>BDP|221035956455966991</stp>
        <tr r="F6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NAV'!$A$1169:$A$1491</c:f>
              <c:numCache>
                <c:formatCode>[$-409]d\-mmm\-yy;@</c:formatCode>
                <c:ptCount val="323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  <c:pt idx="19">
                  <c:v>45686</c:v>
                </c:pt>
                <c:pt idx="20">
                  <c:v>45687</c:v>
                </c:pt>
                <c:pt idx="21">
                  <c:v>45688</c:v>
                </c:pt>
                <c:pt idx="22">
                  <c:v>45691</c:v>
                </c:pt>
              </c:numCache>
            </c:numRef>
          </c:cat>
          <c:val>
            <c:numRef>
              <c:f>'Historical NAV'!$N$1169:$N$1490</c:f>
              <c:numCache>
                <c:formatCode>0.00%;[Red]\(0.00%\)</c:formatCode>
                <c:ptCount val="322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  <c:pt idx="19">
                  <c:v>6.3490340990300265E-2</c:v>
                </c:pt>
                <c:pt idx="20">
                  <c:v>6.371136039766756E-2</c:v>
                </c:pt>
                <c:pt idx="21">
                  <c:v>6.3628402436024079E-2</c:v>
                </c:pt>
                <c:pt idx="22">
                  <c:v>6.3665020357839941E-2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NAV'!$A$2:$A$1491</c:f>
              <c:numCache>
                <c:formatCode>[$-409]d\-mmm\-yy;@</c:formatCode>
                <c:ptCount val="1490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  <c:pt idx="1186">
                  <c:v>45686</c:v>
                </c:pt>
                <c:pt idx="1187">
                  <c:v>45687</c:v>
                </c:pt>
                <c:pt idx="1188">
                  <c:v>45688</c:v>
                </c:pt>
                <c:pt idx="1189">
                  <c:v>45691</c:v>
                </c:pt>
              </c:numCache>
            </c:numRef>
          </c:cat>
          <c:val>
            <c:numRef>
              <c:f>'Historical NAV'!$M$2:$M$1490</c:f>
              <c:numCache>
                <c:formatCode>0.00%;[Red]\(0.00%\)</c:formatCode>
                <c:ptCount val="1489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  <c:pt idx="1186">
                  <c:v>0.69641297394484969</c:v>
                </c:pt>
                <c:pt idx="1187">
                  <c:v>0.69676553021706034</c:v>
                </c:pt>
                <c:pt idx="1188">
                  <c:v>0.69663320088880987</c:v>
                </c:pt>
                <c:pt idx="1189">
                  <c:v>0.69669161149702408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Feb</a:t>
            </a:r>
            <a:r>
              <a:rPr lang="en-SG" sz="1800" b="1" baseline="0"/>
              <a:t> 2025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Dashboard!$B$34:$J$34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-3410</c:v>
                </c:pt>
                <c:pt idx="2">
                  <c:v>0</c:v>
                </c:pt>
                <c:pt idx="3">
                  <c:v>-3266.1</c:v>
                </c:pt>
                <c:pt idx="4">
                  <c:v>0</c:v>
                </c:pt>
                <c:pt idx="5">
                  <c:v>0</c:v>
                </c:pt>
                <c:pt idx="6">
                  <c:v>-4527.5999999999995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1616679.7899999998</c:v>
                </c:pt>
                <c:pt idx="1">
                  <c:v>224428.66000000041</c:v>
                </c:pt>
                <c:pt idx="2">
                  <c:v>174582.74999999991</c:v>
                </c:pt>
                <c:pt idx="3">
                  <c:v>145978.52999999994</c:v>
                </c:pt>
                <c:pt idx="4">
                  <c:v>1307091.58</c:v>
                </c:pt>
                <c:pt idx="5">
                  <c:v>270528.75</c:v>
                </c:pt>
                <c:pt idx="6">
                  <c:v>889599.7100000002</c:v>
                </c:pt>
                <c:pt idx="7">
                  <c:v>0</c:v>
                </c:pt>
                <c:pt idx="8">
                  <c:v>66717104.859681718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tabSelected="1" zoomScale="85" zoomScaleNormal="85" workbookViewId="0">
      <selection activeCell="I57" sqref="I57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45691</v>
      </c>
      <c r="D2" s="91"/>
      <c r="E2" s="92"/>
    </row>
    <row r="3" spans="1:23">
      <c r="A3" t="s">
        <v>164</v>
      </c>
      <c r="B3" s="107">
        <f ca="1">DATE(YEAR(B2), MONTH(B2), 1)</f>
        <v>45689</v>
      </c>
      <c r="D3" s="91"/>
      <c r="E3" s="92"/>
    </row>
    <row r="4" spans="1:23">
      <c r="A4" t="s">
        <v>287</v>
      </c>
      <c r="B4" s="8">
        <f ca="1">OFFSET('Historical NAV'!I1,COUNT('Historical NAV'!A:A),,,)</f>
        <v>3.4427363665653338E-5</v>
      </c>
      <c r="D4" s="91"/>
      <c r="E4" s="92"/>
    </row>
    <row r="5" spans="1:23">
      <c r="A5" t="s">
        <v>66</v>
      </c>
      <c r="B5" s="8">
        <f ca="1">OFFSET('Historical NAV'!K1,COUNT('Historical NAV'!A:A),,,)</f>
        <v>3.4427363665653338E-5</v>
      </c>
      <c r="E5" s="146"/>
    </row>
    <row r="6" spans="1:23">
      <c r="A6" t="s">
        <v>283</v>
      </c>
      <c r="B6" s="8">
        <f ca="1">OFFSET('Historical NAV'!N1,COUNT('Historical NAV'!A:A),,,)</f>
        <v>6.3665020357839941E-2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3.4427363665653338E-5</v>
      </c>
      <c r="D9" t="s">
        <v>188</v>
      </c>
      <c r="E9" s="146">
        <f ca="1">OFFSET('Historical NAV'!B1,COUNT('Historical NAV'!A:A),,,)</f>
        <v>66304300.988508098</v>
      </c>
    </row>
    <row r="10" spans="1:23">
      <c r="A10" t="s">
        <v>181</v>
      </c>
      <c r="B10" s="2">
        <f ca="1">E13/E9</f>
        <v>0.95788170983067733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-4.8196528002630537E-2</v>
      </c>
      <c r="D11" t="s">
        <v>160</v>
      </c>
      <c r="E11" s="8">
        <f ca="1">E10/E9</f>
        <v>0.62698082854693249</v>
      </c>
    </row>
    <row r="12" spans="1:23">
      <c r="A12" t="s">
        <v>147</v>
      </c>
      <c r="B12" s="8">
        <f ca="1">OFFSET('Historical NAV'!T1,COUNT('Historical NAV'!A:A),,,)</f>
        <v>1.252107946520228E-2</v>
      </c>
    </row>
    <row r="13" spans="1:23">
      <c r="A13" t="s">
        <v>148</v>
      </c>
      <c r="B13" s="8">
        <f ca="1">OFFSET('Historical NAV'!V1,COUNT('Historical NAV'!A:A),,,)</f>
        <v>0.8020380310497639</v>
      </c>
      <c r="D13" s="99" t="s">
        <v>180</v>
      </c>
      <c r="E13" s="152">
        <f>K25</f>
        <v>63511677.200000003</v>
      </c>
    </row>
    <row r="14" spans="1:23">
      <c r="A14" t="s">
        <v>125</v>
      </c>
      <c r="B14" s="51">
        <f ca="1">OFFSET('Historical NAV'!W1,COUNT('Historical NAV'!A:A),,,)</f>
        <v>1.598188818871926</v>
      </c>
      <c r="D14" s="303">
        <v>5.0000000000000001E-3</v>
      </c>
      <c r="E14" s="123">
        <f>(D14*$E$13)/(1-D14)</f>
        <v>319154.15678391961</v>
      </c>
    </row>
    <row r="15" spans="1:23">
      <c r="A15" t="s">
        <v>144</v>
      </c>
      <c r="B15" s="51">
        <f ca="1">OFFSET('Historical NAV'!AB1,COUNT('Historical NAV'!A:A),,,)</f>
        <v>4.0143577170790987</v>
      </c>
      <c r="D15" s="303">
        <v>0.01</v>
      </c>
      <c r="E15" s="123">
        <f>(D15*$E$13)/(1-D15)</f>
        <v>641532.09292929294</v>
      </c>
      <c r="F15" s="133"/>
    </row>
    <row r="16" spans="1:23">
      <c r="A16" t="s">
        <v>145</v>
      </c>
      <c r="B16" s="51">
        <f ca="1">OFFSET('Historical NAV'!P1,COUNT('Historical NAV'!A:A),,,)</f>
        <v>0.49875659059705174</v>
      </c>
      <c r="D16" s="303">
        <v>1.4999999999999999E-2</v>
      </c>
      <c r="E16" s="123">
        <f>(D16*$E$13)/(1-D16)</f>
        <v>967182.9015228427</v>
      </c>
      <c r="F16" s="169"/>
    </row>
    <row r="17" spans="1:23">
      <c r="A17" t="s">
        <v>185</v>
      </c>
      <c r="B17" s="51">
        <f ca="1">OFFSET('Historical NAV'!AC1,COUNT('Historical NAV'!A:A),,,)</f>
        <v>-4.5802219713923849E-2</v>
      </c>
      <c r="D17" s="303">
        <v>0.05</v>
      </c>
      <c r="E17" s="123">
        <f>(D17*$E$13)/(1-D17)</f>
        <v>3342719.8526315796</v>
      </c>
    </row>
    <row r="18" spans="1:23">
      <c r="A18" t="s">
        <v>186</v>
      </c>
      <c r="B18" s="51">
        <f ca="1">OFFSET('Historical NAV'!AD1,COUNT('Historical NAV'!A:A),,,)</f>
        <v>-3.9541914750510269E-2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-4.8740704614063053E-2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284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0</v>
      </c>
      <c r="C24" s="94">
        <f>COUNTIF('Mark to Market'!$B$3:$B$1028,C23)</f>
        <v>1</v>
      </c>
      <c r="D24" s="94">
        <f>COUNTIF('Mark to Market'!$B$3:$B$1028,D23)</f>
        <v>0</v>
      </c>
      <c r="E24" s="94">
        <f>COUNTIF('Mark to Market'!$B$3:$B$1028,E23)</f>
        <v>1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6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8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116660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63394812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205.2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63511677.200000003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116660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>
        <f t="shared" ref="B26:J26" si="0">B25/$K$25</f>
        <v>0</v>
      </c>
      <c r="C26" s="103">
        <f>C25/$K$25</f>
        <v>1.8368275747565992E-3</v>
      </c>
      <c r="D26" s="103">
        <f>D25/$K$25</f>
        <v>0</v>
      </c>
      <c r="E26" s="103">
        <f>E25/$K$25</f>
        <v>0.99815994152332033</v>
      </c>
      <c r="F26" s="103">
        <f t="shared" si="0"/>
        <v>0</v>
      </c>
      <c r="G26" s="103">
        <f t="shared" si="0"/>
        <v>0</v>
      </c>
      <c r="H26" s="103">
        <f t="shared" si="0"/>
        <v>3.230901923024637E-6</v>
      </c>
      <c r="I26" s="103">
        <f t="shared" si="0"/>
        <v>0</v>
      </c>
      <c r="J26" s="103">
        <f t="shared" si="0"/>
        <v>0</v>
      </c>
      <c r="K26" s="103">
        <f>SUM(B26:J26)</f>
        <v>0.99999999999999989</v>
      </c>
      <c r="L26" s="103">
        <f>L25/$K$25</f>
        <v>1.8368275747565992E-3</v>
      </c>
      <c r="M26" s="103">
        <f>M25/$K$25</f>
        <v>0</v>
      </c>
      <c r="N26" s="216">
        <f>F26-M26</f>
        <v>0</v>
      </c>
    </row>
    <row r="27" spans="1:23">
      <c r="A27" s="99" t="s">
        <v>196</v>
      </c>
      <c r="B27" s="165">
        <f ca="1">B25/$E$9</f>
        <v>0</v>
      </c>
      <c r="C27" s="165">
        <f ca="1">C25/$E$9</f>
        <v>1.7594635379719874E-3</v>
      </c>
      <c r="D27" s="165">
        <f ca="1">D25/$E$9</f>
        <v>0</v>
      </c>
      <c r="E27" s="165">
        <f t="shared" ref="E27:K27" ca="1" si="1">E25/$E$9</f>
        <v>0.95611915147084692</v>
      </c>
      <c r="F27" s="165">
        <f t="shared" ca="1" si="1"/>
        <v>0</v>
      </c>
      <c r="G27" s="165">
        <f t="shared" ca="1" si="1"/>
        <v>0</v>
      </c>
      <c r="H27" s="165">
        <f t="shared" ca="1" si="1"/>
        <v>3.0948218583220626E-6</v>
      </c>
      <c r="I27" s="165">
        <f t="shared" ca="1" si="1"/>
        <v>0</v>
      </c>
      <c r="J27" s="165">
        <f t="shared" ca="1" si="1"/>
        <v>0</v>
      </c>
      <c r="K27" s="165">
        <f t="shared" ca="1" si="1"/>
        <v>0.95788170983067733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0</v>
      </c>
      <c r="C29" s="155">
        <f ca="1">OFFSET('Daily P&amp;L breakdown'!D1,COUNT('Daily P&amp;L breakdown'!$A:$A),,,)</f>
        <v>-3410</v>
      </c>
      <c r="D29" s="155">
        <f ca="1">OFFSET('Daily P&amp;L breakdown'!C1,COUNT('Daily P&amp;L breakdown'!$A:$A),,,)</f>
        <v>0</v>
      </c>
      <c r="E29" s="155">
        <f ca="1">OFFSET('Daily P&amp;L breakdown'!E1,COUNT('Daily P&amp;L breakdown'!$A:$A),,,)</f>
        <v>-3266.1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-4527.5999999999995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-11203.7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342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1616679.7899999998</v>
      </c>
      <c r="C33" s="154">
        <f>SUMIFS('Daily P&amp;L breakdown'!D:D, 'Daily P&amp;L breakdown'!$A:$A, "&gt;=" &amp; EOMONTH($A33, -1) + 1, 'Daily P&amp;L breakdown'!$A:$A, "&lt;=" &amp; EOMONTH($A33, 0))</f>
        <v>227838.66000000041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149244.62999999995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894127.31000000017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>
        <f>Email!T10+Email!T11</f>
        <v>66717104.859681718</v>
      </c>
      <c r="K33" s="154">
        <f t="shared" ref="K33:K44" si="2">SUM(B33:J33)</f>
        <v>71357198.329681724</v>
      </c>
      <c r="L33" s="154" t="e">
        <f>SUM(Email!$T$9:$T$11)-K33</f>
        <v>#N/A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-3410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-3266.1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-4527.5999999999995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-11203.7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343</v>
      </c>
      <c r="B45" s="164">
        <f t="shared" ref="B45:I45" si="3">SUM(B33:B44)</f>
        <v>1616679.7899999998</v>
      </c>
      <c r="C45" s="164">
        <f>SUM(C33:C44)</f>
        <v>224428.66000000041</v>
      </c>
      <c r="D45" s="164">
        <f>SUM(D33:D44)</f>
        <v>174582.74999999991</v>
      </c>
      <c r="E45" s="164">
        <f t="shared" si="3"/>
        <v>145978.52999999994</v>
      </c>
      <c r="F45" s="164">
        <f t="shared" si="3"/>
        <v>1307091.58</v>
      </c>
      <c r="G45" s="164">
        <f t="shared" si="3"/>
        <v>270528.75</v>
      </c>
      <c r="H45" s="164">
        <f t="shared" si="3"/>
        <v>889599.7100000002</v>
      </c>
      <c r="I45" s="164">
        <f t="shared" si="3"/>
        <v>0</v>
      </c>
      <c r="J45" s="164">
        <f>SUM(J33:J44)</f>
        <v>66717104.859681718</v>
      </c>
      <c r="K45" s="164">
        <f>SUM(K33:K44)</f>
        <v>71345994.629681721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2.5557945864864703E-2</v>
      </c>
      <c r="C50" s="299">
        <f>C33/'Historical NAV'!$B$1169</f>
        <v>3.6018809502179317E-3</v>
      </c>
      <c r="D50" s="299">
        <f>D33/'Historical NAV'!$B$1169</f>
        <v>2.7599630434170311E-3</v>
      </c>
      <c r="E50" s="299">
        <f>E33/'Historical NAV'!$B$1169</f>
        <v>2.3593949758979557E-3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1.4135178485330796E-2</v>
      </c>
      <c r="I50" s="299">
        <f>I33/'Historical NAV'!$B$1169</f>
        <v>0</v>
      </c>
      <c r="J50" s="299">
        <f>J33/'Historical NAV'!$B$1169</f>
        <v>1.054724729542297</v>
      </c>
      <c r="K50" s="299">
        <f>K33/'Historical NAV'!$B$1169</f>
        <v>1.1280795512254285</v>
      </c>
    </row>
    <row r="51" spans="1:11">
      <c r="A51" s="105">
        <v>45689</v>
      </c>
      <c r="B51" s="299"/>
      <c r="C51" s="299"/>
      <c r="D51" s="299"/>
      <c r="E51" s="299"/>
      <c r="F51" s="299"/>
      <c r="G51" s="299"/>
      <c r="H51" s="299"/>
      <c r="I51" s="299"/>
      <c r="J51" s="299"/>
      <c r="K51" s="299"/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343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36"/>
  <sheetViews>
    <sheetView zoomScale="85" zoomScaleNormal="85" workbookViewId="0">
      <pane xSplit="1" ySplit="1" topLeftCell="B1168" activePane="bottomRight" state="frozen"/>
      <selection pane="topRight" activeCell="B1" sqref="B1"/>
      <selection pane="bottomLeft" activeCell="A2" sqref="A2"/>
      <selection pane="bottomRight" activeCell="J1197" sqref="J1197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286</v>
      </c>
      <c r="I1" s="128" t="s">
        <v>285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91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42">
        <f t="shared" si="656"/>
        <v>1.7857142857142857E-4</v>
      </c>
      <c r="Y1187" s="139">
        <f t="shared" ref="Y1187" si="1024">G1187-X1187</f>
        <v>-2.9439674917357771E-4</v>
      </c>
      <c r="Z1187" s="139">
        <f t="shared" ref="Z1187" si="1025">IF(Y1187&lt;0,Y1187,0)</f>
        <v>-2.9439674917357771E-4</v>
      </c>
      <c r="AA1187" s="139">
        <f t="shared" ref="AA1187" si="1026">Z1187^2</f>
        <v>8.6669445923970425E-8</v>
      </c>
      <c r="AB1187" s="144">
        <f t="shared" ref="AB1187" si="1027">AVERAGE(Y936:Y1187)/AVERAGE(AA936:AA1187)</f>
        <v>4.0064543582111343</v>
      </c>
      <c r="AC1187" s="144">
        <f t="shared" ref="AC1187" si="1028">AVERAGE(G1158:G1187)-_xlfn.NORM.S.INV(0.95)*_xlfn.STDEV.S(G1158:G1187)</f>
        <v>-5.3726888131229937E-2</v>
      </c>
      <c r="AD1187" s="144">
        <f t="shared" ref="AD1187" si="1029">AVERAGE(G1098:G1187)-_xlfn.NORM.S.INV(0.95)*_xlfn.STDEV.S(G1098:G1187)</f>
        <v>-3.992648917433602E-2</v>
      </c>
      <c r="AE1187" s="144">
        <f t="shared" ref="AE1187" si="1030">AVERAGE(G823:G1187)-_xlfn.NORM.S.INV(0.95)*_xlfn.STDEV.S(G823:G1187)</f>
        <v>-4.8816703882659546E-2</v>
      </c>
    </row>
    <row r="1188" spans="1:31">
      <c r="A1188" s="88">
        <v>45686</v>
      </c>
      <c r="B1188" s="78">
        <v>66293412.228287399</v>
      </c>
      <c r="D1188" s="67">
        <f t="shared" ref="D1188" si="1031">B1188</f>
        <v>66293412.228287399</v>
      </c>
      <c r="E1188" s="67">
        <f t="shared" ref="E1188" si="1032">IF(MONTH(A1188)=MONTH(A1187),E1187,D1187)</f>
        <v>71204832.621444106</v>
      </c>
      <c r="F1188" s="67">
        <f t="shared" ref="F1188" si="1033">B1188-C1188-D1187</f>
        <v>-5346.0141512006521</v>
      </c>
      <c r="G1188" s="70">
        <f t="shared" ref="G1188" si="1034">F1188/B1187</f>
        <v>-8.0635207851881109E-5</v>
      </c>
      <c r="H1188" s="67">
        <f t="shared" ref="H1188" si="1035">IF(WEEKNUM(A1188)=WEEKNUM(A1187),H1187+F1188,F1188)</f>
        <v>-5440329.3854064047</v>
      </c>
      <c r="I1188" s="70">
        <f t="shared" ref="I1188" si="1036">IF(WEEKNUM(A1188)=WEEKNUM(A1187),I1187+G1188,G1188)</f>
        <v>-7.585546401414206E-2</v>
      </c>
      <c r="J1188" s="67">
        <f t="shared" ref="J1188" si="1037">IF(MONTH(A1188)=MONTH(A1187),J1187+F1188,F1188)</f>
        <v>4088579.6068433002</v>
      </c>
      <c r="K1188" s="70">
        <f t="shared" ref="K1188" si="1038">(1+K1187)*(1+G1188)-1</f>
        <v>6.3490340990300265E-2</v>
      </c>
      <c r="L1188" s="70">
        <f t="shared" ref="L1188" si="1039">1+G1188</f>
        <v>0.99991936479214816</v>
      </c>
      <c r="M1188" s="70">
        <f>PRODUCT($L$2:L1188)-1</f>
        <v>0.69641297394484969</v>
      </c>
      <c r="N1188" s="70">
        <f>PRODUCT($L$1169:L1188)-1</f>
        <v>6.3490340990300265E-2</v>
      </c>
      <c r="O1188" s="70">
        <f>AVERAGE($G$1169:G1188)*252</f>
        <v>0.91460357670337478</v>
      </c>
      <c r="P1188" s="70">
        <f>STDEV($G$1169:G1188)*252^0.5</f>
        <v>0.53627705174057982</v>
      </c>
      <c r="Q1188" s="67">
        <f t="shared" ref="Q1188" si="1040">B1188-C1188-D1157</f>
        <v>-10447105.492226601</v>
      </c>
      <c r="R1188" s="70">
        <f t="shared" ref="R1188" si="1041">Q1188/B1157</f>
        <v>-0.13613545754635845</v>
      </c>
      <c r="S1188" s="67">
        <f t="shared" ref="S1188" si="1042">B1188-C1188-D1099</f>
        <v>1225267.1637120992</v>
      </c>
      <c r="T1188" s="70">
        <f t="shared" ref="T1188" si="1043">S1188/B1097</f>
        <v>1.9597630844505082E-2</v>
      </c>
      <c r="U1188" s="67">
        <f t="shared" ref="U1188" si="1044">B1188-C1188-D824</f>
        <v>28930536.338287398</v>
      </c>
      <c r="V1188" s="70">
        <f t="shared" ref="V1188" si="1045">U1188/B822</f>
        <v>0.77322737211589965</v>
      </c>
      <c r="W1188" s="87">
        <f t="shared" ref="W1188" si="1046">O1188/P1188</f>
        <v>1.7054684210985178</v>
      </c>
      <c r="X1188" s="142">
        <f t="shared" si="656"/>
        <v>1.7857142857142857E-4</v>
      </c>
      <c r="Y1188" s="139">
        <f t="shared" ref="Y1188" si="1047">G1188-X1188</f>
        <v>-2.5920663642330967E-4</v>
      </c>
      <c r="Z1188" s="139">
        <f t="shared" ref="Z1188" si="1048">IF(Y1188&lt;0,Y1188,0)</f>
        <v>-2.5920663642330967E-4</v>
      </c>
      <c r="AA1188" s="139">
        <f t="shared" ref="AA1188" si="1049">Z1188^2</f>
        <v>6.7188080365885839E-8</v>
      </c>
      <c r="AB1188" s="144">
        <f t="shared" ref="AB1188" si="1050">AVERAGE(Y937:Y1188)/AVERAGE(AA937:AA1188)</f>
        <v>3.9659644394746971</v>
      </c>
      <c r="AC1188" s="144">
        <f t="shared" ref="AC1188" si="1051">AVERAGE(G1159:G1188)-_xlfn.NORM.S.INV(0.95)*_xlfn.STDEV.S(G1159:G1188)</f>
        <v>-5.3046705527388424E-2</v>
      </c>
      <c r="AD1188" s="144">
        <f t="shared" ref="AD1188" si="1052">AVERAGE(G1099:G1188)-_xlfn.NORM.S.INV(0.95)*_xlfn.STDEV.S(G1099:G1188)</f>
        <v>-3.9868816424293047E-2</v>
      </c>
      <c r="AE1188" s="144">
        <f t="shared" ref="AE1188" si="1053">AVERAGE(G824:G1188)-_xlfn.NORM.S.INV(0.95)*_xlfn.STDEV.S(G824:G1188)</f>
        <v>-4.8815685050437659E-2</v>
      </c>
    </row>
    <row r="1189" spans="1:31">
      <c r="A1189" s="88">
        <v>45687</v>
      </c>
      <c r="B1189" s="78">
        <v>66307189.627214603</v>
      </c>
      <c r="D1189" s="67">
        <f t="shared" ref="D1189" si="1054">B1189</f>
        <v>66307189.627214603</v>
      </c>
      <c r="E1189" s="67">
        <f t="shared" ref="E1189" si="1055">IF(MONTH(A1189)=MONTH(A1188),E1188,D1188)</f>
        <v>71204832.621444106</v>
      </c>
      <c r="F1189" s="67">
        <f t="shared" ref="F1189" si="1056">B1189-C1189-D1188</f>
        <v>13777.398927204311</v>
      </c>
      <c r="G1189" s="70">
        <f t="shared" ref="G1189" si="1057">F1189/B1188</f>
        <v>2.078245554740882E-4</v>
      </c>
      <c r="H1189" s="67">
        <f t="shared" ref="H1189" si="1058">IF(WEEKNUM(A1189)=WEEKNUM(A1188),H1188+F1189,F1189)</f>
        <v>-5426551.9864792004</v>
      </c>
      <c r="I1189" s="70">
        <f t="shared" ref="I1189" si="1059">IF(WEEKNUM(A1189)=WEEKNUM(A1188),I1188+G1189,G1189)</f>
        <v>-7.5647639458667967E-2</v>
      </c>
      <c r="J1189" s="67">
        <f t="shared" ref="J1189" si="1060">IF(MONTH(A1189)=MONTH(A1188),J1188+F1189,F1189)</f>
        <v>4102357.0057705045</v>
      </c>
      <c r="K1189" s="70">
        <f t="shared" ref="K1189" si="1061">(1+K1188)*(1+G1189)-1</f>
        <v>6.371136039766756E-2</v>
      </c>
      <c r="L1189" s="70">
        <f t="shared" ref="L1189" si="1062">1+G1189</f>
        <v>1.0002078245554742</v>
      </c>
      <c r="M1189" s="70">
        <f>PRODUCT($L$2:L1189)-1</f>
        <v>0.69676553021706034</v>
      </c>
      <c r="N1189" s="70">
        <f>PRODUCT($L$1169:L1189)-1</f>
        <v>6.371136039766756E-2</v>
      </c>
      <c r="O1189" s="70">
        <f>AVERAGE($G$1169:G1189)*252</f>
        <v>0.87354492009747453</v>
      </c>
      <c r="P1189" s="70">
        <f>STDEV($G$1169:G1189)*252^0.5</f>
        <v>0.52283258013687339</v>
      </c>
      <c r="Q1189" s="67">
        <f t="shared" ref="Q1189" si="1063">B1189-C1189-D1158</f>
        <v>-9309160.9654111937</v>
      </c>
      <c r="R1189" s="70">
        <f t="shared" ref="R1189" si="1064">Q1189/B1158</f>
        <v>-0.12311042377016056</v>
      </c>
      <c r="S1189" s="67">
        <f t="shared" ref="S1189" si="1065">B1189-C1189-D1100</f>
        <v>-631724.89177889377</v>
      </c>
      <c r="T1189" s="70">
        <f t="shared" ref="T1189" si="1066">S1189/B1098</f>
        <v>-9.7154838543926612E-3</v>
      </c>
      <c r="U1189" s="67">
        <f t="shared" ref="U1189" si="1067">B1189-C1189-D825</f>
        <v>29047857.137214601</v>
      </c>
      <c r="V1189" s="70">
        <f t="shared" ref="V1189" si="1068">U1189/B823</f>
        <v>0.776681219948267</v>
      </c>
      <c r="W1189" s="87">
        <f t="shared" ref="W1189" si="1069">O1189/P1189</f>
        <v>1.6707928183603009</v>
      </c>
      <c r="X1189" s="142">
        <f t="shared" si="656"/>
        <v>1.7857142857142857E-4</v>
      </c>
      <c r="Y1189" s="139">
        <f t="shared" ref="Y1189" si="1070">G1189-X1189</f>
        <v>2.9253126902659631E-5</v>
      </c>
      <c r="Z1189" s="139">
        <f t="shared" ref="Z1189" si="1071">IF(Y1189&lt;0,Y1189,0)</f>
        <v>0</v>
      </c>
      <c r="AA1189" s="139">
        <f t="shared" ref="AA1189" si="1072">Z1189^2</f>
        <v>0</v>
      </c>
      <c r="AB1189" s="144">
        <f t="shared" ref="AB1189" si="1073">AVERAGE(Y938:Y1189)/AVERAGE(AA938:AA1189)</f>
        <v>4.0603042907780891</v>
      </c>
      <c r="AC1189" s="144">
        <f t="shared" ref="AC1189" si="1074">AVERAGE(G1160:G1189)-_xlfn.NORM.S.INV(0.95)*_xlfn.STDEV.S(G1160:G1189)</f>
        <v>-4.6071882429871619E-2</v>
      </c>
      <c r="AD1189" s="144">
        <f t="shared" ref="AD1189" si="1075">AVERAGE(G1100:G1189)-_xlfn.NORM.S.INV(0.95)*_xlfn.STDEV.S(G1100:G1189)</f>
        <v>-3.9874949151526437E-2</v>
      </c>
      <c r="AE1189" s="144">
        <f t="shared" ref="AE1189" si="1076">AVERAGE(G825:G1189)-_xlfn.NORM.S.INV(0.95)*_xlfn.STDEV.S(G825:G1189)</f>
        <v>-4.8811944499750667E-2</v>
      </c>
    </row>
    <row r="1190" spans="1:31" s="47" customFormat="1">
      <c r="A1190" s="90">
        <v>45688</v>
      </c>
      <c r="B1190" s="137">
        <v>66302018.384809397</v>
      </c>
      <c r="C1190" s="135"/>
      <c r="D1190" s="80">
        <f t="shared" ref="D1190" si="1077">B1190</f>
        <v>66302018.384809397</v>
      </c>
      <c r="E1190" s="80">
        <f t="shared" ref="E1190" si="1078">IF(MONTH(A1190)=MONTH(A1189),E1189,D1189)</f>
        <v>71204832.621444106</v>
      </c>
      <c r="F1190" s="80">
        <f t="shared" ref="F1190" si="1079">B1190-C1190-D1189</f>
        <v>-5171.242405205965</v>
      </c>
      <c r="G1190" s="81">
        <f t="shared" ref="G1190" si="1080">F1190/B1189</f>
        <v>-7.7989165794526764E-5</v>
      </c>
      <c r="H1190" s="80">
        <f t="shared" ref="H1190" si="1081">IF(WEEKNUM(A1190)=WEEKNUM(A1189),H1189+F1190,F1190)</f>
        <v>-5431723.2288844064</v>
      </c>
      <c r="I1190" s="81">
        <f t="shared" ref="I1190" si="1082">IF(WEEKNUM(A1190)=WEEKNUM(A1189),I1189+G1190,G1190)</f>
        <v>-7.5725628624462499E-2</v>
      </c>
      <c r="J1190" s="80">
        <f t="shared" ref="J1190" si="1083">IF(MONTH(A1190)=MONTH(A1189),J1189+F1190,F1190)</f>
        <v>4097185.7633652985</v>
      </c>
      <c r="K1190" s="81">
        <f t="shared" ref="K1190" si="1084">(1+K1189)*(1+G1190)-1</f>
        <v>6.3628402436024079E-2</v>
      </c>
      <c r="L1190" s="81">
        <f t="shared" ref="L1190" si="1085">1+G1190</f>
        <v>0.99992201083420551</v>
      </c>
      <c r="M1190" s="81">
        <f>PRODUCT($L$2:L1190)-1</f>
        <v>0.69663320088880987</v>
      </c>
      <c r="N1190" s="81">
        <f>PRODUCT($L$1169:L1190)-1</f>
        <v>6.3628402436024079E-2</v>
      </c>
      <c r="O1190" s="81">
        <f>AVERAGE($G$1169:G1190)*252</f>
        <v>0.83294500237576108</v>
      </c>
      <c r="P1190" s="81">
        <f>STDEV($G$1169:G1190)*252^0.5</f>
        <v>0.51037335158342456</v>
      </c>
      <c r="Q1190" s="80">
        <f t="shared" ref="Q1190" si="1086">B1190-C1190-D1159</f>
        <v>-4041047.8876743987</v>
      </c>
      <c r="R1190" s="81">
        <f t="shared" ref="R1190" si="1087">Q1190/B1159</f>
        <v>-5.7447707383423252E-2</v>
      </c>
      <c r="S1190" s="80">
        <f t="shared" ref="S1190" si="1088">B1190-C1190-D1101</f>
        <v>701444.3208277002</v>
      </c>
      <c r="T1190" s="81">
        <f t="shared" ref="T1190" si="1089">S1190/B1099</f>
        <v>1.0780149336231559E-2</v>
      </c>
      <c r="U1190" s="80">
        <f t="shared" ref="U1190" si="1090">B1190-C1190-D826</f>
        <v>29601288.564809397</v>
      </c>
      <c r="V1190" s="81">
        <f t="shared" ref="V1190" si="1091">U1190/B824</f>
        <v>0.79226472426690375</v>
      </c>
      <c r="W1190" s="136">
        <f t="shared" ref="W1190" si="1092">O1190/P1190</f>
        <v>1.6320307472785629</v>
      </c>
      <c r="X1190" s="143">
        <f t="shared" si="656"/>
        <v>1.7857142857142857E-4</v>
      </c>
      <c r="Y1190" s="140">
        <f t="shared" ref="Y1190" si="1093">G1190-X1190</f>
        <v>-2.5656059436595535E-4</v>
      </c>
      <c r="Z1190" s="140">
        <f t="shared" ref="Z1190" si="1094">IF(Y1190&lt;0,Y1190,0)</f>
        <v>-2.5656059436595535E-4</v>
      </c>
      <c r="AA1190" s="140">
        <f t="shared" ref="AA1190" si="1095">Z1190^2</f>
        <v>6.5823338581412284E-8</v>
      </c>
      <c r="AB1190" s="145">
        <f t="shared" ref="AB1190" si="1096">AVERAGE(Y939:Y1190)/AVERAGE(AA939:AA1190)</f>
        <v>4.0780196067956185</v>
      </c>
      <c r="AC1190" s="145">
        <f t="shared" ref="AC1190" si="1097">AVERAGE(G1161:G1190)-_xlfn.NORM.S.INV(0.95)*_xlfn.STDEV.S(G1161:G1190)</f>
        <v>-4.5606073649123328E-2</v>
      </c>
      <c r="AD1190" s="145">
        <f t="shared" ref="AD1190" si="1098">AVERAGE(G1101:G1190)-_xlfn.NORM.S.INV(0.95)*_xlfn.STDEV.S(G1101:G1190)</f>
        <v>-3.9939540949735591E-2</v>
      </c>
      <c r="AE1190" s="145">
        <f t="shared" ref="AE1190" si="1099">AVERAGE(G826:G1190)-_xlfn.NORM.S.INV(0.95)*_xlfn.STDEV.S(G826:G1190)</f>
        <v>-4.8803140037362629E-2</v>
      </c>
    </row>
    <row r="1191" spans="1:31">
      <c r="A1191" s="88">
        <v>45691</v>
      </c>
      <c r="B1191" s="78">
        <v>66304300.988508098</v>
      </c>
      <c r="D1191" s="67">
        <f t="shared" ref="D1191" si="1100">B1191</f>
        <v>66304300.988508098</v>
      </c>
      <c r="E1191" s="67">
        <f t="shared" ref="E1191" si="1101">IF(MONTH(A1191)=MONTH(A1190),E1190,D1190)</f>
        <v>66302018.384809397</v>
      </c>
      <c r="F1191" s="67">
        <f t="shared" ref="F1191" si="1102">B1191-C1191-D1190</f>
        <v>2282.6036987006664</v>
      </c>
      <c r="G1191" s="70">
        <f t="shared" ref="G1191" si="1103">F1191/B1190</f>
        <v>3.4427363665653338E-5</v>
      </c>
      <c r="H1191" s="272">
        <f>J1191</f>
        <v>2282.6036987006664</v>
      </c>
      <c r="I1191" s="271">
        <f>K1191</f>
        <v>3.4427363665653338E-5</v>
      </c>
      <c r="J1191" s="67">
        <f t="shared" ref="J1191" si="1104">IF(MONTH(A1191)=MONTH(A1190),J1190+F1191,F1191)</f>
        <v>2282.6036987006664</v>
      </c>
      <c r="K1191" s="85">
        <f>G1191</f>
        <v>3.4427363665653338E-5</v>
      </c>
      <c r="L1191" s="70">
        <f t="shared" ref="L1191" si="1105">1+G1191</f>
        <v>1.0000344273636657</v>
      </c>
      <c r="M1191" s="70">
        <f>PRODUCT($L$2:L1191)-1</f>
        <v>0.69669161149702408</v>
      </c>
      <c r="N1191" s="70">
        <f>PRODUCT($L$1169:L1191)-1</f>
        <v>6.3665020357839941E-2</v>
      </c>
      <c r="O1191" s="70">
        <f>AVERAGE($G$1169:G1191)*252</f>
        <v>0.79710720643089084</v>
      </c>
      <c r="P1191" s="70">
        <f>STDEV($G$1169:G1191)*252^0.5</f>
        <v>0.49875659059705174</v>
      </c>
      <c r="Q1191" s="67">
        <f t="shared" ref="Q1191" si="1106">B1191-C1191-D1160</f>
        <v>-3357454.7617286965</v>
      </c>
      <c r="R1191" s="70">
        <f t="shared" ref="R1191" si="1107">Q1191/B1160</f>
        <v>-4.8196528002630537E-2</v>
      </c>
      <c r="S1191" s="67">
        <f t="shared" ref="S1191" si="1108">B1191-C1191-D1102</f>
        <v>838147.46800670028</v>
      </c>
      <c r="T1191" s="70">
        <f t="shared" ref="T1191" si="1109">S1191/B1100</f>
        <v>1.252107946520228E-2</v>
      </c>
      <c r="U1191" s="67">
        <f t="shared" ref="U1191" si="1110">B1191-C1191-D827</f>
        <v>29883401.668508098</v>
      </c>
      <c r="V1191" s="70">
        <f t="shared" ref="V1191" si="1111">U1191/B825</f>
        <v>0.8020380310497639</v>
      </c>
      <c r="W1191" s="87">
        <f t="shared" ref="W1191" si="1112">O1191/P1191</f>
        <v>1.598188818871926</v>
      </c>
      <c r="X1191" s="142">
        <f t="shared" si="656"/>
        <v>1.7857142857142857E-4</v>
      </c>
      <c r="Y1191" s="139">
        <f t="shared" ref="Y1191" si="1113">G1191-X1191</f>
        <v>-1.4414406490577522E-4</v>
      </c>
      <c r="Z1191" s="139">
        <f t="shared" ref="Z1191" si="1114">IF(Y1191&lt;0,Y1191,0)</f>
        <v>-1.4414406490577522E-4</v>
      </c>
      <c r="AA1191" s="139">
        <f t="shared" ref="AA1191" si="1115">Z1191^2</f>
        <v>2.077751144756034E-8</v>
      </c>
      <c r="AB1191" s="144">
        <f t="shared" ref="AB1191" si="1116">AVERAGE(Y940:Y1191)/AVERAGE(AA940:AA1191)</f>
        <v>4.0143577170790987</v>
      </c>
      <c r="AC1191" s="144">
        <f t="shared" ref="AC1191" si="1117">AVERAGE(G1162:G1191)-_xlfn.NORM.S.INV(0.95)*_xlfn.STDEV.S(G1162:G1191)</f>
        <v>-4.5802219713923849E-2</v>
      </c>
      <c r="AD1191" s="144">
        <f t="shared" ref="AD1191" si="1118">AVERAGE(G1102:G1191)-_xlfn.NORM.S.INV(0.95)*_xlfn.STDEV.S(G1102:G1191)</f>
        <v>-3.9541914750510269E-2</v>
      </c>
      <c r="AE1191" s="144">
        <f t="shared" ref="AE1191" si="1119">AVERAGE(G827:G1191)-_xlfn.NORM.S.INV(0.95)*_xlfn.STDEV.S(G827:G1191)</f>
        <v>-4.8740704614063053E-2</v>
      </c>
    </row>
    <row r="1192" spans="1:31">
      <c r="A1192" s="88"/>
      <c r="B1192" s="78"/>
      <c r="D1192" s="67"/>
      <c r="E1192" s="67"/>
      <c r="F1192" s="67"/>
      <c r="G1192" s="70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A1193" s="88"/>
      <c r="B1193" s="78"/>
      <c r="D1193" s="67"/>
      <c r="E1193" s="67"/>
      <c r="F1193" s="67"/>
      <c r="G1193" s="70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A1194" s="88"/>
      <c r="B1194" s="78"/>
      <c r="D1194" s="67"/>
      <c r="E1194" s="67"/>
      <c r="F1194" s="67"/>
      <c r="G1194" s="70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A1195" s="88"/>
      <c r="B1195" s="78"/>
      <c r="D1195" s="67"/>
      <c r="E1195" s="67"/>
      <c r="F1195" s="67"/>
      <c r="G1195" s="70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A1196" s="88"/>
      <c r="B1196" s="78"/>
      <c r="D1196" s="67"/>
      <c r="E1196" s="67"/>
      <c r="F1196" s="67"/>
      <c r="G1196" s="70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A1197" s="88"/>
      <c r="B1197" s="78"/>
      <c r="D1197" s="67"/>
      <c r="E1197" s="67"/>
      <c r="F1197" s="67"/>
      <c r="G1197" s="70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A1198" s="88"/>
      <c r="B1198" s="78"/>
      <c r="D1198" s="67"/>
      <c r="E1198" s="67"/>
      <c r="F1198" s="67"/>
      <c r="G1198" s="70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B1209" s="7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A1210" s="88"/>
      <c r="B1210" s="7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A1211" s="88"/>
      <c r="B1211" s="78"/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A1212" s="88"/>
      <c r="B1212" s="78"/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A1213" s="88"/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A1214" s="88"/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4:31"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4:31"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4:31"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4:31"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4:31"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4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4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4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4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4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4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4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4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4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4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4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4:31">
      <c r="D1233" s="67"/>
      <c r="E1233" s="67"/>
      <c r="F1233" s="67"/>
      <c r="G1233" s="70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4:31">
      <c r="D1234" s="67"/>
      <c r="E1234" s="67"/>
      <c r="F1234" s="67"/>
      <c r="G1234" s="70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4:31">
      <c r="D1235" s="67"/>
      <c r="E1235" s="67"/>
      <c r="F1235" s="67"/>
      <c r="G1235" s="70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4:31">
      <c r="D1236" s="67"/>
      <c r="E1236" s="67"/>
      <c r="F1236" s="67"/>
      <c r="G1236" s="70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B37" sqref="B37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282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 t="s">
        <v>88</v>
      </c>
      <c r="B3" s="153" t="s">
        <v>23</v>
      </c>
      <c r="C3" s="153" t="s">
        <v>38</v>
      </c>
      <c r="D3" s="153">
        <v>1000</v>
      </c>
      <c r="E3" s="153">
        <v>116.66</v>
      </c>
      <c r="F3" s="153">
        <v>116660</v>
      </c>
      <c r="G3" s="153">
        <v>1</v>
      </c>
      <c r="H3" s="153">
        <v>116660</v>
      </c>
      <c r="I3" s="218">
        <v>0.18</v>
      </c>
      <c r="J3"/>
      <c r="K3"/>
    </row>
    <row r="4" spans="1:11">
      <c r="A4" s="221" t="s">
        <v>347</v>
      </c>
      <c r="B4" s="153" t="s">
        <v>140</v>
      </c>
      <c r="C4" s="153" t="s">
        <v>38</v>
      </c>
      <c r="D4" s="153">
        <v>-10</v>
      </c>
      <c r="E4" s="153">
        <v>5.14</v>
      </c>
      <c r="F4" s="153">
        <v>-51.4</v>
      </c>
      <c r="G4" s="153">
        <v>1</v>
      </c>
      <c r="H4" s="153">
        <v>-51.4</v>
      </c>
      <c r="I4" s="218">
        <v>0</v>
      </c>
      <c r="J4"/>
      <c r="K4"/>
    </row>
    <row r="5" spans="1:11">
      <c r="A5" s="221" t="s">
        <v>349</v>
      </c>
      <c r="B5" s="153" t="s">
        <v>140</v>
      </c>
      <c r="C5" s="153" t="s">
        <v>38</v>
      </c>
      <c r="D5" s="153">
        <v>-5</v>
      </c>
      <c r="E5" s="153">
        <v>5.76</v>
      </c>
      <c r="F5" s="153">
        <v>-28.8</v>
      </c>
      <c r="G5" s="153">
        <v>1</v>
      </c>
      <c r="H5" s="153">
        <v>-28.8</v>
      </c>
      <c r="I5" s="218">
        <v>0</v>
      </c>
      <c r="J5"/>
      <c r="K5"/>
    </row>
    <row r="6" spans="1:11">
      <c r="A6" s="221" t="s">
        <v>344</v>
      </c>
      <c r="B6" s="153" t="s">
        <v>140</v>
      </c>
      <c r="C6" s="153" t="s">
        <v>38</v>
      </c>
      <c r="D6" s="153">
        <v>10</v>
      </c>
      <c r="E6" s="153">
        <v>28.54</v>
      </c>
      <c r="F6" s="153">
        <v>285.39999999999998</v>
      </c>
      <c r="G6" s="153">
        <v>1</v>
      </c>
      <c r="H6" s="153">
        <v>285.39999999999998</v>
      </c>
      <c r="I6" s="218">
        <v>0</v>
      </c>
      <c r="J6"/>
      <c r="K6"/>
    </row>
    <row r="7" spans="1:11">
      <c r="A7" s="221" t="s">
        <v>345</v>
      </c>
      <c r="B7" s="153" t="s">
        <v>140</v>
      </c>
      <c r="C7" s="153" t="s">
        <v>38</v>
      </c>
      <c r="D7" s="153">
        <v>0</v>
      </c>
      <c r="E7" s="153">
        <v>0</v>
      </c>
      <c r="F7" s="153">
        <v>0</v>
      </c>
      <c r="G7" s="153">
        <v>1</v>
      </c>
      <c r="H7" s="153">
        <v>0</v>
      </c>
      <c r="I7" s="218">
        <v>0</v>
      </c>
      <c r="J7"/>
      <c r="K7"/>
    </row>
    <row r="8" spans="1:11">
      <c r="A8" s="221" t="s">
        <v>346</v>
      </c>
      <c r="B8" s="153" t="s">
        <v>140</v>
      </c>
      <c r="C8" s="153" t="s">
        <v>38</v>
      </c>
      <c r="D8" s="153">
        <v>0</v>
      </c>
      <c r="E8" s="153">
        <v>0</v>
      </c>
      <c r="F8" s="153">
        <v>0</v>
      </c>
      <c r="G8" s="153">
        <v>1</v>
      </c>
      <c r="H8" s="153">
        <v>0</v>
      </c>
      <c r="I8" s="218">
        <v>0</v>
      </c>
      <c r="J8"/>
      <c r="K8"/>
    </row>
    <row r="9" spans="1:11">
      <c r="A9" s="221" t="s">
        <v>348</v>
      </c>
      <c r="B9" s="153" t="s">
        <v>140</v>
      </c>
      <c r="C9" s="153" t="s">
        <v>38</v>
      </c>
      <c r="D9" s="153">
        <v>0</v>
      </c>
      <c r="E9" s="153">
        <v>0</v>
      </c>
      <c r="F9" s="153">
        <v>0</v>
      </c>
      <c r="G9" s="153">
        <v>1</v>
      </c>
      <c r="H9" s="153">
        <v>0</v>
      </c>
      <c r="I9" s="218">
        <v>0</v>
      </c>
      <c r="J9"/>
      <c r="K9"/>
    </row>
    <row r="10" spans="1:11">
      <c r="A10" s="221" t="s">
        <v>350</v>
      </c>
      <c r="B10" s="153" t="s">
        <v>42</v>
      </c>
      <c r="C10" s="153" t="s">
        <v>38</v>
      </c>
      <c r="D10" s="153">
        <v>631800</v>
      </c>
      <c r="E10" s="153">
        <v>100.34</v>
      </c>
      <c r="F10" s="153">
        <v>63394812</v>
      </c>
      <c r="G10" s="153">
        <v>1</v>
      </c>
      <c r="H10" s="153">
        <v>63394812</v>
      </c>
      <c r="I10" s="218">
        <v>99.82</v>
      </c>
      <c r="J10"/>
      <c r="K10"/>
    </row>
    <row r="11" spans="1:11">
      <c r="A11" s="221"/>
      <c r="B11" s="153"/>
      <c r="C11" s="153"/>
      <c r="D11" s="153"/>
      <c r="E11" s="153"/>
      <c r="F11" s="153"/>
      <c r="G11" s="153"/>
      <c r="H11" s="153"/>
      <c r="I11" s="218"/>
      <c r="J11"/>
      <c r="K11"/>
    </row>
    <row r="12" spans="1:11">
      <c r="A12" s="221"/>
      <c r="B12" s="153"/>
      <c r="C12" s="153"/>
      <c r="D12" s="153"/>
      <c r="E12" s="153"/>
      <c r="F12" s="153"/>
      <c r="G12" s="153"/>
      <c r="H12" s="153"/>
      <c r="I12" s="218"/>
      <c r="J12"/>
      <c r="K12"/>
    </row>
    <row r="13" spans="1:11">
      <c r="A13" s="221"/>
      <c r="B13" s="153"/>
      <c r="C13" s="153"/>
      <c r="D13" s="153"/>
      <c r="E13" s="153"/>
      <c r="F13" s="153"/>
      <c r="G13" s="153"/>
      <c r="H13" s="153"/>
      <c r="I13" s="218"/>
      <c r="J13"/>
      <c r="K13"/>
    </row>
    <row r="14" spans="1:11">
      <c r="A14" s="221"/>
      <c r="B14" s="153"/>
      <c r="C14" s="153"/>
      <c r="D14" s="153"/>
      <c r="E14" s="153"/>
      <c r="F14" s="153"/>
      <c r="G14" s="153"/>
      <c r="H14" s="153"/>
      <c r="I14" s="218"/>
      <c r="J14"/>
      <c r="K14"/>
    </row>
    <row r="15" spans="1:11">
      <c r="A15" s="221"/>
      <c r="B15" s="153"/>
      <c r="C15" s="153"/>
      <c r="D15" s="153"/>
      <c r="E15" s="153"/>
      <c r="F15" s="153"/>
      <c r="G15" s="153"/>
      <c r="H15" s="153"/>
      <c r="I15" s="218"/>
      <c r="J15"/>
      <c r="K15"/>
    </row>
    <row r="16" spans="1:11">
      <c r="A16" s="221"/>
      <c r="B16" s="153"/>
      <c r="C16" s="153"/>
      <c r="D16" s="153"/>
      <c r="E16" s="153"/>
      <c r="F16" s="153"/>
      <c r="G16" s="153"/>
      <c r="H16" s="153"/>
      <c r="I16" s="218"/>
      <c r="J16"/>
      <c r="K16"/>
    </row>
    <row r="17" spans="1:11">
      <c r="A17" s="221"/>
      <c r="B17" s="153"/>
      <c r="C17" s="153"/>
      <c r="D17" s="153"/>
      <c r="E17" s="153"/>
      <c r="F17" s="153"/>
      <c r="G17" s="153"/>
      <c r="H17" s="153"/>
      <c r="I17" s="218"/>
      <c r="J17"/>
      <c r="K17"/>
    </row>
    <row r="18" spans="1:11">
      <c r="A18" s="221"/>
      <c r="B18" s="153"/>
      <c r="C18" s="153"/>
      <c r="D18" s="153"/>
      <c r="E18" s="153"/>
      <c r="F18" s="153"/>
      <c r="G18" s="153"/>
      <c r="H18" s="153"/>
      <c r="I18" s="218"/>
      <c r="J18"/>
      <c r="K18"/>
    </row>
    <row r="19" spans="1:11">
      <c r="A19" s="221"/>
      <c r="B19" s="153"/>
      <c r="C19" s="153"/>
      <c r="D19" s="153"/>
      <c r="E19" s="153"/>
      <c r="F19" s="153"/>
      <c r="G19" s="153"/>
      <c r="H19" s="153"/>
      <c r="I19" s="218"/>
      <c r="J19"/>
      <c r="K19"/>
    </row>
    <row r="20" spans="1:11">
      <c r="A20" s="221"/>
      <c r="B20" s="153"/>
      <c r="C20" s="153"/>
      <c r="D20" s="153"/>
      <c r="E20" s="153"/>
      <c r="F20" s="153"/>
      <c r="G20" s="153"/>
      <c r="H20" s="153"/>
      <c r="I20" s="218"/>
      <c r="J20"/>
      <c r="K20"/>
    </row>
    <row r="21" spans="1:11">
      <c r="A21" s="221"/>
      <c r="B21" s="153"/>
      <c r="C21" s="153"/>
      <c r="D21" s="153"/>
      <c r="E21" s="153"/>
      <c r="F21" s="153"/>
      <c r="G21" s="153"/>
      <c r="H21" s="153"/>
      <c r="I21" s="218"/>
      <c r="J21"/>
      <c r="K21"/>
    </row>
    <row r="22" spans="1:11">
      <c r="A22" s="221"/>
      <c r="B22" s="153"/>
      <c r="C22" s="153"/>
      <c r="D22" s="153"/>
      <c r="E22" s="153"/>
      <c r="F22" s="153"/>
      <c r="G22" s="153"/>
      <c r="H22" s="153"/>
      <c r="I22" s="218"/>
      <c r="J22"/>
      <c r="K22"/>
    </row>
    <row r="23" spans="1:11">
      <c r="A23" s="221"/>
      <c r="B23" s="153"/>
      <c r="C23" s="153"/>
      <c r="D23" s="153"/>
      <c r="E23" s="153"/>
      <c r="F23" s="153"/>
      <c r="G23" s="153"/>
      <c r="H23" s="153"/>
      <c r="I23" s="218"/>
      <c r="J23"/>
      <c r="K23"/>
    </row>
    <row r="24" spans="1:11">
      <c r="A24" s="221"/>
      <c r="B24" s="153"/>
      <c r="C24" s="153"/>
      <c r="D24" s="153"/>
      <c r="E24" s="153"/>
      <c r="F24" s="153"/>
      <c r="G24" s="153"/>
      <c r="H24" s="153"/>
      <c r="I24" s="218"/>
      <c r="J24"/>
      <c r="K24"/>
    </row>
    <row r="25" spans="1:11">
      <c r="A25" s="221"/>
      <c r="B25" s="153"/>
      <c r="C25" s="153"/>
      <c r="D25" s="153"/>
      <c r="E25" s="153"/>
      <c r="F25" s="153"/>
      <c r="G25" s="153"/>
      <c r="H25" s="153"/>
      <c r="I25" s="218"/>
      <c r="J25"/>
      <c r="K25"/>
    </row>
    <row r="26" spans="1:11">
      <c r="A26" s="221"/>
      <c r="B26" s="153"/>
      <c r="C26" s="153"/>
      <c r="D26" s="153"/>
      <c r="E26" s="153"/>
      <c r="F26" s="153"/>
      <c r="G26" s="153"/>
      <c r="H26" s="153"/>
      <c r="I26" s="218"/>
      <c r="J26"/>
      <c r="K26" s="153"/>
    </row>
    <row r="27" spans="1:11">
      <c r="A27" s="221"/>
      <c r="B27" s="153"/>
      <c r="C27" s="153"/>
      <c r="D27" s="153"/>
      <c r="E27" s="153"/>
      <c r="F27" s="153"/>
      <c r="G27" s="153"/>
      <c r="H27" s="153"/>
      <c r="I27" s="218"/>
      <c r="J27"/>
      <c r="K27"/>
    </row>
    <row r="28" spans="1:11">
      <c r="A28" s="221"/>
      <c r="B28" s="153"/>
      <c r="C28" s="153"/>
      <c r="D28" s="153"/>
      <c r="E28" s="153"/>
      <c r="F28" s="153"/>
      <c r="G28" s="153"/>
      <c r="H28" s="153"/>
      <c r="I28" s="218"/>
      <c r="J28"/>
      <c r="K28"/>
    </row>
    <row r="29" spans="1:11">
      <c r="A29" s="221"/>
      <c r="B29" s="153"/>
      <c r="C29" s="153"/>
      <c r="D29" s="153"/>
      <c r="E29" s="153"/>
      <c r="F29" s="153"/>
      <c r="G29" s="153"/>
      <c r="H29" s="153"/>
      <c r="I29" s="218"/>
      <c r="J29"/>
      <c r="K29"/>
    </row>
    <row r="30" spans="1:11">
      <c r="A30" s="221"/>
      <c r="B30" s="153"/>
      <c r="C30" s="153"/>
      <c r="D30" s="153"/>
      <c r="E30" s="153"/>
      <c r="F30" s="153"/>
      <c r="G30" s="153"/>
      <c r="H30" s="153"/>
      <c r="I30" s="218"/>
      <c r="J30"/>
      <c r="K30"/>
    </row>
    <row r="31" spans="1:11">
      <c r="A31" s="221"/>
      <c r="B31" s="153"/>
      <c r="C31" s="153"/>
      <c r="D31" s="153"/>
      <c r="E31" s="153"/>
      <c r="F31" s="153"/>
      <c r="G31" s="153"/>
      <c r="H31" s="153"/>
      <c r="I31" s="218"/>
      <c r="J31"/>
      <c r="K31"/>
    </row>
    <row r="32" spans="1:11">
      <c r="A32" s="221"/>
      <c r="B32" s="153"/>
      <c r="C32" s="153"/>
      <c r="D32" s="153"/>
      <c r="E32" s="153"/>
      <c r="F32" s="153"/>
      <c r="G32" s="153"/>
      <c r="H32" s="153"/>
      <c r="I32" s="218"/>
      <c r="J32"/>
      <c r="K32"/>
    </row>
    <row r="33" spans="1:11">
      <c r="A33" s="221"/>
      <c r="B33" s="153"/>
      <c r="C33" s="153"/>
      <c r="D33" s="153"/>
      <c r="E33" s="153"/>
      <c r="F33" s="153"/>
      <c r="G33" s="153"/>
      <c r="H33" s="153"/>
      <c r="I33" s="218"/>
      <c r="J33"/>
      <c r="K33"/>
    </row>
    <row r="34" spans="1:11">
      <c r="A34" s="221"/>
      <c r="B34" s="153"/>
      <c r="C34" s="153"/>
      <c r="D34" s="153"/>
      <c r="E34" s="153"/>
      <c r="F34" s="153"/>
      <c r="G34" s="153"/>
      <c r="H34" s="153"/>
      <c r="I34" s="218"/>
      <c r="J34"/>
      <c r="K34"/>
    </row>
    <row r="35" spans="1:11">
      <c r="A35" s="221"/>
      <c r="B35" s="153"/>
      <c r="C35" s="153"/>
      <c r="D35" s="153"/>
      <c r="E35" s="153"/>
      <c r="F35" s="153"/>
      <c r="G35" s="153"/>
      <c r="H35" s="153"/>
      <c r="I35" s="218"/>
      <c r="J35"/>
      <c r="K35"/>
    </row>
    <row r="36" spans="1:11">
      <c r="A36" s="221"/>
      <c r="B36" s="153"/>
      <c r="C36" s="153"/>
      <c r="D36" s="153"/>
      <c r="E36" s="153"/>
      <c r="F36" s="153"/>
      <c r="G36" s="153"/>
      <c r="H36" s="153"/>
      <c r="I36" s="218"/>
      <c r="J36"/>
      <c r="K36"/>
    </row>
    <row r="37" spans="1:11">
      <c r="A37" s="221"/>
      <c r="B37" s="153"/>
      <c r="C37" s="153"/>
      <c r="D37" s="153"/>
      <c r="E37" s="153"/>
      <c r="F37" s="153"/>
      <c r="G37" s="153"/>
      <c r="H37" s="153"/>
      <c r="I37" s="218"/>
      <c r="J37"/>
      <c r="K37"/>
    </row>
    <row r="38" spans="1:11">
      <c r="A38" s="221"/>
      <c r="B38" s="153"/>
      <c r="C38" s="153"/>
      <c r="D38" s="153"/>
      <c r="E38" s="153"/>
      <c r="F38" s="153"/>
      <c r="G38" s="153"/>
      <c r="H38" s="153"/>
      <c r="I38" s="218"/>
      <c r="J38"/>
      <c r="K38"/>
    </row>
    <row r="39" spans="1:11">
      <c r="A39" s="221"/>
      <c r="B39" s="153"/>
      <c r="C39" s="153"/>
      <c r="D39" s="153"/>
      <c r="E39" s="153"/>
      <c r="F39" s="153"/>
      <c r="G39" s="153"/>
      <c r="H39" s="308"/>
      <c r="I39" s="218"/>
      <c r="J39"/>
      <c r="K39"/>
    </row>
    <row r="40" spans="1:11">
      <c r="A40" s="221"/>
      <c r="B40" s="153"/>
      <c r="C40" s="153"/>
      <c r="D40" s="153"/>
      <c r="E40" s="153"/>
      <c r="F40" s="153"/>
      <c r="G40" s="153"/>
      <c r="H40" s="153"/>
      <c r="I40" s="218"/>
      <c r="J40"/>
      <c r="K40"/>
    </row>
    <row r="41" spans="1:11">
      <c r="A41" s="221"/>
      <c r="B41" s="153"/>
      <c r="C41" s="153"/>
      <c r="D41" s="153"/>
      <c r="E41" s="153"/>
      <c r="F41" s="153"/>
      <c r="G41" s="153"/>
      <c r="H41" s="153"/>
      <c r="I41" s="218"/>
      <c r="J41"/>
      <c r="K41"/>
    </row>
    <row r="42" spans="1:11">
      <c r="A42" s="221"/>
      <c r="B42" s="153"/>
      <c r="C42" s="153"/>
      <c r="D42" s="153"/>
      <c r="E42" s="153"/>
      <c r="F42" s="153"/>
      <c r="G42" s="153"/>
      <c r="H42" s="308"/>
      <c r="I42" s="218"/>
      <c r="J42"/>
      <c r="K42"/>
    </row>
    <row r="43" spans="1:11">
      <c r="A43" s="221"/>
      <c r="B43" s="153"/>
      <c r="C43" s="153"/>
      <c r="D43" s="153"/>
      <c r="E43" s="153"/>
      <c r="F43" s="153"/>
      <c r="G43" s="153"/>
      <c r="H43" s="153"/>
      <c r="I43" s="218"/>
      <c r="J43" s="153"/>
      <c r="K43"/>
    </row>
    <row r="44" spans="1:11">
      <c r="A44" s="221"/>
      <c r="B44" s="153"/>
      <c r="C44" s="153"/>
      <c r="D44" s="153"/>
      <c r="E44" s="153"/>
      <c r="F44" s="153"/>
      <c r="G44" s="153"/>
      <c r="H44" s="308"/>
      <c r="I44" s="218"/>
      <c r="J44"/>
      <c r="K44"/>
    </row>
    <row r="45" spans="1:11">
      <c r="A45" s="221"/>
      <c r="B45" s="153"/>
      <c r="C45" s="153"/>
      <c r="D45" s="153"/>
      <c r="E45" s="153"/>
      <c r="F45" s="153"/>
      <c r="G45" s="153"/>
      <c r="H45" s="153"/>
      <c r="I45" s="218"/>
      <c r="J45"/>
      <c r="K45"/>
    </row>
    <row r="46" spans="1:11">
      <c r="A46" s="221"/>
      <c r="B46" s="153"/>
      <c r="C46" s="153"/>
      <c r="D46" s="153"/>
      <c r="E46" s="153"/>
      <c r="F46" s="153"/>
      <c r="G46" s="153"/>
      <c r="H46" s="153"/>
      <c r="I46" s="218"/>
      <c r="J46"/>
      <c r="K46"/>
    </row>
    <row r="47" spans="1:11">
      <c r="A47" s="221"/>
      <c r="B47" s="153"/>
      <c r="C47" s="153"/>
      <c r="D47" s="153"/>
      <c r="E47" s="153"/>
      <c r="F47" s="153"/>
      <c r="G47" s="153"/>
      <c r="H47" s="153"/>
      <c r="I47" s="218"/>
      <c r="J47"/>
      <c r="K47"/>
    </row>
    <row r="48" spans="1:11">
      <c r="A48" s="221"/>
      <c r="B48" s="153"/>
      <c r="C48" s="153"/>
      <c r="D48" s="153"/>
      <c r="E48" s="153"/>
      <c r="F48" s="153"/>
      <c r="G48" s="153"/>
      <c r="H48" s="153"/>
      <c r="I48" s="218"/>
      <c r="J48"/>
      <c r="K48"/>
    </row>
    <row r="49" spans="1:11">
      <c r="A49" s="221"/>
      <c r="B49" s="153"/>
      <c r="C49" s="153"/>
      <c r="D49" s="153"/>
      <c r="E49" s="153"/>
      <c r="F49" s="153"/>
      <c r="G49" s="153"/>
      <c r="H49" s="308"/>
      <c r="I49" s="218"/>
      <c r="J49"/>
      <c r="K49"/>
    </row>
    <row r="50" spans="1:11">
      <c r="A50" s="221"/>
      <c r="B50" s="153"/>
      <c r="C50" s="153"/>
      <c r="D50" s="153"/>
      <c r="E50" s="153"/>
      <c r="F50" s="153"/>
      <c r="G50" s="153"/>
      <c r="H50" s="308"/>
      <c r="I50" s="218"/>
      <c r="J50"/>
      <c r="K50"/>
    </row>
    <row r="51" spans="1:11">
      <c r="A51" s="221"/>
      <c r="B51" s="153"/>
      <c r="C51" s="153"/>
      <c r="D51" s="153"/>
      <c r="E51" s="153"/>
      <c r="F51" s="153"/>
      <c r="G51" s="153"/>
      <c r="H51" s="153"/>
      <c r="I51" s="218"/>
      <c r="J51"/>
      <c r="K51"/>
    </row>
    <row r="52" spans="1:11">
      <c r="A52" s="221"/>
      <c r="B52" s="153"/>
      <c r="C52" s="153"/>
      <c r="D52" s="153"/>
      <c r="E52" s="153"/>
      <c r="F52" s="153"/>
      <c r="G52" s="153"/>
      <c r="H52" s="153"/>
      <c r="I52" s="218"/>
      <c r="J52"/>
      <c r="K52"/>
    </row>
    <row r="53" spans="1:11">
      <c r="A53" s="221"/>
      <c r="B53" s="153"/>
      <c r="C53" s="153"/>
      <c r="D53" s="153"/>
      <c r="E53" s="153"/>
      <c r="F53" s="153"/>
      <c r="G53" s="153"/>
      <c r="H53" s="153"/>
      <c r="I53" s="218"/>
      <c r="J53"/>
      <c r="K53"/>
    </row>
    <row r="54" spans="1:11">
      <c r="A54" s="221"/>
      <c r="B54" s="153"/>
      <c r="C54" s="153"/>
      <c r="D54" s="153"/>
      <c r="E54" s="153"/>
      <c r="F54" s="153"/>
      <c r="G54" s="153"/>
      <c r="H54" s="308"/>
      <c r="I54" s="218"/>
      <c r="J54"/>
      <c r="K54"/>
    </row>
    <row r="55" spans="1:11">
      <c r="A55" s="221"/>
      <c r="B55" s="153"/>
      <c r="C55" s="153"/>
      <c r="D55" s="153"/>
      <c r="E55" s="153"/>
      <c r="F55" s="153"/>
      <c r="G55" s="153"/>
      <c r="H55" s="308"/>
      <c r="I55" s="218"/>
      <c r="J55"/>
      <c r="K55"/>
    </row>
    <row r="56" spans="1:11">
      <c r="A56" s="221"/>
      <c r="B56" s="153"/>
      <c r="C56" s="153"/>
      <c r="D56" s="153"/>
      <c r="E56" s="153"/>
      <c r="F56" s="153"/>
      <c r="G56" s="153"/>
      <c r="H56" s="308"/>
      <c r="I56" s="218"/>
      <c r="J56"/>
      <c r="K56"/>
    </row>
    <row r="57" spans="1:11">
      <c r="A57" s="221"/>
      <c r="B57" s="153"/>
      <c r="C57" s="153"/>
      <c r="D57" s="153"/>
      <c r="E57" s="153"/>
      <c r="F57" s="153"/>
      <c r="G57" s="153"/>
      <c r="H57" s="153"/>
      <c r="I57" s="218"/>
      <c r="J57"/>
      <c r="K57"/>
    </row>
    <row r="58" spans="1:11">
      <c r="A58" s="221"/>
      <c r="B58" s="153"/>
      <c r="C58" s="153"/>
      <c r="D58" s="153"/>
      <c r="E58" s="153"/>
      <c r="F58" s="153"/>
      <c r="G58" s="153"/>
      <c r="H58" s="153"/>
      <c r="I58" s="218"/>
      <c r="J58"/>
      <c r="K58"/>
    </row>
    <row r="59" spans="1:11">
      <c r="A59" s="221"/>
      <c r="B59" s="153"/>
      <c r="C59" s="153"/>
      <c r="D59" s="153"/>
      <c r="E59" s="153"/>
      <c r="F59" s="153"/>
      <c r="G59" s="153"/>
      <c r="H59" s="153"/>
      <c r="I59" s="218"/>
      <c r="J59"/>
      <c r="K59"/>
    </row>
    <row r="60" spans="1:11">
      <c r="A60" s="221"/>
      <c r="B60" s="153"/>
      <c r="C60" s="153"/>
      <c r="D60" s="153"/>
      <c r="E60" s="153"/>
      <c r="F60" s="153"/>
      <c r="G60" s="153"/>
      <c r="H60" s="153"/>
      <c r="I60" s="218"/>
      <c r="J60"/>
      <c r="K60"/>
    </row>
    <row r="61" spans="1:11">
      <c r="A61" s="221"/>
      <c r="B61" s="153"/>
      <c r="C61" s="153"/>
      <c r="D61" s="153"/>
      <c r="E61" s="153"/>
      <c r="F61" s="153"/>
      <c r="G61" s="153"/>
      <c r="H61" s="308"/>
      <c r="I61" s="218"/>
      <c r="J61"/>
      <c r="K61"/>
    </row>
    <row r="62" spans="1:11">
      <c r="A62" s="221"/>
      <c r="B62" s="153"/>
      <c r="C62" s="153"/>
      <c r="D62" s="153"/>
      <c r="E62" s="153"/>
      <c r="F62" s="153"/>
      <c r="G62" s="153"/>
      <c r="H62" s="153"/>
      <c r="I62" s="218"/>
      <c r="J62"/>
      <c r="K62"/>
    </row>
    <row r="63" spans="1:11">
      <c r="A63" s="221"/>
      <c r="B63" s="153"/>
      <c r="C63" s="153"/>
      <c r="D63" s="153"/>
      <c r="E63" s="153"/>
      <c r="F63" s="153"/>
      <c r="G63" s="153"/>
      <c r="H63" s="153"/>
      <c r="I63" s="218"/>
      <c r="J63"/>
      <c r="K63"/>
    </row>
    <row r="64" spans="1:11">
      <c r="A64" s="221"/>
      <c r="B64" s="153"/>
      <c r="C64" s="153"/>
      <c r="D64" s="153"/>
      <c r="E64" s="153"/>
      <c r="F64" s="153"/>
      <c r="G64" s="153"/>
      <c r="H64" s="153"/>
      <c r="I64" s="218"/>
      <c r="J64"/>
      <c r="K64"/>
    </row>
    <row r="65" spans="1:11">
      <c r="A65" s="221"/>
      <c r="B65" s="153"/>
      <c r="C65" s="153"/>
      <c r="D65" s="153"/>
      <c r="E65" s="153"/>
      <c r="F65" s="153"/>
      <c r="G65" s="153"/>
      <c r="H65" s="153"/>
      <c r="I65" s="218"/>
      <c r="J65"/>
      <c r="K65"/>
    </row>
    <row r="66" spans="1:11">
      <c r="A66" s="221"/>
      <c r="B66" s="153"/>
      <c r="C66" s="153"/>
      <c r="D66" s="153"/>
      <c r="E66" s="153"/>
      <c r="F66" s="153"/>
      <c r="G66" s="153"/>
      <c r="H66" s="153"/>
      <c r="I66" s="218"/>
      <c r="J66"/>
      <c r="K66"/>
    </row>
    <row r="67" spans="1:11">
      <c r="A67" s="221"/>
      <c r="B67" s="153"/>
      <c r="C67" s="153"/>
      <c r="D67" s="153"/>
      <c r="E67" s="153"/>
      <c r="F67" s="153"/>
      <c r="G67" s="153"/>
      <c r="H67" s="153"/>
      <c r="I67" s="218"/>
      <c r="J67"/>
      <c r="K67"/>
    </row>
    <row r="68" spans="1:11">
      <c r="A68" s="221"/>
      <c r="B68" s="153"/>
      <c r="C68" s="153"/>
      <c r="D68" s="153"/>
      <c r="E68" s="153"/>
      <c r="F68" s="153"/>
      <c r="G68" s="153"/>
      <c r="H68" s="308"/>
      <c r="I68" s="218"/>
      <c r="J68"/>
      <c r="K68"/>
    </row>
    <row r="69" spans="1:11">
      <c r="A69" s="221"/>
      <c r="B69" s="153"/>
      <c r="C69" s="153"/>
      <c r="D69" s="153"/>
      <c r="E69" s="153"/>
      <c r="F69" s="153"/>
      <c r="G69" s="153"/>
      <c r="H69" s="308"/>
      <c r="I69" s="218"/>
      <c r="J69"/>
      <c r="K69"/>
    </row>
    <row r="70" spans="1:11">
      <c r="A70" s="221"/>
      <c r="B70" s="153"/>
      <c r="C70" s="153"/>
      <c r="D70" s="153"/>
      <c r="E70" s="153"/>
      <c r="F70" s="153"/>
      <c r="G70" s="153"/>
      <c r="H70" s="153"/>
      <c r="I70" s="218"/>
      <c r="J70"/>
      <c r="K70"/>
    </row>
    <row r="71" spans="1:11">
      <c r="A71" s="221"/>
      <c r="B71" s="153"/>
      <c r="C71" s="153"/>
      <c r="D71" s="153"/>
      <c r="E71" s="153"/>
      <c r="F71" s="153"/>
      <c r="G71" s="153"/>
      <c r="H71" s="153"/>
      <c r="I71" s="218"/>
      <c r="J71"/>
      <c r="K71"/>
    </row>
    <row r="72" spans="1:11">
      <c r="A72" s="221"/>
      <c r="B72" s="153"/>
      <c r="C72" s="153"/>
      <c r="D72" s="153"/>
      <c r="E72" s="153"/>
      <c r="F72" s="153"/>
      <c r="G72" s="153"/>
      <c r="H72" s="153"/>
      <c r="I72" s="218"/>
      <c r="J72"/>
      <c r="K72"/>
    </row>
    <row r="73" spans="1:11">
      <c r="A73" s="221"/>
      <c r="B73" s="153"/>
      <c r="C73" s="153"/>
      <c r="D73" s="153"/>
      <c r="E73" s="153"/>
      <c r="F73" s="153"/>
      <c r="G73" s="153"/>
      <c r="H73" s="153"/>
      <c r="I73" s="218"/>
      <c r="J73"/>
      <c r="K73"/>
    </row>
    <row r="74" spans="1:11">
      <c r="A74" s="221"/>
      <c r="B74" s="153"/>
      <c r="C74" s="153"/>
      <c r="D74" s="153"/>
      <c r="E74" s="153"/>
      <c r="F74" s="153"/>
      <c r="G74" s="153"/>
      <c r="H74" s="153"/>
      <c r="I74" s="218"/>
      <c r="J74"/>
      <c r="K74"/>
    </row>
    <row r="75" spans="1:11">
      <c r="A75" s="221"/>
      <c r="B75" s="153"/>
      <c r="C75" s="153"/>
      <c r="D75" s="153"/>
      <c r="E75" s="153"/>
      <c r="F75" s="153"/>
      <c r="G75" s="153"/>
      <c r="H75" s="153"/>
      <c r="I75" s="218"/>
      <c r="J75"/>
      <c r="K75"/>
    </row>
    <row r="76" spans="1:11">
      <c r="A76" s="221"/>
      <c r="B76" s="153"/>
      <c r="C76" s="153"/>
      <c r="D76" s="153"/>
      <c r="E76" s="153"/>
      <c r="F76" s="153"/>
      <c r="G76" s="153"/>
      <c r="H76" s="153"/>
      <c r="I76" s="218"/>
      <c r="J76"/>
      <c r="K76"/>
    </row>
    <row r="77" spans="1:11">
      <c r="A77" s="221"/>
      <c r="B77" s="153"/>
      <c r="C77" s="153"/>
      <c r="D77" s="153"/>
      <c r="E77" s="153"/>
      <c r="F77" s="153"/>
      <c r="G77" s="153"/>
      <c r="H77" s="153"/>
      <c r="I77" s="218"/>
      <c r="J77"/>
      <c r="K77"/>
    </row>
    <row r="78" spans="1:11">
      <c r="A78" s="221"/>
      <c r="B78" s="153"/>
      <c r="C78" s="153"/>
      <c r="D78" s="153"/>
      <c r="E78" s="153"/>
      <c r="F78" s="153"/>
      <c r="G78" s="153"/>
      <c r="H78" s="153"/>
      <c r="I78" s="218"/>
      <c r="J78"/>
      <c r="K78"/>
    </row>
    <row r="79" spans="1:11">
      <c r="A79" s="221"/>
      <c r="B79" s="153"/>
      <c r="C79" s="153"/>
      <c r="D79" s="153"/>
      <c r="E79" s="153"/>
      <c r="F79" s="153"/>
      <c r="G79" s="153"/>
      <c r="H79" s="153"/>
      <c r="I79" s="218"/>
      <c r="J79"/>
      <c r="K79"/>
    </row>
    <row r="80" spans="1:11">
      <c r="A80" s="221"/>
      <c r="B80" s="153"/>
      <c r="C80" s="153"/>
      <c r="D80" s="153"/>
      <c r="E80" s="153"/>
      <c r="F80" s="153"/>
      <c r="G80" s="153"/>
      <c r="H80" s="153"/>
      <c r="I80" s="218"/>
      <c r="J80"/>
      <c r="K80"/>
    </row>
    <row r="81" spans="1:11">
      <c r="A81" s="221"/>
      <c r="B81" s="153"/>
      <c r="C81" s="153"/>
      <c r="D81" s="153"/>
      <c r="E81" s="153"/>
      <c r="F81" s="153"/>
      <c r="G81" s="153"/>
      <c r="H81" s="153"/>
      <c r="I81" s="218"/>
      <c r="J81"/>
      <c r="K81"/>
    </row>
    <row r="82" spans="1:11">
      <c r="A82" s="221"/>
      <c r="B82" s="153"/>
      <c r="C82" s="153"/>
      <c r="D82" s="153"/>
      <c r="E82" s="153"/>
      <c r="F82" s="153"/>
      <c r="G82" s="153"/>
      <c r="H82" s="153"/>
      <c r="I82" s="218"/>
      <c r="J82"/>
      <c r="K82"/>
    </row>
    <row r="83" spans="1:11">
      <c r="A83" s="221"/>
      <c r="B83" s="153"/>
      <c r="C83" s="153"/>
      <c r="D83" s="153"/>
      <c r="E83" s="153"/>
      <c r="F83" s="153"/>
      <c r="G83" s="153"/>
      <c r="H83" s="153"/>
      <c r="I83" s="218"/>
      <c r="J83"/>
      <c r="K83"/>
    </row>
    <row r="84" spans="1:11">
      <c r="A84" s="221"/>
      <c r="B84" s="153"/>
      <c r="C84" s="153"/>
      <c r="D84" s="153"/>
      <c r="E84" s="153"/>
      <c r="F84" s="153"/>
      <c r="G84" s="153"/>
      <c r="H84" s="153"/>
      <c r="I84" s="218"/>
      <c r="J84"/>
      <c r="K84"/>
    </row>
    <row r="85" spans="1:11">
      <c r="A85" s="221"/>
      <c r="B85" s="153"/>
      <c r="C85" s="153"/>
      <c r="D85" s="153"/>
      <c r="E85" s="153"/>
      <c r="F85" s="153"/>
      <c r="G85" s="153"/>
      <c r="H85" s="153"/>
      <c r="I85" s="218"/>
      <c r="J85"/>
      <c r="K85"/>
    </row>
    <row r="86" spans="1:11">
      <c r="A86" s="221"/>
      <c r="B86" s="153"/>
      <c r="C86" s="153"/>
      <c r="D86" s="153"/>
      <c r="E86" s="153"/>
      <c r="F86" s="153"/>
      <c r="G86" s="153"/>
      <c r="H86" s="153"/>
      <c r="I86" s="218"/>
      <c r="J86"/>
      <c r="K86"/>
    </row>
    <row r="87" spans="1:11">
      <c r="A87" s="221"/>
      <c r="B87" s="153"/>
      <c r="C87" s="153"/>
      <c r="D87" s="153"/>
      <c r="E87" s="153"/>
      <c r="F87" s="153"/>
      <c r="G87" s="153"/>
      <c r="H87" s="153"/>
      <c r="I87" s="218"/>
      <c r="J87"/>
      <c r="K87"/>
    </row>
    <row r="88" spans="1:11">
      <c r="A88" s="221"/>
      <c r="B88" s="153"/>
      <c r="C88" s="153"/>
      <c r="D88" s="153"/>
      <c r="E88" s="153"/>
      <c r="F88" s="153"/>
      <c r="G88" s="153"/>
      <c r="H88" s="153"/>
      <c r="I88" s="218"/>
      <c r="J88"/>
      <c r="K88"/>
    </row>
    <row r="89" spans="1:11">
      <c r="A89" s="221"/>
      <c r="B89" s="153"/>
      <c r="C89" s="153"/>
      <c r="D89" s="153"/>
      <c r="E89" s="153"/>
      <c r="F89" s="153"/>
      <c r="G89" s="153"/>
      <c r="H89" s="153"/>
      <c r="I89" s="218"/>
      <c r="J89"/>
      <c r="K89"/>
    </row>
    <row r="90" spans="1:11">
      <c r="A90" s="221"/>
      <c r="B90" s="153"/>
      <c r="C90" s="153"/>
      <c r="D90" s="153"/>
      <c r="E90" s="153"/>
      <c r="F90" s="153"/>
      <c r="G90" s="153"/>
      <c r="H90" s="153"/>
      <c r="I90" s="218"/>
      <c r="J90"/>
      <c r="K90"/>
    </row>
    <row r="91" spans="1:11">
      <c r="A91" s="221"/>
      <c r="B91" s="153"/>
      <c r="C91" s="153"/>
      <c r="D91" s="153"/>
      <c r="E91" s="153"/>
      <c r="F91" s="153"/>
      <c r="G91" s="153"/>
      <c r="H91" s="153"/>
      <c r="I91" s="218"/>
      <c r="J91"/>
      <c r="K91"/>
    </row>
    <row r="92" spans="1:11">
      <c r="A92" s="221"/>
      <c r="B92" s="153"/>
      <c r="C92" s="153"/>
      <c r="D92" s="153"/>
      <c r="E92" s="153"/>
      <c r="F92" s="153"/>
      <c r="G92" s="153"/>
      <c r="H92" s="153"/>
      <c r="I92" s="218"/>
      <c r="J92"/>
      <c r="K92"/>
    </row>
    <row r="93" spans="1:11">
      <c r="A93" s="221"/>
      <c r="B93" s="153"/>
      <c r="C93" s="153"/>
      <c r="D93" s="153"/>
      <c r="E93" s="153"/>
      <c r="F93" s="153"/>
      <c r="G93" s="153"/>
      <c r="H93" s="153"/>
      <c r="I93" s="218"/>
      <c r="J93"/>
      <c r="K93"/>
    </row>
    <row r="94" spans="1:11">
      <c r="A94" s="221"/>
      <c r="B94" s="153"/>
      <c r="C94" s="153"/>
      <c r="D94" s="153"/>
      <c r="E94" s="153"/>
      <c r="F94" s="153"/>
      <c r="G94" s="153"/>
      <c r="H94" s="153"/>
      <c r="I94" s="218"/>
      <c r="J94"/>
      <c r="K94"/>
    </row>
    <row r="95" spans="1:11">
      <c r="A95" s="221"/>
      <c r="B95" s="153"/>
      <c r="C95" s="153"/>
      <c r="D95" s="153"/>
      <c r="E95" s="153"/>
      <c r="F95" s="153"/>
      <c r="G95" s="153"/>
      <c r="H95" s="153"/>
      <c r="I95" s="218"/>
      <c r="J95"/>
      <c r="K95"/>
    </row>
    <row r="96" spans="1:11">
      <c r="A96" s="221"/>
      <c r="B96" s="153"/>
      <c r="C96" s="153"/>
      <c r="D96" s="153"/>
      <c r="E96" s="153"/>
      <c r="F96" s="153"/>
      <c r="G96" s="153"/>
      <c r="H96" s="153"/>
      <c r="I96" s="218"/>
      <c r="J96"/>
      <c r="K96"/>
    </row>
    <row r="97" spans="1:11">
      <c r="A97" s="221"/>
      <c r="B97" s="153"/>
      <c r="C97" s="153"/>
      <c r="D97" s="153"/>
      <c r="E97" s="153"/>
      <c r="F97" s="153"/>
      <c r="G97" s="153"/>
      <c r="H97" s="153"/>
      <c r="I97" s="218"/>
      <c r="J97"/>
      <c r="K97"/>
    </row>
    <row r="98" spans="1:11">
      <c r="A98" s="221"/>
      <c r="B98" s="153"/>
      <c r="C98" s="153"/>
      <c r="D98" s="153"/>
      <c r="E98" s="153"/>
      <c r="F98" s="153"/>
      <c r="G98" s="153"/>
      <c r="H98" s="308"/>
      <c r="I98" s="218"/>
      <c r="J98"/>
      <c r="K98"/>
    </row>
    <row r="99" spans="1:11">
      <c r="A99" s="221"/>
      <c r="B99" s="153"/>
      <c r="C99" s="153"/>
      <c r="D99" s="153"/>
      <c r="E99" s="153"/>
      <c r="F99" s="153"/>
      <c r="G99" s="153"/>
      <c r="H99" s="153"/>
      <c r="I99" s="218"/>
      <c r="J99"/>
      <c r="K99"/>
    </row>
    <row r="100" spans="1:11">
      <c r="A100" s="221"/>
      <c r="B100" s="153"/>
      <c r="C100" s="153"/>
      <c r="D100" s="153"/>
      <c r="E100" s="153"/>
      <c r="F100" s="153"/>
      <c r="G100" s="153"/>
      <c r="H100" s="153"/>
      <c r="I100" s="218"/>
      <c r="J100"/>
      <c r="K100"/>
    </row>
    <row r="101" spans="1:11">
      <c r="A101" s="221"/>
      <c r="B101" s="153"/>
      <c r="C101" s="153"/>
      <c r="D101" s="153"/>
      <c r="E101" s="153"/>
      <c r="F101" s="153"/>
      <c r="G101" s="153"/>
      <c r="H101" s="308"/>
      <c r="I101" s="218"/>
      <c r="J101"/>
      <c r="K101"/>
    </row>
    <row r="102" spans="1:11">
      <c r="A102" s="221"/>
      <c r="B102" s="153"/>
      <c r="C102" s="153"/>
      <c r="D102" s="153"/>
      <c r="E102" s="153"/>
      <c r="F102" s="153"/>
      <c r="G102" s="153"/>
      <c r="H102" s="308"/>
      <c r="I102" s="218"/>
      <c r="J102"/>
      <c r="K102"/>
    </row>
    <row r="103" spans="1:11">
      <c r="A103" s="221"/>
      <c r="B103" s="153"/>
      <c r="C103" s="153"/>
      <c r="D103" s="153"/>
      <c r="E103" s="153"/>
      <c r="F103" s="153"/>
      <c r="G103" s="153"/>
      <c r="H103" s="153"/>
      <c r="I103" s="218"/>
      <c r="J103"/>
      <c r="K103"/>
    </row>
    <row r="104" spans="1:11">
      <c r="A104" s="221"/>
      <c r="B104" s="153"/>
      <c r="C104" s="153"/>
      <c r="D104" s="153"/>
      <c r="E104" s="153"/>
      <c r="F104" s="153"/>
      <c r="G104" s="153"/>
      <c r="H104" s="153"/>
      <c r="I104" s="218"/>
      <c r="J104"/>
      <c r="K104"/>
    </row>
    <row r="105" spans="1:11">
      <c r="A105" s="221"/>
      <c r="B105" s="153"/>
      <c r="C105" s="153"/>
      <c r="D105" s="153"/>
      <c r="E105" s="153"/>
      <c r="F105" s="153"/>
      <c r="G105" s="153"/>
      <c r="H105" s="153"/>
      <c r="I105" s="218"/>
      <c r="J105"/>
      <c r="K105"/>
    </row>
    <row r="106" spans="1:11">
      <c r="A106" s="221"/>
      <c r="B106" s="153"/>
      <c r="C106" s="153"/>
      <c r="D106" s="153"/>
      <c r="E106" s="153"/>
      <c r="F106" s="153"/>
      <c r="G106" s="153"/>
      <c r="H106" s="153"/>
      <c r="I106" s="218"/>
      <c r="J106"/>
      <c r="K106"/>
    </row>
    <row r="107" spans="1:11">
      <c r="A107" s="221"/>
      <c r="B107" s="153"/>
      <c r="C107" s="153"/>
      <c r="D107" s="153"/>
      <c r="E107" s="153"/>
      <c r="F107" s="153"/>
      <c r="G107" s="153"/>
      <c r="H107" s="153"/>
      <c r="I107" s="218"/>
      <c r="J107"/>
      <c r="K107"/>
    </row>
    <row r="108" spans="1:11">
      <c r="A108" s="221"/>
      <c r="B108" s="153"/>
      <c r="C108" s="153"/>
      <c r="D108" s="153"/>
      <c r="E108" s="153"/>
      <c r="F108" s="153"/>
      <c r="G108" s="153"/>
      <c r="H108" s="153"/>
      <c r="I108" s="218"/>
      <c r="J108"/>
      <c r="K108"/>
    </row>
    <row r="109" spans="1:11">
      <c r="A109" s="221"/>
      <c r="B109" s="153"/>
      <c r="C109" s="153"/>
      <c r="D109" s="153"/>
      <c r="E109" s="153"/>
      <c r="F109" s="153"/>
      <c r="G109" s="153"/>
      <c r="H109" s="308"/>
      <c r="I109" s="218"/>
      <c r="J109"/>
      <c r="K109"/>
    </row>
    <row r="110" spans="1:11">
      <c r="A110" s="221"/>
      <c r="B110" s="153"/>
      <c r="C110" s="153"/>
      <c r="D110" s="153"/>
      <c r="E110" s="153"/>
      <c r="F110" s="153"/>
      <c r="G110" s="153"/>
      <c r="H110" s="308"/>
      <c r="I110" s="218"/>
      <c r="J110"/>
      <c r="K110"/>
    </row>
    <row r="111" spans="1:11">
      <c r="A111" s="221"/>
      <c r="B111" s="153"/>
      <c r="C111" s="153"/>
      <c r="D111" s="153"/>
      <c r="E111" s="153"/>
      <c r="F111" s="153"/>
      <c r="G111" s="153"/>
      <c r="H111" s="153"/>
      <c r="I111" s="218"/>
      <c r="J111"/>
      <c r="K111"/>
    </row>
    <row r="112" spans="1:11">
      <c r="A112" s="221"/>
      <c r="B112" s="153"/>
      <c r="C112" s="153"/>
      <c r="D112" s="153"/>
      <c r="E112" s="153"/>
      <c r="F112" s="153"/>
      <c r="G112" s="153"/>
      <c r="H112" s="153"/>
      <c r="I112" s="218"/>
      <c r="J112"/>
      <c r="K112"/>
    </row>
    <row r="113" spans="1:11">
      <c r="A113" s="221"/>
      <c r="B113" s="153"/>
      <c r="C113" s="153"/>
      <c r="D113" s="153"/>
      <c r="E113" s="153"/>
      <c r="F113" s="153"/>
      <c r="G113" s="153"/>
      <c r="H113" s="153"/>
      <c r="I113" s="218"/>
      <c r="J113"/>
      <c r="K113"/>
    </row>
    <row r="114" spans="1:11">
      <c r="A114" s="221"/>
      <c r="B114" s="153"/>
      <c r="C114" s="153"/>
      <c r="D114" s="153"/>
      <c r="E114" s="153"/>
      <c r="F114" s="153"/>
      <c r="G114" s="153"/>
      <c r="H114" s="153"/>
      <c r="I114" s="218"/>
      <c r="J114"/>
      <c r="K114"/>
    </row>
    <row r="115" spans="1:11">
      <c r="A115" s="221"/>
      <c r="B115" s="153"/>
      <c r="C115" s="153"/>
      <c r="D115" s="153"/>
      <c r="E115" s="153"/>
      <c r="F115" s="153"/>
      <c r="G115" s="153"/>
      <c r="H115" s="153"/>
      <c r="I115" s="218"/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19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95" sqref="E195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  <row r="195" spans="1:12">
      <c r="A195" s="170">
        <f>'Historical NAV'!A1187</f>
        <v>45685</v>
      </c>
      <c r="B195" s="159">
        <v>0</v>
      </c>
      <c r="C195" s="159">
        <v>0</v>
      </c>
      <c r="D195" s="159">
        <v>0</v>
      </c>
      <c r="E195" s="159">
        <v>0</v>
      </c>
      <c r="F195" s="159">
        <v>0</v>
      </c>
      <c r="G195" s="159">
        <v>0</v>
      </c>
      <c r="H195" s="159">
        <v>10161.86</v>
      </c>
      <c r="I195" s="159"/>
      <c r="J195" s="159"/>
      <c r="K195" s="159"/>
      <c r="L195" s="159">
        <f t="shared" ref="L195" si="38">SUM(B195:K195)</f>
        <v>10161.86</v>
      </c>
    </row>
    <row r="196" spans="1:12">
      <c r="A196" s="170">
        <f>'Historical NAV'!A1188</f>
        <v>45686</v>
      </c>
      <c r="B196" s="159">
        <v>0.02</v>
      </c>
      <c r="C196" s="159">
        <v>0</v>
      </c>
      <c r="D196" s="159">
        <v>-1444.28</v>
      </c>
      <c r="E196" s="159">
        <v>1180.26</v>
      </c>
      <c r="F196" s="159">
        <v>0</v>
      </c>
      <c r="G196" s="159">
        <v>0</v>
      </c>
      <c r="H196" s="159">
        <v>-8486.49</v>
      </c>
      <c r="I196" s="159"/>
      <c r="J196" s="159"/>
      <c r="K196" s="159"/>
      <c r="L196" s="159">
        <f t="shared" ref="L196" si="39">SUM(B196:K196)</f>
        <v>-8750.49</v>
      </c>
    </row>
    <row r="197" spans="1:12">
      <c r="A197" s="170">
        <f>'Historical NAV'!A1189</f>
        <v>45687</v>
      </c>
      <c r="B197" s="159">
        <v>0</v>
      </c>
      <c r="C197" s="159">
        <v>0</v>
      </c>
      <c r="D197" s="159">
        <v>950</v>
      </c>
      <c r="E197" s="159">
        <v>0</v>
      </c>
      <c r="F197" s="159">
        <v>0</v>
      </c>
      <c r="G197" s="159">
        <v>0</v>
      </c>
      <c r="H197" s="159">
        <v>8138.8</v>
      </c>
      <c r="I197" s="159"/>
      <c r="J197" s="159"/>
      <c r="K197" s="159"/>
      <c r="L197" s="159">
        <f t="shared" ref="L197" si="40">SUM(B197:K197)</f>
        <v>9088.7999999999993</v>
      </c>
    </row>
    <row r="198" spans="1:12">
      <c r="A198" s="170">
        <f>'Historical NAV'!A1190</f>
        <v>45688</v>
      </c>
      <c r="B198" s="159">
        <v>0</v>
      </c>
      <c r="C198" s="159">
        <v>0</v>
      </c>
      <c r="D198" s="159">
        <v>-1955</v>
      </c>
      <c r="E198" s="159">
        <v>7854</v>
      </c>
      <c r="F198" s="159">
        <v>0</v>
      </c>
      <c r="G198" s="159">
        <v>0</v>
      </c>
      <c r="H198" s="159">
        <v>-2633.1</v>
      </c>
      <c r="I198" s="159"/>
      <c r="J198" s="159"/>
      <c r="K198" s="159"/>
      <c r="L198" s="159">
        <f t="shared" ref="L198" si="41">SUM(B198:K198)</f>
        <v>3265.9</v>
      </c>
    </row>
    <row r="199" spans="1:12">
      <c r="A199" s="170">
        <f>'Historical NAV'!A1191</f>
        <v>45691</v>
      </c>
      <c r="B199" s="159">
        <v>0</v>
      </c>
      <c r="C199" s="159">
        <v>0</v>
      </c>
      <c r="D199" s="159">
        <v>-3410</v>
      </c>
      <c r="E199" s="159">
        <v>-3266.1</v>
      </c>
      <c r="F199" s="159">
        <v>0</v>
      </c>
      <c r="G199" s="159">
        <v>0</v>
      </c>
      <c r="H199" s="159">
        <v>-4527.5999999999995</v>
      </c>
      <c r="I199" s="159"/>
      <c r="J199" s="159"/>
      <c r="K199" s="159"/>
      <c r="L199" s="159">
        <f t="shared" ref="L199" si="42">SUM(B199:K199)</f>
        <v>-11203.7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zoomScale="85" zoomScaleNormal="85" workbookViewId="0">
      <selection activeCell="C32" sqref="C32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335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298</v>
      </c>
      <c r="O2" s="273"/>
      <c r="P2" s="273"/>
      <c r="Q2" s="273"/>
      <c r="S2" s="273" t="s">
        <v>289</v>
      </c>
      <c r="T2" s="279"/>
      <c r="U2" s="273"/>
    </row>
    <row r="3" spans="2:22">
      <c r="B3" s="109" t="s">
        <v>333</v>
      </c>
      <c r="C3" s="109" t="s">
        <v>334</v>
      </c>
      <c r="D3" s="109" t="s">
        <v>303</v>
      </c>
      <c r="E3" s="109" t="s">
        <v>304</v>
      </c>
      <c r="F3" s="109" t="s">
        <v>305</v>
      </c>
      <c r="G3" s="109" t="s">
        <v>306</v>
      </c>
      <c r="H3" s="109" t="s">
        <v>307</v>
      </c>
      <c r="I3" s="109" t="s">
        <v>308</v>
      </c>
      <c r="J3" s="109" t="s">
        <v>66</v>
      </c>
      <c r="K3" s="109" t="s">
        <v>66</v>
      </c>
      <c r="L3" s="109" t="s">
        <v>283</v>
      </c>
      <c r="M3" s="292"/>
      <c r="N3" s="109"/>
      <c r="O3" s="109" t="s">
        <v>341</v>
      </c>
      <c r="P3" s="109" t="s">
        <v>299</v>
      </c>
      <c r="Q3" s="109" t="s">
        <v>20</v>
      </c>
      <c r="S3" t="s">
        <v>290</v>
      </c>
      <c r="T3" s="280">
        <f>ROUND(VLOOKUP("Starting Value", 'Email input'!C:D, 2, FALSE),2)</f>
        <v>66302018.380000003</v>
      </c>
    </row>
    <row r="4" spans="2:22">
      <c r="B4" t="s">
        <v>341</v>
      </c>
      <c r="C4" t="s">
        <v>340</v>
      </c>
      <c r="D4" s="8">
        <f ca="1">IF(D18=0, "", D18)</f>
        <v>3.4427363665653338E-5</v>
      </c>
      <c r="E4" s="8" t="str">
        <f t="shared" ref="E4:L5" si="0">IF(E18=0, "", E18)</f>
        <v/>
      </c>
      <c r="F4" s="8" t="str">
        <f t="shared" si="0"/>
        <v/>
      </c>
      <c r="G4" s="8" t="str">
        <f t="shared" si="0"/>
        <v/>
      </c>
      <c r="H4" s="8" t="str">
        <f t="shared" si="0"/>
        <v/>
      </c>
      <c r="I4" s="8">
        <f t="shared" ca="1" si="0"/>
        <v>3.4427363665653338E-5</v>
      </c>
      <c r="J4" s="8">
        <f t="shared" ca="1" si="0"/>
        <v>3.4427363665653338E-5</v>
      </c>
      <c r="K4" s="8">
        <f ca="1">J4</f>
        <v>3.4427363665653338E-5</v>
      </c>
      <c r="L4" s="8">
        <f t="shared" ca="1" si="0"/>
        <v>6.3665020357839941E-2</v>
      </c>
      <c r="N4" t="s">
        <v>290</v>
      </c>
      <c r="O4" s="280">
        <f>T3</f>
        <v>66302018.380000003</v>
      </c>
      <c r="P4" s="293">
        <f>P16</f>
        <v>2151287.66</v>
      </c>
      <c r="Q4" s="280">
        <f>SUM(O4:P4)</f>
        <v>68453306.040000007</v>
      </c>
      <c r="S4" t="s">
        <v>288</v>
      </c>
      <c r="T4" s="286" t="e">
        <f>ROUND(VLOOKUP("Deposits &amp; Withdrawals", 'Email input'!C:D, 2, FALSE),2)</f>
        <v>#N/A</v>
      </c>
    </row>
    <row r="5" spans="2:22">
      <c r="B5" t="s">
        <v>299</v>
      </c>
      <c r="C5" t="s">
        <v>332</v>
      </c>
      <c r="D5" s="8">
        <f>D19</f>
        <v>0</v>
      </c>
      <c r="E5" s="8" t="str">
        <f t="shared" si="0"/>
        <v/>
      </c>
      <c r="F5" s="8" t="str">
        <f t="shared" si="0"/>
        <v/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0</v>
      </c>
      <c r="K5" s="8">
        <f>J5</f>
        <v>0</v>
      </c>
      <c r="L5" s="8">
        <f>L19+J5</f>
        <v>0</v>
      </c>
      <c r="N5" t="s">
        <v>288</v>
      </c>
      <c r="O5" s="280" t="e">
        <f>T4</f>
        <v>#N/A</v>
      </c>
      <c r="P5" s="274"/>
      <c r="Q5" s="280" t="e">
        <f>SUM(O5:P5)</f>
        <v>#N/A</v>
      </c>
      <c r="S5" t="s">
        <v>44</v>
      </c>
      <c r="T5" s="286" t="e">
        <f>($T$3+T4)*U5</f>
        <v>#N/A</v>
      </c>
      <c r="U5" s="8" t="e">
        <f>VLOOKUP("Commodities", 'Email input'!F:G, 2, FALSE)/100</f>
        <v>#N/A</v>
      </c>
    </row>
    <row r="6" spans="2:22">
      <c r="B6" t="s">
        <v>309</v>
      </c>
      <c r="C6" t="s">
        <v>331</v>
      </c>
      <c r="D6" s="8">
        <f t="array" ref="D6">IFERROR(_xll.BDP($B6,"INTERVAL_PERCENT_CHANGE", "END_DATE_OVERRIDE="&amp;TEXT(D$17,"yyyymmdd"), "START_DATE_OVERRIDE="&amp;TEXT(D$16,"yyyymmdd"))/100, "")</f>
        <v>-2.4070735514929924E-3</v>
      </c>
      <c r="E6" s="8" t="str">
        <f t="array" ref="E6">IFERROR(_xll.BDP($B6,"INTERVAL_PERCENT_CHANGE", "END_DATE_OVERRIDE="&amp;TEXT(E$17,"yyyymmdd"), "START_DATE_OVERRIDE="&amp;TEXT(E$16,"yyyymmdd"))/100, "")</f>
        <v/>
      </c>
      <c r="F6" s="8" t="str">
        <f t="array" ref="F6">IFERROR(_xll.BDP($B6,"INTERVAL_PERCENT_CHANGE", "END_DATE_OVERRIDE="&amp;TEXT(F$17,"yyyymmdd"), "START_DATE_OVERRIDE="&amp;TEXT(F$16,"yyyymmdd"))/100, "")</f>
        <v/>
      </c>
      <c r="G6" s="8" t="str">
        <f t="array" ref="G6">IFERROR(_xll.BDP($B6,"INTERVAL_PERCENT_CHANGE", "END_DATE_OVERRIDE="&amp;TEXT(G$17,"yyyymmdd"), "START_DATE_OVERRIDE="&amp;TEXT(G$16,"yyyymmdd"))/100, "")</f>
        <v/>
      </c>
      <c r="H6" s="8" t="str">
        <f t="array" ref="H6">IFERROR(_xll.BDP($B6,"INTERVAL_PERCENT_CHANGE", "END_DATE_OVERRIDE="&amp;TEXT(H$17,"yyyymmdd"), "START_DATE_OVERRIDE="&amp;TEXT(H$16,"yyyymmdd"))/100, "")</f>
        <v/>
      </c>
      <c r="I6" s="8">
        <f>_xll.BDP(B6,"CHG_PCT_1D")/100</f>
        <v>-9.4648370000000002E-3</v>
      </c>
      <c r="J6" s="8">
        <f>_xll.BDP($B6,"CURRENT_TRR_MTD")/100</f>
        <v>-2.1197149999999999E-3</v>
      </c>
      <c r="K6" s="8">
        <f>_xll.BDP(B6,"CHG_PCT_1M")/100</f>
        <v>3.4142579999999999E-2</v>
      </c>
      <c r="L6" s="8">
        <f t="array" ref="L6">_xll.BDP($B6,"CHG_PCT_YTD")/100</f>
        <v>2.4544280000000002E-2</v>
      </c>
      <c r="N6" t="s">
        <v>300</v>
      </c>
      <c r="O6" s="278" t="e">
        <f>SUM(O4:O5)/SUM(O4:P5)</f>
        <v>#N/A</v>
      </c>
      <c r="P6" s="278" t="e">
        <f>SUM(P4:P5)/SUM(O4:P5)</f>
        <v>#N/A</v>
      </c>
      <c r="Q6" s="278" t="e">
        <f>SUM(O6:P6)</f>
        <v>#N/A</v>
      </c>
      <c r="S6" t="s">
        <v>291</v>
      </c>
      <c r="T6" s="286" t="e">
        <f>($T$3+T$4)*U6</f>
        <v>#N/A</v>
      </c>
      <c r="U6" s="8">
        <f>VLOOKUP("new_equity", 'Email input'!F:G, 2, FALSE)/100</f>
        <v>2.8657347E-4</v>
      </c>
    </row>
    <row r="7" spans="2:22">
      <c r="B7" t="s">
        <v>310</v>
      </c>
      <c r="C7" t="s">
        <v>330</v>
      </c>
      <c r="D7" s="8">
        <f t="array" ref="D7">IFERROR(_xll.BDP($B7,"INTERVAL_PERCENT_CHANGE", "END_DATE_OVERRIDE="&amp;TEXT(D$17,"yyyymmdd"), "START_DATE_OVERRIDE="&amp;TEXT(D$16,"yyyymmdd"))/100, "")</f>
        <v>6.1737448232041729E-4</v>
      </c>
      <c r="E7" s="8" t="str">
        <f t="array" ref="E7">IFERROR(_xll.BDP($B7,"INTERVAL_PERCENT_CHANGE", "END_DATE_OVERRIDE="&amp;TEXT(E$17,"yyyymmdd"), "START_DATE_OVERRIDE="&amp;TEXT(E$16,"yyyymmdd"))/100, "")</f>
        <v/>
      </c>
      <c r="F7" s="8" t="str">
        <f t="array" ref="F7">IFERROR(_xll.BDP($B7,"INTERVAL_PERCENT_CHANGE", "END_DATE_OVERRIDE="&amp;TEXT(F$17,"yyyymmdd"), "START_DATE_OVERRIDE="&amp;TEXT(F$16,"yyyymmdd"))/100, "")</f>
        <v/>
      </c>
      <c r="G7" s="8" t="str">
        <f t="array" ref="G7">IFERROR(_xll.BDP($B7,"INTERVAL_PERCENT_CHANGE", "END_DATE_OVERRIDE="&amp;TEXT(G$17,"yyyymmdd"), "START_DATE_OVERRIDE="&amp;TEXT(G$16,"yyyymmdd"))/100, "")</f>
        <v/>
      </c>
      <c r="H7" s="8" t="str">
        <f t="array" ref="H7">IFERROR(_xll.BDP($B7,"INTERVAL_PERCENT_CHANGE", "END_DATE_OVERRIDE="&amp;TEXT(H$17,"yyyymmdd"), "START_DATE_OVERRIDE="&amp;TEXT(H$16,"yyyymmdd"))/100, "")</f>
        <v/>
      </c>
      <c r="I7" s="8">
        <f t="array" ref="I7">_xll.BDP(B7,"CHG_PCT_1D")/100</f>
        <v>-1.298564E-2</v>
      </c>
      <c r="J7" s="8">
        <f t="array" ref="J7">_xll.BDP($B7,"CURRENT_TRR_MTD")/100</f>
        <v>7.9759839999999998E-4</v>
      </c>
      <c r="K7" s="8">
        <f>_xll.BDP(B7,"CHG_PCT_1M")/100</f>
        <v>3.0877949999999998E-2</v>
      </c>
      <c r="L7" s="8">
        <f t="array" ref="L7">_xll.BDP($B7,"CHG_PCT_YTD")/100</f>
        <v>2.2803E-2</v>
      </c>
      <c r="N7" s="47" t="s">
        <v>95</v>
      </c>
      <c r="O7" s="295">
        <f ca="1">OFFSET('Historical NAV'!F1,COUNT('Historical NAV'!A:A),,,)</f>
        <v>2282.6036987006664</v>
      </c>
      <c r="P7" s="296" t="s">
        <v>58</v>
      </c>
      <c r="Q7" s="297">
        <f ca="1">SUM(O7:P7)</f>
        <v>2282.6036987006664</v>
      </c>
      <c r="S7" t="s">
        <v>292</v>
      </c>
      <c r="T7" s="286" t="e">
        <f>($T$3+T$4)*U7</f>
        <v>#N/A</v>
      </c>
      <c r="U7" s="8">
        <f>VLOOKUP("Fixed Income", 'Email input'!F:G, 2, FALSE)/100</f>
        <v>6.1726284000000005E-4</v>
      </c>
    </row>
    <row r="8" spans="2:22">
      <c r="B8" t="s">
        <v>311</v>
      </c>
      <c r="C8" s="8" t="s">
        <v>312</v>
      </c>
      <c r="D8" s="8">
        <f t="array" ref="D8">IFERROR(_xll.BDP($B8,"INTERVAL_PERCENT_CHANGE", "END_DATE_OVERRIDE="&amp;TEXT(D$17,"yyyymmdd"), "START_DATE_OVERRIDE="&amp;TEXT(D$16,"yyyymmdd"))/100, "")</f>
        <v>-9.8003951435908119E-4</v>
      </c>
      <c r="E8" s="8" t="str">
        <f t="array" ref="E8">IFERROR(_xll.BDP($B8,"INTERVAL_PERCENT_CHANGE", "END_DATE_OVERRIDE="&amp;TEXT(E$17,"yyyymmdd"), "START_DATE_OVERRIDE="&amp;TEXT(E$16,"yyyymmdd"))/100, "")</f>
        <v/>
      </c>
      <c r="F8" s="8" t="str">
        <f t="array" ref="F8">IFERROR(_xll.BDP($B8,"INTERVAL_PERCENT_CHANGE", "END_DATE_OVERRIDE="&amp;TEXT(F$17,"yyyymmdd"), "START_DATE_OVERRIDE="&amp;TEXT(F$16,"yyyymmdd"))/100, "")</f>
        <v/>
      </c>
      <c r="G8" s="8" t="str">
        <f t="array" ref="G8">IFERROR(_xll.BDP($B8,"INTERVAL_PERCENT_CHANGE", "END_DATE_OVERRIDE="&amp;TEXT(G$17,"yyyymmdd"), "START_DATE_OVERRIDE="&amp;TEXT(G$16,"yyyymmdd"))/100, "")</f>
        <v/>
      </c>
      <c r="H8" s="8" t="str">
        <f t="array" ref="H8">IFERROR(_xll.BDP($B8,"INTERVAL_PERCENT_CHANGE", "END_DATE_OVERRIDE="&amp;TEXT(H$17,"yyyymmdd"), "START_DATE_OVERRIDE="&amp;TEXT(H$16,"yyyymmdd"))/100, "")</f>
        <v/>
      </c>
      <c r="I8" s="8">
        <f t="array" ref="I8">_xll.BDP(B8,"CHG_PCT_1D")/100</f>
        <v>-8.0773159999999993E-3</v>
      </c>
      <c r="J8" s="8">
        <f t="array" ref="J8">_xll.BDP($B8,"CURRENT_TRR_MTD")/100</f>
        <v>-7.6069240000000002E-4</v>
      </c>
      <c r="K8" s="8">
        <f>_xll.BDP(B8,"CHG_PCT_1M")/100</f>
        <v>4.2031229999999996E-2</v>
      </c>
      <c r="L8" s="8">
        <f t="array" ref="L8">_xll.BDP($B8,"CHG_PCT_YTD")/100</f>
        <v>3.3706949999999999E-2</v>
      </c>
      <c r="N8" t="s">
        <v>301</v>
      </c>
      <c r="O8" s="69">
        <f ca="1">OFFSET('Historical NAV'!J1,COUNT('Historical NAV'!A:A),,,)</f>
        <v>2282.6036987006664</v>
      </c>
      <c r="P8" s="280">
        <f>SUM(P4:P5)*P9</f>
        <v>0</v>
      </c>
      <c r="Q8" s="280">
        <f ca="1">SUM(O8:P8)</f>
        <v>2282.6036987006664</v>
      </c>
      <c r="S8" s="47" t="s">
        <v>293</v>
      </c>
      <c r="T8" s="287" t="e">
        <f>($T$3+T$4)*U8</f>
        <v>#N/A</v>
      </c>
      <c r="U8" s="207">
        <f>VLOOKUP("Cash", 'Email input'!F:G, 2, FALSE)/100</f>
        <v>7.9982814999999998E-4</v>
      </c>
    </row>
    <row r="9" spans="2:22">
      <c r="B9" t="s">
        <v>313</v>
      </c>
      <c r="C9" s="8" t="s">
        <v>314</v>
      </c>
      <c r="D9" s="8">
        <f t="array" ref="D9">IFERROR(_xll.BDP($B9,"INTERVAL_PERCENT_CHANGE", "END_DATE_OVERRIDE="&amp;TEXT(D$17,"yyyymmdd"), "START_DATE_OVERRIDE="&amp;TEXT(D$16,"yyyymmdd"))/100, "")</f>
        <v>4.850419260877553E-3</v>
      </c>
      <c r="E9" s="8" t="str">
        <f t="array" ref="E9">IFERROR(_xll.BDP($B9,"INTERVAL_PERCENT_CHANGE", "END_DATE_OVERRIDE="&amp;TEXT(E$17,"yyyymmdd"), "START_DATE_OVERRIDE="&amp;TEXT(E$16,"yyyymmdd"))/100, "")</f>
        <v/>
      </c>
      <c r="F9" s="8" t="str">
        <f t="array" ref="F9">IFERROR(_xll.BDP($B9,"INTERVAL_PERCENT_CHANGE", "END_DATE_OVERRIDE="&amp;TEXT(F$17,"yyyymmdd"), "START_DATE_OVERRIDE="&amp;TEXT(F$16,"yyyymmdd"))/100, "")</f>
        <v/>
      </c>
      <c r="G9" s="8" t="str">
        <f t="array" ref="G9">IFERROR(_xll.BDP($B9,"INTERVAL_PERCENT_CHANGE", "END_DATE_OVERRIDE="&amp;TEXT(G$17,"yyyymmdd"), "START_DATE_OVERRIDE="&amp;TEXT(G$16,"yyyymmdd"))/100, "")</f>
        <v/>
      </c>
      <c r="H9" s="8" t="str">
        <f t="array" ref="H9">IFERROR(_xll.BDP($B9,"INTERVAL_PERCENT_CHANGE", "END_DATE_OVERRIDE="&amp;TEXT(H$17,"yyyymmdd"), "START_DATE_OVERRIDE="&amp;TEXT(H$16,"yyyymmdd"))/100, "")</f>
        <v/>
      </c>
      <c r="I9" s="8">
        <f t="array" ref="I9">_xll.BDP(B9,"CHG_PCT_1D")/100</f>
        <v>-2.6533830000000005E-3</v>
      </c>
      <c r="J9" s="8">
        <f t="array" ref="J9">_xll.BDP($B9,"CURRENT_TRR_MTD")/100</f>
        <v>4.8504810000000002E-3</v>
      </c>
      <c r="K9" s="8">
        <f>_xll.BDP(B9,"CHG_PCT_1M")/100</f>
        <v>2.4385189999999998E-2</v>
      </c>
      <c r="L9" s="8">
        <f t="array" ref="L9">_xll.BDP($B9,"CHG_PCT_YTD")/100</f>
        <v>9.5130420000000011E-3</v>
      </c>
      <c r="N9" t="s">
        <v>302</v>
      </c>
      <c r="O9" s="8">
        <f ca="1">OFFSET('Historical NAV'!K1,COUNT('Historical NAV'!A:A),,,)</f>
        <v>3.4427363665653338E-5</v>
      </c>
      <c r="P9" s="285">
        <f>J5</f>
        <v>0</v>
      </c>
      <c r="S9" t="s">
        <v>294</v>
      </c>
      <c r="T9" s="288" t="e">
        <f>SUM(T5:T8)</f>
        <v>#N/A</v>
      </c>
      <c r="V9" s="312" t="e">
        <f>T9/(T3+T4)</f>
        <v>#N/A</v>
      </c>
    </row>
    <row r="10" spans="2:22" ht="15.75" thickBot="1">
      <c r="B10" t="s">
        <v>328</v>
      </c>
      <c r="C10" s="8" t="s">
        <v>329</v>
      </c>
      <c r="D10" s="8">
        <f t="array" ref="D10">IFERROR(_xll.BDP($B10,"INTERVAL_PERCENT_CHANGE", "END_DATE_OVERRIDE="&amp;TEXT(D$17,"yyyymmdd"), "START_DATE_OVERRIDE="&amp;TEXT(D$16,"yyyymmdd"))/100, "")</f>
        <v>1.8880208969785678E-2</v>
      </c>
      <c r="E10" s="8">
        <f t="array" ref="E10">IFERROR(_xll.BDP($B10,"INTERVAL_PERCENT_CHANGE", "END_DATE_OVERRIDE="&amp;TEXT(E$17,"yyyymmdd"), "START_DATE_OVERRIDE="&amp;TEXT(E$16,"yyyymmdd"))/100, "")</f>
        <v>3.2814065144554472E-3</v>
      </c>
      <c r="F10" s="8" t="str">
        <f t="array" ref="F10">IFERROR(_xll.BDP($B10,"INTERVAL_PERCENT_CHANGE", "END_DATE_OVERRIDE="&amp;TEXT(F$17,"yyyymmdd"), "START_DATE_OVERRIDE="&amp;TEXT(F$16,"yyyymmdd"))/100, "")</f>
        <v/>
      </c>
      <c r="G10" s="8" t="str">
        <f t="array" ref="G10">IFERROR(_xll.BDP($B10,"INTERVAL_PERCENT_CHANGE", "END_DATE_OVERRIDE="&amp;TEXT(G$17,"yyyymmdd"), "START_DATE_OVERRIDE="&amp;TEXT(G$16,"yyyymmdd"))/100, "")</f>
        <v/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>
        <f>_xll.BDP(B10,"CHG_PCT_1D")/100</f>
        <v>3.2564600000000001E-3</v>
      </c>
      <c r="J10" s="8">
        <f t="array" ref="J10">_xll.BDP($B10,"CURRENT_TRR_MTD")/100</f>
        <v>2.2198209999999999E-2</v>
      </c>
      <c r="K10" s="8">
        <f>_xll.BDP(B10,"CHG_PCT_1M")/100</f>
        <v>2.021746E-2</v>
      </c>
      <c r="L10" s="8">
        <f t="array" ref="L10">_xll.BDP($B10,"CHG_PCT_YTD")/100</f>
        <v>5.8746840000000002E-2</v>
      </c>
      <c r="N10" s="275" t="s">
        <v>297</v>
      </c>
      <c r="O10" s="281" t="e">
        <f ca="1">O4+O5+O8</f>
        <v>#N/A</v>
      </c>
      <c r="P10" s="276">
        <f>P4+P5+P8</f>
        <v>2151287.66</v>
      </c>
      <c r="Q10" s="281" t="e">
        <f ca="1">SUM(O10:P10)</f>
        <v>#N/A</v>
      </c>
      <c r="S10" t="s">
        <v>295</v>
      </c>
      <c r="T10" s="286">
        <f>SUM('Email input'!D5:D10)</f>
        <v>66300893.6977375</v>
      </c>
      <c r="U10" s="8"/>
    </row>
    <row r="11" spans="2:22" ht="15.75" hidden="1" outlineLevel="1" thickTop="1">
      <c r="O11" s="283"/>
      <c r="P11" s="283"/>
      <c r="Q11" s="283"/>
      <c r="S11" t="s">
        <v>336</v>
      </c>
      <c r="T11" s="294">
        <v>416211.16194421798</v>
      </c>
      <c r="U11" s="8"/>
    </row>
    <row r="12" spans="2:22" ht="15.75" collapsed="1" thickTop="1">
      <c r="S12" t="s">
        <v>296</v>
      </c>
      <c r="T12" s="280">
        <f>SUM('Email input'!D10:D13)</f>
        <v>0</v>
      </c>
      <c r="U12" s="8"/>
    </row>
    <row r="13" spans="2:22" ht="15.75" thickBot="1">
      <c r="S13" s="275" t="s">
        <v>297</v>
      </c>
      <c r="T13" s="281" t="e">
        <f>T3+T4+T9+T10+T12+T11</f>
        <v>#N/A</v>
      </c>
      <c r="U13" s="277"/>
    </row>
    <row r="14" spans="2:22" ht="15.75" thickTop="1"/>
    <row r="15" spans="2:22" s="289" customFormat="1">
      <c r="T15" s="290"/>
    </row>
    <row r="16" spans="2:22">
      <c r="B16" t="s">
        <v>324</v>
      </c>
      <c r="D16" s="291">
        <v>45690</v>
      </c>
      <c r="E16" s="291">
        <f>D16+7</f>
        <v>45697</v>
      </c>
      <c r="F16" s="291">
        <f>E16+7</f>
        <v>45704</v>
      </c>
      <c r="G16" s="291">
        <f t="shared" ref="E16:H17" si="1">F16+7</f>
        <v>45711</v>
      </c>
      <c r="H16" s="291">
        <f t="shared" si="1"/>
        <v>45718</v>
      </c>
      <c r="N16" t="s">
        <v>323</v>
      </c>
      <c r="P16" s="310">
        <v>2151287.66</v>
      </c>
      <c r="S16" t="s">
        <v>322</v>
      </c>
      <c r="T16" s="282">
        <f ca="1">OFFSET('Historical NAV'!B1,COUNT('Historical NAV'!A:A),,,)</f>
        <v>66304300.988508098</v>
      </c>
    </row>
    <row r="17" spans="2:21">
      <c r="B17" t="s">
        <v>325</v>
      </c>
      <c r="D17" s="291">
        <v>45696</v>
      </c>
      <c r="E17" s="291">
        <f t="shared" si="1"/>
        <v>45703</v>
      </c>
      <c r="F17" s="291">
        <f t="shared" si="1"/>
        <v>45710</v>
      </c>
      <c r="G17" s="291">
        <f t="shared" si="1"/>
        <v>45717</v>
      </c>
      <c r="H17" s="291">
        <f t="shared" si="1"/>
        <v>45724</v>
      </c>
      <c r="P17" s="311">
        <v>46015</v>
      </c>
      <c r="T17" s="69" t="e">
        <f>T13</f>
        <v>#N/A</v>
      </c>
    </row>
    <row r="18" spans="2:21">
      <c r="B18" t="s">
        <v>326</v>
      </c>
      <c r="D18" s="298">
        <f ca="1">Dashboard!$B$4</f>
        <v>3.4427363665653338E-5</v>
      </c>
      <c r="E18" s="298"/>
      <c r="F18" s="298"/>
      <c r="G18" s="298"/>
      <c r="H18" s="298"/>
      <c r="I18" s="8">
        <f ca="1">Dashboard!B9</f>
        <v>3.4427363665653338E-5</v>
      </c>
      <c r="J18" s="8">
        <f ca="1">Dashboard!B5</f>
        <v>3.4427363665653338E-5</v>
      </c>
      <c r="K18" s="8"/>
      <c r="L18" s="69">
        <f ca="1">Dashboard!B6</f>
        <v>6.3665020357839941E-2</v>
      </c>
      <c r="O18" s="69"/>
      <c r="T18" s="284"/>
    </row>
    <row r="19" spans="2:21">
      <c r="B19" t="s">
        <v>327</v>
      </c>
      <c r="D19" s="298"/>
      <c r="E19" s="298"/>
      <c r="F19" s="298"/>
      <c r="G19" s="298"/>
      <c r="H19" s="298"/>
      <c r="J19">
        <f>SUM(D19:H19)</f>
        <v>0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9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337</v>
      </c>
      <c r="B1" s="282" t="s">
        <v>319</v>
      </c>
      <c r="C1" t="s">
        <v>338</v>
      </c>
      <c r="D1" s="282" t="s">
        <v>339</v>
      </c>
      <c r="F1" t="s">
        <v>150</v>
      </c>
      <c r="G1" t="s">
        <v>150</v>
      </c>
    </row>
    <row r="2" spans="1:7">
      <c r="A2" t="s">
        <v>337</v>
      </c>
      <c r="B2" s="282" t="s">
        <v>320</v>
      </c>
      <c r="C2" t="s">
        <v>315</v>
      </c>
      <c r="D2" s="282">
        <v>66302018.384809397</v>
      </c>
      <c r="F2" t="s">
        <v>319</v>
      </c>
      <c r="G2" t="s">
        <v>320</v>
      </c>
    </row>
    <row r="3" spans="1:7">
      <c r="A3" t="s">
        <v>337</v>
      </c>
      <c r="B3" s="282" t="s">
        <v>320</v>
      </c>
      <c r="C3" t="s">
        <v>316</v>
      </c>
      <c r="D3" s="282">
        <v>-7894.1699034900003</v>
      </c>
      <c r="F3" t="s">
        <v>165</v>
      </c>
      <c r="G3" t="s">
        <v>20</v>
      </c>
    </row>
    <row r="4" spans="1:7">
      <c r="A4" t="s">
        <v>337</v>
      </c>
      <c r="B4" s="282" t="s">
        <v>320</v>
      </c>
      <c r="C4" t="s">
        <v>317</v>
      </c>
      <c r="D4" s="282">
        <v>13584.064372700001</v>
      </c>
      <c r="F4" t="s">
        <v>292</v>
      </c>
      <c r="G4">
        <v>6.1726283999999999E-2</v>
      </c>
    </row>
    <row r="5" spans="1:7">
      <c r="A5" t="s">
        <v>337</v>
      </c>
      <c r="B5" s="282" t="s">
        <v>320</v>
      </c>
      <c r="C5" t="s">
        <v>18</v>
      </c>
      <c r="D5" s="282">
        <v>-3413.8018959999999</v>
      </c>
      <c r="F5" t="s">
        <v>293</v>
      </c>
      <c r="G5">
        <v>7.9982814999999999E-2</v>
      </c>
    </row>
    <row r="6" spans="1:7">
      <c r="A6" t="s">
        <v>337</v>
      </c>
      <c r="B6" s="282" t="s">
        <v>320</v>
      </c>
      <c r="C6" t="s">
        <v>318</v>
      </c>
      <c r="D6" s="282">
        <v>6.5111254000000001</v>
      </c>
    </row>
    <row r="7" spans="1:7">
      <c r="A7" t="s">
        <v>337</v>
      </c>
      <c r="B7" s="282" t="s">
        <v>320</v>
      </c>
      <c r="C7" t="s">
        <v>297</v>
      </c>
      <c r="D7" s="282">
        <v>66304300.988508098</v>
      </c>
    </row>
    <row r="9" spans="1:7">
      <c r="F9" t="s">
        <v>321</v>
      </c>
      <c r="G9">
        <v>2.8657347E-2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15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68234613.484809399</v>
      </c>
      <c r="D7" s="250">
        <f ca="1">OFFSET('Historical NAV'!E1, COUNT('Historical NAV'!B:B),,,)</f>
        <v>66302018.384809397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0.97167720308945194</v>
      </c>
      <c r="E9" s="225">
        <f ca="1">E7/(D7+D8+E7)</f>
        <v>2.8322796910548051E-2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66304300.988508098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2282.6036987006664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3.4427363665653338E-5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4.6314055950835042E-2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3.4427363665653338E-5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19" t="s">
        <v>10</v>
      </c>
      <c r="D2" s="320"/>
      <c r="E2" s="319" t="s">
        <v>11</v>
      </c>
      <c r="F2" s="320"/>
      <c r="G2" s="319" t="s">
        <v>12</v>
      </c>
      <c r="H2" s="321"/>
      <c r="I2" s="321"/>
      <c r="J2" s="321"/>
      <c r="K2" s="320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4" t="s">
        <v>129</v>
      </c>
      <c r="O3" s="324"/>
      <c r="P3" s="324"/>
      <c r="Q3" s="324"/>
      <c r="R3" s="324"/>
      <c r="S3" s="324"/>
      <c r="T3" s="324"/>
      <c r="U3" s="324"/>
      <c r="V3" s="324"/>
      <c r="W3" s="324"/>
      <c r="X3" s="324"/>
      <c r="Z3" s="2"/>
      <c r="AA3" s="2"/>
    </row>
    <row r="4" spans="1:27" ht="16.5" customHeight="1">
      <c r="B4" s="318" t="s">
        <v>23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5" t="s">
        <v>130</v>
      </c>
      <c r="O52" s="325"/>
      <c r="P52" s="325"/>
      <c r="Q52" s="325"/>
      <c r="R52" s="326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4" t="s">
        <v>244</v>
      </c>
      <c r="O53" s="324"/>
      <c r="P53" s="324"/>
      <c r="Q53" s="324"/>
      <c r="R53" s="324"/>
      <c r="S53" s="324"/>
      <c r="T53" s="324"/>
      <c r="U53" s="324"/>
      <c r="V53" s="324"/>
      <c r="W53" s="324"/>
      <c r="X53" s="324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18" t="s">
        <v>129</v>
      </c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N55" s="325" t="s">
        <v>246</v>
      </c>
      <c r="O55" s="325"/>
      <c r="P55" s="325"/>
      <c r="Q55" s="325"/>
      <c r="R55" s="326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4" t="s">
        <v>247</v>
      </c>
      <c r="O56" s="324"/>
      <c r="P56" s="324"/>
      <c r="Q56" s="324"/>
      <c r="R56" s="324"/>
      <c r="S56" s="324"/>
      <c r="T56" s="324"/>
      <c r="U56" s="324"/>
      <c r="V56" s="324"/>
      <c r="W56" s="324"/>
      <c r="X56" s="324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5" t="s">
        <v>266</v>
      </c>
      <c r="O75" s="325"/>
      <c r="P75" s="325"/>
      <c r="Q75" s="325"/>
      <c r="R75" s="326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18" t="s">
        <v>244</v>
      </c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18" t="s">
        <v>247</v>
      </c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18" t="s">
        <v>28</v>
      </c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22" t="s">
        <v>41</v>
      </c>
      <c r="C141" s="322"/>
      <c r="D141" s="322"/>
      <c r="E141" s="322"/>
      <c r="F141" s="322"/>
      <c r="G141" s="322"/>
      <c r="H141" s="322"/>
      <c r="I141" s="322"/>
      <c r="J141" s="323"/>
      <c r="K141" s="191">
        <v>-854078.19</v>
      </c>
      <c r="L141" s="192"/>
      <c r="T141" s="3"/>
    </row>
    <row r="142" spans="2:20">
      <c r="B142" s="322" t="s">
        <v>43</v>
      </c>
      <c r="C142" s="322"/>
      <c r="D142" s="322"/>
      <c r="E142" s="322"/>
      <c r="F142" s="322"/>
      <c r="G142" s="322"/>
      <c r="H142" s="322"/>
      <c r="I142" s="322"/>
      <c r="J142" s="323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  <mergeCell ref="B104:F104"/>
    <mergeCell ref="B105:L105"/>
    <mergeCell ref="C2:D2"/>
    <mergeCell ref="E2:F2"/>
    <mergeCell ref="G2:K2"/>
    <mergeCell ref="B4:L4"/>
    <mergeCell ref="B54:F54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39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89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>
        <f>'Historical NAV'!A1185</f>
        <v>45681</v>
      </c>
      <c r="B1185" s="173">
        <f>'Historical NAV'!B1185</f>
        <v>71733741.613693804</v>
      </c>
      <c r="C1185" s="173">
        <f>'Historical NAV'!C1185</f>
        <v>0</v>
      </c>
      <c r="D1185" s="173" t="e">
        <f>'Historical NAV'!#REF!</f>
        <v>#REF!</v>
      </c>
      <c r="E1185" s="173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6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42">
        <f t="shared" si="192"/>
        <v>1.7857142857142857E-4</v>
      </c>
      <c r="Y1185" s="139">
        <f t="shared" ref="Y1185" si="969">I1185-X1185</f>
        <v>-1.2524799184913839E-2</v>
      </c>
      <c r="Z1185" s="139">
        <f t="shared" ref="Z1185" si="970">IF(Y1185&lt;0,Y1185,0)</f>
        <v>-1.2524799184913839E-2</v>
      </c>
      <c r="AA1185" s="139">
        <f t="shared" ref="AA1185" si="971">Z1185^2</f>
        <v>1.5687059462241837E-4</v>
      </c>
      <c r="AB1185" s="144">
        <f t="shared" ref="AB1185" si="972">AVERAGE(Y932:Y1185)/AVERAGE(AA932:AA1185)</f>
        <v>3.5106749973853923</v>
      </c>
      <c r="AC1185" s="144">
        <f t="shared" ref="AC1185" si="973">AVERAGE(I1154:I1185)-_xlfn.NORM.S.INV(0.95)*_xlfn.STDEV.S(I1154:I1185)</f>
        <v>-4.5885400240555235E-2</v>
      </c>
      <c r="AD1185" s="144">
        <f t="shared" ref="AD1185" si="974">AVERAGE(I1094:I1185)-_xlfn.NORM.S.INV(0.95)*_xlfn.STDEV.S(I1094:I1185)</f>
        <v>-3.8537160568325131E-2</v>
      </c>
      <c r="AE1185" s="144">
        <f t="shared" ref="AE1185" si="975">AVERAGE(I819:I1185)-_xlfn.NORM.S.INV(0.95)*_xlfn.STDEV.S(I819:I1185)</f>
        <v>-4.8094832174680607E-2</v>
      </c>
    </row>
    <row r="1186" spans="1:31">
      <c r="A1186" s="172">
        <f>'Historical NAV'!A1186</f>
        <v>45684</v>
      </c>
      <c r="B1186" s="173">
        <f>'Historical NAV'!B1186</f>
        <v>66306438.2069019</v>
      </c>
      <c r="C1186" s="173">
        <f>'Historical NAV'!C1186</f>
        <v>0</v>
      </c>
      <c r="D1186" s="173" t="e">
        <f>'Historical NAV'!#REF!</f>
        <v>#REF!</v>
      </c>
      <c r="E1186" s="173" t="e">
        <f>'Historical NAV'!#REF!</f>
        <v>#REF!</v>
      </c>
      <c r="F1186" s="67">
        <f t="shared" ref="F1186" si="976">B1186</f>
        <v>66306438.2069019</v>
      </c>
      <c r="G1186" s="67">
        <f t="shared" ref="G1186" si="977">IF(MONTH(A1186)=MONTH(A1185),G1185,F1185)</f>
        <v>71204832.621444106</v>
      </c>
      <c r="H1186" s="176">
        <f>B1186-C1186-F1185-'Daily P&amp;L breakdown'!H194</f>
        <v>-5529611.2767919032</v>
      </c>
      <c r="I1186" s="70">
        <f t="shared" ref="I1186" si="978">H1186/B1185</f>
        <v>-7.7085220321705811E-2</v>
      </c>
      <c r="J1186" s="67">
        <f t="shared" ref="J1186" si="979">IF(MONTH(A1186)=MONTH(A1185),J1185+H1186,H1186)</f>
        <v>3214659.3454578025</v>
      </c>
      <c r="K1186" s="70">
        <f t="shared" ref="K1186" si="980">(1+K1185)*(1+I1186)-1</f>
        <v>0.13164250132951438</v>
      </c>
      <c r="L1186" s="70">
        <f t="shared" ref="L1186" si="981">1+I1186</f>
        <v>0.92291477967829416</v>
      </c>
      <c r="M1186" s="70">
        <f>PRODUCT($L$2:L1186)-1</f>
        <v>0.46121254406680778</v>
      </c>
      <c r="N1186" s="70">
        <f>PRODUCT($L$909:L1186)-1</f>
        <v>0.15467035737145052</v>
      </c>
      <c r="O1186" s="70">
        <f>AVERAGE($I$909:I1186)*252</f>
        <v>0.25627718872598071</v>
      </c>
      <c r="P1186" s="70">
        <f>STDEV($I$909:I1186)*252^0.5</f>
        <v>0.50077594118850499</v>
      </c>
      <c r="Q1186" s="67">
        <f t="shared" ref="Q1186" si="982">B1186-C1186-F1155</f>
        <v>-10517306.835618399</v>
      </c>
      <c r="R1186" s="70">
        <f t="shared" ref="R1186" si="983">Q1186/B1155</f>
        <v>-0.13690177209920312</v>
      </c>
      <c r="S1186" s="67">
        <f t="shared" ref="S1186" si="984">B1186-C1186-F1095</f>
        <v>3685239.0296711028</v>
      </c>
      <c r="T1186" s="70">
        <f t="shared" ref="T1186" si="985">S1186/B1095</f>
        <v>5.8849703903643281E-2</v>
      </c>
      <c r="U1186" s="67">
        <f t="shared" ref="U1186" si="986">B1186-C1186-F820</f>
        <v>29247960.556901902</v>
      </c>
      <c r="V1186" s="70">
        <f t="shared" ref="V1186" si="987">U1186/B820</f>
        <v>0.78923804785332041</v>
      </c>
      <c r="W1186" s="87">
        <f t="shared" ref="W1186" si="988">O1186/P1186</f>
        <v>0.51176018583830363</v>
      </c>
      <c r="X1186" s="142">
        <f t="shared" si="192"/>
        <v>1.7857142857142857E-4</v>
      </c>
      <c r="Y1186" s="139">
        <f t="shared" ref="Y1186" si="989">I1186-X1186</f>
        <v>-7.7263791750277241E-2</v>
      </c>
      <c r="Z1186" s="139">
        <f t="shared" ref="Z1186" si="990">IF(Y1186&lt;0,Y1186,0)</f>
        <v>-7.7263791750277241E-2</v>
      </c>
      <c r="AA1186" s="139">
        <f t="shared" ref="AA1186" si="991">Z1186^2</f>
        <v>5.9696935156302094E-3</v>
      </c>
      <c r="AB1186" s="144">
        <f t="shared" ref="AB1186" si="992">AVERAGE(Y933:Y1186)/AVERAGE(AA933:AA1186)</f>
        <v>2.6558634468755709</v>
      </c>
      <c r="AC1186" s="144">
        <f t="shared" ref="AC1186" si="993">AVERAGE(I1155:I1186)-_xlfn.NORM.S.INV(0.95)*_xlfn.STDEV.S(I1155:I1186)</f>
        <v>-5.3743293196579452E-2</v>
      </c>
      <c r="AD1186" s="144">
        <f t="shared" ref="AD1186" si="994">AVERAGE(I1095:I1186)-_xlfn.NORM.S.INV(0.95)*_xlfn.STDEV.S(I1095:I1186)</f>
        <v>-4.1269563789762702E-2</v>
      </c>
      <c r="AE1186" s="144">
        <f t="shared" ref="AE1186" si="995">AVERAGE(I820:I1186)-_xlfn.NORM.S.INV(0.95)*_xlfn.STDEV.S(I820:I1186)</f>
        <v>-4.8787753193559817E-2</v>
      </c>
    </row>
    <row r="1187" spans="1:31">
      <c r="A1187" s="172">
        <f>'Historical NAV'!A1187</f>
        <v>45685</v>
      </c>
      <c r="B1187" s="173">
        <f>'Historical NAV'!B1187</f>
        <v>66298758.242438599</v>
      </c>
      <c r="C1187" s="173">
        <f>'Historical NAV'!C1187</f>
        <v>0</v>
      </c>
      <c r="D1187" s="173" t="e">
        <f>'Historical NAV'!#REF!</f>
        <v>#REF!</v>
      </c>
      <c r="E1187" s="173" t="e">
        <f>'Historical NAV'!#REF!</f>
        <v>#REF!</v>
      </c>
      <c r="F1187" s="67">
        <f t="shared" ref="F1187" si="996">B1187</f>
        <v>66298758.242438599</v>
      </c>
      <c r="G1187" s="67">
        <f t="shared" ref="G1187" si="997">IF(MONTH(A1187)=MONTH(A1186),G1186,F1186)</f>
        <v>71204832.621444106</v>
      </c>
      <c r="H1187" s="176">
        <f>B1187-C1187-F1186-'Daily P&amp;L breakdown'!H195</f>
        <v>-17841.824463301004</v>
      </c>
      <c r="I1187" s="70">
        <f t="shared" ref="I1187" si="998">H1187/B1186</f>
        <v>-2.6908132823584286E-4</v>
      </c>
      <c r="J1187" s="67">
        <f t="shared" ref="J1187" si="999">IF(MONTH(A1187)=MONTH(A1186),J1186+H1187,H1187)</f>
        <v>3196817.5209945017</v>
      </c>
      <c r="K1187" s="70">
        <f t="shared" ref="K1187" si="1000">(1+K1186)*(1+I1187)-1</f>
        <v>0.13133799746216845</v>
      </c>
      <c r="L1187" s="70">
        <f t="shared" ref="L1187" si="1001">1+I1187</f>
        <v>0.99973091867176411</v>
      </c>
      <c r="M1187" s="70">
        <f>PRODUCT($L$2:L1187)-1</f>
        <v>0.46081935905461524</v>
      </c>
      <c r="N1187" s="70">
        <f>PRODUCT($L$909:L1187)-1</f>
        <v>0.15435965713801436</v>
      </c>
      <c r="O1187" s="70">
        <f>AVERAGE($I$909:I1187)*252</f>
        <v>0.25511559129429107</v>
      </c>
      <c r="P1187" s="70">
        <f>STDEV($I$909:I1187)*252^0.5</f>
        <v>0.49987594786500572</v>
      </c>
      <c r="Q1187" s="67">
        <f t="shared" ref="Q1187" si="1002">B1187-C1187-F1156</f>
        <v>-10281040.414129898</v>
      </c>
      <c r="R1187" s="70">
        <f t="shared" ref="R1187" si="1003">Q1187/B1156</f>
        <v>-0.13425264357557906</v>
      </c>
      <c r="S1187" s="67">
        <f t="shared" ref="S1187" si="1004">B1187-C1187-F1096</f>
        <v>4183239.7184410989</v>
      </c>
      <c r="T1187" s="70">
        <f t="shared" ref="T1187" si="1005">S1187/B1096</f>
        <v>6.7346128919860179E-2</v>
      </c>
      <c r="U1187" s="67">
        <f t="shared" ref="U1187" si="1006">B1187-C1187-F821</f>
        <v>29025677.052438602</v>
      </c>
      <c r="V1187" s="70">
        <f t="shared" ref="V1187" si="1007">U1187/B821</f>
        <v>0.7787302827067033</v>
      </c>
      <c r="W1187" s="87">
        <f t="shared" ref="W1187" si="1008">O1187/P1187</f>
        <v>0.51035780453911028</v>
      </c>
      <c r="X1187" s="142">
        <f t="shared" si="192"/>
        <v>1.7857142857142857E-4</v>
      </c>
      <c r="Y1187" s="139">
        <f t="shared" ref="Y1187" si="1009">I1187-X1187</f>
        <v>-4.4765275680727146E-4</v>
      </c>
      <c r="Z1187" s="139">
        <f t="shared" ref="Z1187" si="1010">IF(Y1187&lt;0,Y1187,0)</f>
        <v>-4.4765275680727146E-4</v>
      </c>
      <c r="AA1187" s="139">
        <f t="shared" ref="AA1187" si="1011">Z1187^2</f>
        <v>2.0039299067715012E-7</v>
      </c>
      <c r="AB1187" s="144">
        <f t="shared" ref="AB1187" si="1012">AVERAGE(Y934:Y1187)/AVERAGE(AA934:AA1187)</f>
        <v>2.6866622529810367</v>
      </c>
      <c r="AC1187" s="144">
        <f t="shared" ref="AC1187" si="1013">AVERAGE(I1156:I1187)-_xlfn.NORM.S.INV(0.95)*_xlfn.STDEV.S(I1156:I1187)</f>
        <v>-5.2957045781731896E-2</v>
      </c>
      <c r="AD1187" s="144">
        <f t="shared" ref="AD1187" si="1014">AVERAGE(I1096:I1187)-_xlfn.NORM.S.INV(0.95)*_xlfn.STDEV.S(I1096:I1187)</f>
        <v>-4.0327821993739785E-2</v>
      </c>
      <c r="AE1187" s="144">
        <f t="shared" ref="AE1187" si="1015">AVERAGE(I821:I1187)-_xlfn.NORM.S.INV(0.95)*_xlfn.STDEV.S(I821:I1187)</f>
        <v>-4.8804975142837589E-2</v>
      </c>
    </row>
    <row r="1188" spans="1:31">
      <c r="A1188" s="172">
        <f>'Historical NAV'!A1188</f>
        <v>45686</v>
      </c>
      <c r="B1188" s="173">
        <f>'Historical NAV'!B1188</f>
        <v>66293412.228287399</v>
      </c>
      <c r="C1188" s="173">
        <f>'Historical NAV'!C1188</f>
        <v>0</v>
      </c>
      <c r="D1188" s="173" t="e">
        <f>'Historical NAV'!#REF!</f>
        <v>#REF!</v>
      </c>
      <c r="E1188" s="173" t="e">
        <f>'Historical NAV'!#REF!</f>
        <v>#REF!</v>
      </c>
      <c r="F1188" s="67">
        <f t="shared" ref="F1188" si="1016">B1188</f>
        <v>66293412.228287399</v>
      </c>
      <c r="G1188" s="67">
        <f t="shared" ref="G1188" si="1017">IF(MONTH(A1188)=MONTH(A1187),G1187,F1187)</f>
        <v>71204832.621444106</v>
      </c>
      <c r="H1188" s="176">
        <f>B1188-C1188-F1187-'Daily P&amp;L breakdown'!H196</f>
        <v>3140.4758487993477</v>
      </c>
      <c r="I1188" s="70">
        <f t="shared" ref="I1188" si="1018">H1188/B1187</f>
        <v>4.7368547044506981E-5</v>
      </c>
      <c r="J1188" s="67">
        <f t="shared" ref="J1188" si="1019">IF(MONTH(A1188)=MONTH(A1187),J1187+H1188,H1188)</f>
        <v>3199957.9968433012</v>
      </c>
      <c r="K1188" s="70">
        <f t="shared" ref="K1188" si="1020">(1+K1187)*(1+I1188)-1</f>
        <v>0.13139158729932454</v>
      </c>
      <c r="L1188" s="70">
        <f t="shared" ref="L1188" si="1021">1+I1188</f>
        <v>1.0000473685470446</v>
      </c>
      <c r="M1188" s="70">
        <f>PRODUCT($L$2:L1188)-1</f>
        <v>0.46088855594514833</v>
      </c>
      <c r="N1188" s="70">
        <f>PRODUCT($L$909:L1188)-1</f>
        <v>0.1544143374777398</v>
      </c>
      <c r="O1188" s="70">
        <f>AVERAGE($I$909:I1188)*252</f>
        <v>0.25424709587486582</v>
      </c>
      <c r="P1188" s="70">
        <f>STDEV($I$909:I1188)*252^0.5</f>
        <v>0.498980148478953</v>
      </c>
      <c r="Q1188" s="67">
        <f t="shared" ref="Q1188" si="1022">B1188-C1188-F1157</f>
        <v>-10447105.492226601</v>
      </c>
      <c r="R1188" s="70">
        <f t="shared" ref="R1188" si="1023">Q1188/B1157</f>
        <v>-0.13613545754635845</v>
      </c>
      <c r="S1188" s="67">
        <f t="shared" ref="S1188" si="1024">B1188-C1188-F1097</f>
        <v>3772224.1605139971</v>
      </c>
      <c r="T1188" s="70">
        <f t="shared" ref="T1188" si="1025">S1188/B1097</f>
        <v>6.0335132410229954E-2</v>
      </c>
      <c r="U1188" s="67">
        <f t="shared" ref="U1188" si="1026">B1188-C1188-F822</f>
        <v>28878109.3282874</v>
      </c>
      <c r="V1188" s="70">
        <f t="shared" ref="V1188" si="1027">U1188/B822</f>
        <v>0.77182615373901997</v>
      </c>
      <c r="W1188" s="87">
        <f t="shared" ref="W1188" si="1028">O1188/P1188</f>
        <v>0.5095334887567976</v>
      </c>
      <c r="X1188" s="142">
        <f t="shared" si="192"/>
        <v>1.7857142857142857E-4</v>
      </c>
      <c r="Y1188" s="139">
        <f t="shared" ref="Y1188" si="1029">I1188-X1188</f>
        <v>-1.3120288152692158E-4</v>
      </c>
      <c r="Z1188" s="139">
        <f t="shared" ref="Z1188" si="1030">IF(Y1188&lt;0,Y1188,0)</f>
        <v>-1.3120288152692158E-4</v>
      </c>
      <c r="AA1188" s="139">
        <f t="shared" ref="AA1188" si="1031">Z1188^2</f>
        <v>1.721419612096742E-8</v>
      </c>
      <c r="AB1188" s="144">
        <f t="shared" ref="AB1188" si="1032">AVERAGE(Y935:Y1188)/AVERAGE(AA935:AA1188)</f>
        <v>2.9251786735176473</v>
      </c>
      <c r="AC1188" s="144">
        <f t="shared" ref="AC1188" si="1033">AVERAGE(I1157:I1188)-_xlfn.NORM.S.INV(0.95)*_xlfn.STDEV.S(I1157:I1188)</f>
        <v>-5.2804746428916E-2</v>
      </c>
      <c r="AD1188" s="144">
        <f t="shared" ref="AD1188" si="1034">AVERAGE(I1097:I1188)-_xlfn.NORM.S.INV(0.95)*_xlfn.STDEV.S(I1097:I1188)</f>
        <v>-4.0185571647907946E-2</v>
      </c>
      <c r="AE1188" s="144">
        <f t="shared" ref="AE1188" si="1035">AVERAGE(I822:I1188)-_xlfn.NORM.S.INV(0.95)*_xlfn.STDEV.S(I822:I1188)</f>
        <v>-4.88196807116765E-2</v>
      </c>
    </row>
    <row r="1189" spans="1:31">
      <c r="A1189" s="172">
        <f>'Historical NAV'!A1189</f>
        <v>45687</v>
      </c>
      <c r="B1189" s="173">
        <f>'Historical NAV'!B1189</f>
        <v>66307189.627214603</v>
      </c>
      <c r="C1189" s="173">
        <f>'Historical NAV'!C1189</f>
        <v>0</v>
      </c>
      <c r="D1189" s="173" t="e">
        <f>'Historical NAV'!#REF!</f>
        <v>#REF!</v>
      </c>
      <c r="E1189" s="173" t="e">
        <f>'Historical NAV'!#REF!</f>
        <v>#REF!</v>
      </c>
      <c r="F1189" s="67">
        <f t="shared" ref="F1189" si="1036">B1189</f>
        <v>66307189.627214603</v>
      </c>
      <c r="G1189" s="67">
        <f t="shared" ref="G1189" si="1037">IF(MONTH(A1189)=MONTH(A1188),G1188,F1188)</f>
        <v>71204832.621444106</v>
      </c>
      <c r="H1189" s="176">
        <f>B1189-C1189-F1188-'Daily P&amp;L breakdown'!H197</f>
        <v>5638.5989272043107</v>
      </c>
      <c r="I1189" s="70">
        <f t="shared" ref="I1189" si="1038">H1189/B1188</f>
        <v>8.5055192328723129E-5</v>
      </c>
      <c r="J1189" s="67">
        <f t="shared" ref="J1189" si="1039">IF(MONTH(A1189)=MONTH(A1188),J1188+H1189,H1189)</f>
        <v>3205596.5957705057</v>
      </c>
      <c r="K1189" s="70">
        <f t="shared" ref="K1189" si="1040">(1+K1188)*(1+I1189)-1</f>
        <v>0.13148781802838139</v>
      </c>
      <c r="L1189" s="70">
        <f t="shared" ref="L1189" si="1041">1+I1189</f>
        <v>1.0000850551923288</v>
      </c>
      <c r="M1189" s="70">
        <f>PRODUCT($L$2:L1189)-1</f>
        <v>0.46101281210224521</v>
      </c>
      <c r="N1189" s="70">
        <f>PRODUCT($L$909:L1189)-1</f>
        <v>0.15451252641124102</v>
      </c>
      <c r="O1189" s="70">
        <f>AVERAGE($I$909:I1189)*252</f>
        <v>0.25341857919369842</v>
      </c>
      <c r="P1189" s="70">
        <f>STDEV($I$909:I1189)*252^0.5</f>
        <v>0.49808908387998924</v>
      </c>
      <c r="Q1189" s="67">
        <f t="shared" ref="Q1189" si="1042">B1189-C1189-F1158</f>
        <v>-9309160.9654111937</v>
      </c>
      <c r="R1189" s="70">
        <f t="shared" ref="R1189" si="1043">Q1189/B1158</f>
        <v>-0.12311042377016056</v>
      </c>
      <c r="S1189" s="67">
        <f t="shared" ref="S1189" si="1044">B1189-C1189-F1098</f>
        <v>1284705.801741302</v>
      </c>
      <c r="T1189" s="70">
        <f t="shared" ref="T1189" si="1045">S1189/B1098</f>
        <v>1.9757870295905304E-2</v>
      </c>
      <c r="U1189" s="67">
        <f t="shared" ref="U1189" si="1046">B1189-C1189-F823</f>
        <v>28907216.007214606</v>
      </c>
      <c r="V1189" s="70">
        <f t="shared" ref="V1189" si="1047">U1189/B823</f>
        <v>0.77292075927444481</v>
      </c>
      <c r="W1189" s="87">
        <f t="shared" ref="W1189" si="1048">O1189/P1189</f>
        <v>0.50878163644870744</v>
      </c>
      <c r="X1189" s="142">
        <f t="shared" si="192"/>
        <v>1.7857142857142857E-4</v>
      </c>
      <c r="Y1189" s="139">
        <f t="shared" ref="Y1189" si="1049">I1189-X1189</f>
        <v>-9.3516236242705442E-5</v>
      </c>
      <c r="Z1189" s="139">
        <f t="shared" ref="Z1189" si="1050">IF(Y1189&lt;0,Y1189,0)</f>
        <v>-9.3516236242705442E-5</v>
      </c>
      <c r="AA1189" s="139">
        <f t="shared" ref="AA1189" si="1051">Z1189^2</f>
        <v>8.7452864410014952E-9</v>
      </c>
      <c r="AB1189" s="144">
        <f t="shared" ref="AB1189" si="1052">AVERAGE(Y936:Y1189)/AVERAGE(AA936:AA1189)</f>
        <v>2.8317806066572389</v>
      </c>
      <c r="AC1189" s="144">
        <f t="shared" ref="AC1189" si="1053">AVERAGE(I1158:I1189)-_xlfn.NORM.S.INV(0.95)*_xlfn.STDEV.S(I1158:I1189)</f>
        <v>-5.2868328005715337E-2</v>
      </c>
      <c r="AD1189" s="144">
        <f t="shared" ref="AD1189" si="1054">AVERAGE(I1098:I1189)-_xlfn.NORM.S.INV(0.95)*_xlfn.STDEV.S(I1098:I1189)</f>
        <v>-4.0240393789123738E-2</v>
      </c>
      <c r="AE1189" s="144">
        <f t="shared" ref="AE1189" si="1055">AVERAGE(I823:I1189)-_xlfn.NORM.S.INV(0.95)*_xlfn.STDEV.S(I823:I1189)</f>
        <v>-4.8829753297691014E-2</v>
      </c>
    </row>
    <row r="1190" spans="1:31">
      <c r="A1190" s="172"/>
      <c r="F1190" s="67"/>
      <c r="G1190" s="67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1:31">
      <c r="A1191" s="172"/>
      <c r="F1191" s="67"/>
      <c r="G1191" s="67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F1192" s="67"/>
      <c r="G1192" s="67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F1193" s="67"/>
      <c r="G1193" s="67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F1194" s="67"/>
      <c r="G1194" s="67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F1195" s="67"/>
      <c r="G1195" s="67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F1196" s="67"/>
      <c r="G1196" s="67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6:31">
      <c r="F1236" s="67"/>
      <c r="G1236" s="67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6:31">
      <c r="F1237" s="67"/>
      <c r="G1237" s="67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6:31">
      <c r="F1238" s="67"/>
      <c r="G1238" s="67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6:31">
      <c r="F1239" s="67"/>
      <c r="G1239" s="67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41" t="s">
        <v>20</v>
      </c>
      <c r="D5" s="341"/>
      <c r="E5" s="342"/>
      <c r="F5" s="13" t="s">
        <v>46</v>
      </c>
      <c r="G5" s="13" t="s">
        <v>47</v>
      </c>
      <c r="H5" s="13" t="s">
        <v>48</v>
      </c>
      <c r="J5" s="41" t="s">
        <v>92</v>
      </c>
      <c r="K5" s="332" t="s">
        <v>93</v>
      </c>
      <c r="L5" s="332"/>
      <c r="M5" s="332"/>
      <c r="N5" s="332"/>
      <c r="O5" s="332"/>
    </row>
    <row r="6" spans="1:15">
      <c r="A6" s="333" t="s">
        <v>50</v>
      </c>
      <c r="B6" s="334"/>
      <c r="C6" s="340">
        <f ca="1">SUM(F6:H6)</f>
        <v>81769334.074809402</v>
      </c>
      <c r="D6" s="345"/>
      <c r="E6" s="346"/>
      <c r="F6" s="340">
        <f ca="1">OFFSET('Historical NAV'!E1, COUNT('Historical NAV'!A:A),,,)</f>
        <v>66302018.384809397</v>
      </c>
      <c r="G6" s="340">
        <v>15365477.27</v>
      </c>
      <c r="H6" s="340">
        <v>101838.42</v>
      </c>
      <c r="K6" s="332"/>
      <c r="L6" s="332"/>
      <c r="M6" s="332"/>
      <c r="N6" s="332"/>
      <c r="O6" s="332"/>
    </row>
    <row r="7" spans="1:15">
      <c r="A7" s="333"/>
      <c r="B7" s="334"/>
      <c r="C7" s="340"/>
      <c r="D7" s="345"/>
      <c r="E7" s="346"/>
      <c r="F7" s="340"/>
      <c r="G7" s="340"/>
      <c r="H7" s="340"/>
    </row>
    <row r="8" spans="1:15">
      <c r="A8" s="327" t="s">
        <v>52</v>
      </c>
      <c r="B8" s="328"/>
      <c r="C8" s="343">
        <f ca="1">SUM(F8:H8)</f>
        <v>1</v>
      </c>
      <c r="D8" s="347"/>
      <c r="E8" s="348"/>
      <c r="F8" s="343">
        <f ca="1">F6/$C$6</f>
        <v>0.81084209789639217</v>
      </c>
      <c r="G8" s="343">
        <f ca="1">G6/$C$6</f>
        <v>0.18791246674385756</v>
      </c>
      <c r="H8" s="343">
        <f ca="1">H6/$C$6</f>
        <v>1.2454353597502667E-3</v>
      </c>
    </row>
    <row r="9" spans="1:15">
      <c r="A9" s="327"/>
      <c r="B9" s="328"/>
      <c r="C9" s="343"/>
      <c r="D9" s="347"/>
      <c r="E9" s="348"/>
      <c r="F9" s="343"/>
      <c r="G9" s="343"/>
      <c r="H9" s="343"/>
    </row>
    <row r="10" spans="1:15">
      <c r="A10" s="335" t="s">
        <v>53</v>
      </c>
      <c r="B10" s="336"/>
      <c r="C10" s="337" t="e">
        <f ca="1">SUM(F10:H10)</f>
        <v>#REF!</v>
      </c>
      <c r="D10" s="338"/>
      <c r="E10" s="339"/>
      <c r="F10" s="337">
        <f ca="1">OFFSET('Historical NAV'!B1, COUNT('Historical NAV'!A:A),,,)</f>
        <v>66304300.988508098</v>
      </c>
      <c r="G10" s="337" t="e">
        <f>G6+G12</f>
        <v>#REF!</v>
      </c>
      <c r="H10" s="337" t="e">
        <f>H6+H12</f>
        <v>#REF!</v>
      </c>
    </row>
    <row r="11" spans="1:15">
      <c r="A11" s="335"/>
      <c r="B11" s="336"/>
      <c r="C11" s="337"/>
      <c r="D11" s="338"/>
      <c r="E11" s="339"/>
      <c r="F11" s="337"/>
      <c r="G11" s="337"/>
      <c r="H11" s="337"/>
    </row>
    <row r="12" spans="1:15">
      <c r="A12" s="327" t="s">
        <v>54</v>
      </c>
      <c r="B12" s="328"/>
      <c r="C12" s="329" t="e">
        <f ca="1">SUM(F12:H12)</f>
        <v>#REF!</v>
      </c>
      <c r="D12" s="330"/>
      <c r="E12" s="331"/>
      <c r="F12" s="329">
        <f ca="1">OFFSET('Historical NAV'!J1, COUNT('Historical NAV'!A:A),,,)</f>
        <v>2282.6036987006664</v>
      </c>
      <c r="G12" s="344" t="e">
        <f>G14*G6</f>
        <v>#REF!</v>
      </c>
      <c r="H12" s="329" t="e">
        <f>H14*H6</f>
        <v>#REF!</v>
      </c>
    </row>
    <row r="13" spans="1:15">
      <c r="A13" s="327"/>
      <c r="B13" s="328"/>
      <c r="C13" s="329"/>
      <c r="D13" s="330"/>
      <c r="E13" s="331"/>
      <c r="F13" s="329"/>
      <c r="G13" s="344"/>
      <c r="H13" s="329"/>
    </row>
    <row r="14" spans="1:15">
      <c r="A14" s="335" t="s">
        <v>94</v>
      </c>
      <c r="B14" s="336"/>
      <c r="C14" s="351" t="e">
        <f ca="1">C12/C6</f>
        <v>#REF!</v>
      </c>
      <c r="D14" s="352"/>
      <c r="E14" s="353"/>
      <c r="F14" s="354">
        <f ca="1">OFFSET('Historical NAV'!K1, COUNT('Historical NAV'!A:A),,,)</f>
        <v>3.4427363665653338E-5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51"/>
      <c r="D15" s="352"/>
      <c r="E15" s="353"/>
      <c r="F15" s="354"/>
      <c r="G15" s="15" t="e">
        <f>IB_html!#REF!</f>
        <v>#REF!</v>
      </c>
      <c r="H15" s="15" t="e">
        <f>IB_html!#REF!</f>
        <v>#REF!</v>
      </c>
    </row>
    <row r="16" spans="1:15">
      <c r="A16" s="328" t="s">
        <v>95</v>
      </c>
      <c r="B16" s="328"/>
      <c r="C16" s="16"/>
      <c r="D16" s="16"/>
      <c r="E16" s="17"/>
      <c r="F16" s="329">
        <f ca="1">OFFSET('Historical NAV'!F1, COUNT('Historical NAV'!A:A),,,)</f>
        <v>2282.6036987006664</v>
      </c>
      <c r="G16" s="329"/>
      <c r="H16" s="329"/>
      <c r="N16" s="8"/>
    </row>
    <row r="17" spans="1:11">
      <c r="A17" s="328"/>
      <c r="B17" s="328"/>
      <c r="C17" s="16"/>
      <c r="D17" s="16"/>
      <c r="E17" s="17"/>
      <c r="F17" s="329"/>
      <c r="G17" s="329"/>
      <c r="H17" s="329"/>
    </row>
    <row r="18" spans="1:11">
      <c r="A18" s="335" t="s">
        <v>57</v>
      </c>
      <c r="B18" s="336"/>
      <c r="C18" s="18"/>
      <c r="D18" s="18"/>
      <c r="E18" s="19"/>
      <c r="F18" s="354">
        <f ca="1">OFFSET('Historical NAV'!G1, COUNT('Historical NAV'!A:A),,,)</f>
        <v>3.4427363665653338E-5</v>
      </c>
      <c r="G18" s="349"/>
      <c r="H18" s="349"/>
    </row>
    <row r="19" spans="1:11">
      <c r="A19" s="359"/>
      <c r="B19" s="360"/>
      <c r="C19" s="20"/>
      <c r="D19" s="20"/>
      <c r="E19" s="21"/>
      <c r="F19" s="361"/>
      <c r="G19" s="350"/>
      <c r="H19" s="350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41" t="s">
        <v>59</v>
      </c>
      <c r="B21" s="342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57" t="s">
        <v>57</v>
      </c>
      <c r="B22" s="358"/>
      <c r="C22" s="25">
        <f>_xll.BDP(C27,$A27)/100</f>
        <v>-9.4648370000000002E-3</v>
      </c>
      <c r="D22" s="25">
        <f>_xll.BDP(D27,$A27)/100</f>
        <v>-1.357064E-2</v>
      </c>
      <c r="E22" s="26">
        <f>_xll.BDP(E27,$A27)/100</f>
        <v>-9.927453000000001E-3</v>
      </c>
      <c r="F22" s="27">
        <f>_xll.BDP(F27,$A27)/100</f>
        <v>-1.802E-3</v>
      </c>
      <c r="G22" s="27">
        <f>_xll.BDP(G27,$A27)/100</f>
        <v>3.2564600000000001E-3</v>
      </c>
      <c r="H22" s="25">
        <f>_xll.BDP(H27,$A27)/100</f>
        <v>3.4987041836356913E-3</v>
      </c>
    </row>
    <row r="23" spans="1:11">
      <c r="A23" s="355" t="s">
        <v>66</v>
      </c>
      <c r="B23" s="356"/>
      <c r="C23" s="28">
        <f>_xll.BDP(C27,$A28)/100</f>
        <v>-2.4069989999999999E-3</v>
      </c>
      <c r="D23" s="28">
        <f>_xll.BDP(D27,$A28)/100</f>
        <v>-5.3006949999999994E-3</v>
      </c>
      <c r="E23" s="29">
        <f>_xll.BDP(E27,$A28)/100</f>
        <v>-5.416176E-3</v>
      </c>
      <c r="F23" s="30">
        <f>_xll.BDP(F27,$A28)/100</f>
        <v>-1.1479E-2</v>
      </c>
      <c r="G23" s="30">
        <f>_xll.BDP(G27,$A28)/100</f>
        <v>2.2198209999999999E-2</v>
      </c>
      <c r="H23" s="28">
        <f>_xll.BDP(H27,$A28)/100</f>
        <v>4.4292700931993921E-4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23:B23"/>
    <mergeCell ref="A21:B21"/>
    <mergeCell ref="A22:B22"/>
    <mergeCell ref="A16:B17"/>
    <mergeCell ref="F16:F17"/>
    <mergeCell ref="A18:B19"/>
    <mergeCell ref="F18:F19"/>
    <mergeCell ref="G18:G19"/>
    <mergeCell ref="H18:H19"/>
    <mergeCell ref="A14:B15"/>
    <mergeCell ref="C14:E15"/>
    <mergeCell ref="F14:F15"/>
    <mergeCell ref="G16:G17"/>
    <mergeCell ref="H16:H17"/>
    <mergeCell ref="C6:E7"/>
    <mergeCell ref="F6:F7"/>
    <mergeCell ref="G6:G7"/>
    <mergeCell ref="G8:G9"/>
    <mergeCell ref="C8:E9"/>
    <mergeCell ref="F8:F9"/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2025-02-10T03:06:25Z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