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2\"/>
    </mc:Choice>
  </mc:AlternateContent>
  <xr:revisionPtr revIDLastSave="0" documentId="13_ncr:1_{BF1AE8CF-7D4D-4E14-8182-EFFBA2C01A22}" xr6:coauthVersionLast="47" xr6:coauthVersionMax="47" xr10:uidLastSave="{00000000-0000-0000-0000-000000000000}"/>
  <bookViews>
    <workbookView xWindow="-120" yWindow="-120" windowWidth="29040" windowHeight="15720" tabRatio="719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1191" i="14" l="1"/>
  <c r="E1191" i="14"/>
  <c r="D1191" i="14"/>
  <c r="C1191" i="14"/>
  <c r="B1191" i="14"/>
  <c r="F1191" i="14" s="1"/>
  <c r="A1191" i="14"/>
  <c r="L201" i="13"/>
  <c r="A201" i="13"/>
  <c r="X1193" i="3"/>
  <c r="D1193" i="3"/>
  <c r="X1190" i="14"/>
  <c r="E1190" i="14"/>
  <c r="D1190" i="14"/>
  <c r="C1190" i="14"/>
  <c r="B1190" i="14"/>
  <c r="A1190" i="14"/>
  <c r="L200" i="13"/>
  <c r="A200" i="13"/>
  <c r="X1192" i="3"/>
  <c r="D1192" i="3"/>
  <c r="F1193" i="3" s="1"/>
  <c r="G1193" i="3" s="1"/>
  <c r="E16" i="16"/>
  <c r="X1189" i="14"/>
  <c r="E1189" i="14"/>
  <c r="D1189" i="14"/>
  <c r="C1189" i="14"/>
  <c r="B1189" i="14"/>
  <c r="A1189" i="14"/>
  <c r="L199" i="13"/>
  <c r="A199" i="13"/>
  <c r="X1191" i="3"/>
  <c r="F1191" i="3"/>
  <c r="G1191" i="3" s="1"/>
  <c r="K1191" i="3" s="1"/>
  <c r="I1191" i="3" s="1"/>
  <c r="D1191" i="3"/>
  <c r="F1192" i="3" s="1"/>
  <c r="G1192" i="3" s="1"/>
  <c r="X1188" i="14"/>
  <c r="E1188" i="14"/>
  <c r="D1188" i="14"/>
  <c r="C1188" i="14"/>
  <c r="B1188" i="14"/>
  <c r="A1188" i="14"/>
  <c r="L198" i="13"/>
  <c r="A198" i="13"/>
  <c r="X1190" i="3"/>
  <c r="D1190" i="3"/>
  <c r="X1187" i="14"/>
  <c r="E1187" i="14"/>
  <c r="D1187" i="14"/>
  <c r="C1187" i="14"/>
  <c r="B1187" i="14"/>
  <c r="A1187" i="14"/>
  <c r="L197" i="13"/>
  <c r="A197" i="13"/>
  <c r="X1189" i="3"/>
  <c r="D1189" i="3"/>
  <c r="F1190" i="3" s="1"/>
  <c r="G1190" i="3" s="1"/>
  <c r="X1186" i="14"/>
  <c r="E1186" i="14"/>
  <c r="D1186" i="14"/>
  <c r="C1186" i="14"/>
  <c r="B1186" i="14"/>
  <c r="A1186" i="14"/>
  <c r="L196" i="13"/>
  <c r="A196" i="13"/>
  <c r="X1188" i="3"/>
  <c r="D1188" i="3"/>
  <c r="F1189" i="3" s="1"/>
  <c r="G1189" i="3" s="1"/>
  <c r="J19" i="16"/>
  <c r="E17" i="16"/>
  <c r="F17" i="16" s="1"/>
  <c r="T16" i="16"/>
  <c r="F16" i="16"/>
  <c r="T12" i="16"/>
  <c r="T10" i="16"/>
  <c r="C23" i="4"/>
  <c r="I7" i="16" a="1"/>
  <c r="K6" i="16"/>
  <c r="I8" i="16" a="1"/>
  <c r="K7" i="16"/>
  <c r="E8" i="16" a="1"/>
  <c r="G10" i="16" a="1"/>
  <c r="H6" i="16" a="1"/>
  <c r="H22" i="4"/>
  <c r="J10" i="16" a="1"/>
  <c r="H8" i="16" a="1"/>
  <c r="G9" i="16" a="1"/>
  <c r="J7" i="16" a="1"/>
  <c r="K10" i="16"/>
  <c r="F6" i="16" a="1"/>
  <c r="K8" i="16"/>
  <c r="D6" i="16" a="1"/>
  <c r="G7" i="16" a="1"/>
  <c r="D7" i="16" a="1"/>
  <c r="F7" i="16" a="1"/>
  <c r="D10" i="16" a="1"/>
  <c r="F22" i="4"/>
  <c r="L10" i="16" a="1"/>
  <c r="F8" i="16" a="1"/>
  <c r="J6" i="16"/>
  <c r="D9" i="16" a="1"/>
  <c r="I10" i="16"/>
  <c r="D22" i="4"/>
  <c r="H23" i="4"/>
  <c r="L7" i="16" a="1"/>
  <c r="J8" i="16" a="1"/>
  <c r="C24" i="4"/>
  <c r="G8" i="16" a="1"/>
  <c r="I6" i="16"/>
  <c r="D23" i="4"/>
  <c r="E23" i="4"/>
  <c r="G6" i="16" a="1"/>
  <c r="C22" i="4"/>
  <c r="E9" i="16" a="1"/>
  <c r="F10" i="16" a="1"/>
  <c r="F9" i="16" a="1"/>
  <c r="E7" i="16" a="1"/>
  <c r="F23" i="4"/>
  <c r="E22" i="4"/>
  <c r="J9" i="16" a="1"/>
  <c r="L8" i="16" a="1"/>
  <c r="L6" i="16" a="1"/>
  <c r="H10" i="16" a="1"/>
  <c r="H7" i="16" a="1"/>
  <c r="D8" i="16" a="1"/>
  <c r="G23" i="4"/>
  <c r="K9" i="16"/>
  <c r="E10" i="16" a="1"/>
  <c r="H9" i="16" a="1"/>
  <c r="I9" i="16" a="1"/>
  <c r="L9" i="16" a="1"/>
  <c r="G22" i="4"/>
  <c r="E6" i="16" a="1"/>
  <c r="L1193" i="3" l="1"/>
  <c r="Y1193" i="3"/>
  <c r="Z1193" i="3" s="1"/>
  <c r="AA1193" i="3" s="1"/>
  <c r="K1193" i="3"/>
  <c r="I1193" i="3" s="1"/>
  <c r="F1190" i="14"/>
  <c r="G1191" i="14" s="1"/>
  <c r="L1192" i="3"/>
  <c r="K1192" i="3"/>
  <c r="I1192" i="3" s="1"/>
  <c r="Y1192" i="3"/>
  <c r="Z1192" i="3" s="1"/>
  <c r="AA1192" i="3" s="1"/>
  <c r="F8" i="16"/>
  <c r="G10" i="16"/>
  <c r="H8" i="16"/>
  <c r="I8" i="16"/>
  <c r="H9" i="16"/>
  <c r="F10" i="16"/>
  <c r="L8" i="16"/>
  <c r="E9" i="16"/>
  <c r="G6" i="16"/>
  <c r="J8" i="16"/>
  <c r="L10" i="16"/>
  <c r="G7" i="16"/>
  <c r="J7" i="16"/>
  <c r="G9" i="16"/>
  <c r="J10" i="16"/>
  <c r="E10" i="16"/>
  <c r="H10" i="16"/>
  <c r="J9" i="16"/>
  <c r="G8" i="16"/>
  <c r="F6" i="16"/>
  <c r="H6" i="16"/>
  <c r="D6" i="16"/>
  <c r="E8" i="16"/>
  <c r="I7" i="16"/>
  <c r="D9" i="16"/>
  <c r="L9" i="16"/>
  <c r="L6" i="16"/>
  <c r="H7" i="16"/>
  <c r="E7" i="16"/>
  <c r="F9" i="16"/>
  <c r="L7" i="16"/>
  <c r="D10" i="16"/>
  <c r="F7" i="16"/>
  <c r="D7" i="16"/>
  <c r="E6" i="16"/>
  <c r="I9" i="16"/>
  <c r="D8" i="16"/>
  <c r="G16" i="16"/>
  <c r="G17" i="16"/>
  <c r="F1189" i="14"/>
  <c r="H1190" i="14" s="1"/>
  <c r="I1190" i="14" s="1"/>
  <c r="L1191" i="3"/>
  <c r="Y1191" i="3"/>
  <c r="Z1191" i="3" s="1"/>
  <c r="AA1191" i="3" s="1"/>
  <c r="F1188" i="14"/>
  <c r="H1189" i="14" s="1"/>
  <c r="I1189" i="14" s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H1191" i="14" l="1"/>
  <c r="L1190" i="14"/>
  <c r="Y1190" i="14"/>
  <c r="Z1190" i="14" s="1"/>
  <c r="AA1190" i="14" s="1"/>
  <c r="H16" i="16"/>
  <c r="H17" i="16"/>
  <c r="L1189" i="14"/>
  <c r="Y1189" i="14"/>
  <c r="Z1189" i="14" s="1"/>
  <c r="AA1189" i="14" s="1"/>
  <c r="L1188" i="14"/>
  <c r="Y1188" i="14"/>
  <c r="Z1188" i="14" s="1"/>
  <c r="AA1188" i="14" s="1"/>
  <c r="L1187" i="14"/>
  <c r="Y1187" i="14"/>
  <c r="Z1187" i="14" s="1"/>
  <c r="AA1187" i="14" s="1"/>
  <c r="U8" i="16"/>
  <c r="I1191" i="14" l="1"/>
  <c r="J1191" i="14"/>
  <c r="U7" i="16"/>
  <c r="L1191" i="14" l="1"/>
  <c r="Y1191" i="14"/>
  <c r="Z1191" i="14" s="1"/>
  <c r="AA1191" i="14" s="1"/>
  <c r="U6" i="16"/>
  <c r="U5" i="16" l="1"/>
  <c r="H5" i="16"/>
  <c r="G5" i="16"/>
  <c r="F5" i="16"/>
  <c r="E5" i="16"/>
  <c r="D5" i="16"/>
  <c r="T4" i="16"/>
  <c r="O5" i="16" s="1"/>
  <c r="Q5" i="16" s="1"/>
  <c r="P4" i="16"/>
  <c r="F4" i="16"/>
  <c r="E4" i="16"/>
  <c r="T3" i="16"/>
  <c r="J5" i="16" l="1"/>
  <c r="P9" i="16"/>
  <c r="P8" i="16" s="1"/>
  <c r="L5" i="16"/>
  <c r="K5" i="16"/>
  <c r="P10" i="16"/>
  <c r="T8" i="16"/>
  <c r="T7" i="16"/>
  <c r="T6" i="16"/>
  <c r="T5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J1189" i="14" s="1"/>
  <c r="J1190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G1189" i="14" s="1"/>
  <c r="G1190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3" i="3" l="1"/>
  <c r="P1193" i="3"/>
  <c r="O1192" i="3"/>
  <c r="P1192" i="3"/>
  <c r="O1191" i="3"/>
  <c r="P1191" i="3"/>
  <c r="O1190" i="3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N1193" i="3" s="1"/>
  <c r="X1164" i="14"/>
  <c r="E1164" i="14"/>
  <c r="D1164" i="14"/>
  <c r="C1164" i="14"/>
  <c r="B1164" i="14"/>
  <c r="A1164" i="14"/>
  <c r="L174" i="13"/>
  <c r="A174" i="13"/>
  <c r="X1166" i="3"/>
  <c r="D1166" i="3"/>
  <c r="F1167" i="3" s="1"/>
  <c r="W1193" i="3" l="1"/>
  <c r="N1191" i="3"/>
  <c r="N1192" i="3"/>
  <c r="W1192" i="3"/>
  <c r="W1191" i="3"/>
  <c r="N1189" i="3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J1189" i="3" l="1"/>
  <c r="J1190" i="3" s="1"/>
  <c r="J1191" i="3" s="1"/>
  <c r="K1176" i="3"/>
  <c r="K1177" i="3" s="1"/>
  <c r="K1178" i="3" s="1"/>
  <c r="K1179" i="3" s="1"/>
  <c r="G1166" i="3"/>
  <c r="F1163" i="14"/>
  <c r="H1164" i="14" s="1"/>
  <c r="I1164" i="14" s="1"/>
  <c r="J1192" i="3" l="1"/>
  <c r="H1191" i="3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92" i="3" l="1"/>
  <c r="J1193" i="3"/>
  <c r="K1189" i="3"/>
  <c r="H1162" i="14"/>
  <c r="I1162" i="14" s="1"/>
  <c r="L1162" i="14" s="1"/>
  <c r="G1165" i="3"/>
  <c r="AC1193" i="3" s="1"/>
  <c r="F1162" i="14"/>
  <c r="H1163" i="14" s="1"/>
  <c r="I1163" i="14" s="1"/>
  <c r="L1164" i="3"/>
  <c r="Y1164" i="3"/>
  <c r="Z1164" i="3" s="1"/>
  <c r="AA1164" i="3" s="1"/>
  <c r="H1193" i="3" l="1"/>
  <c r="O8" i="16"/>
  <c r="K1190" i="3"/>
  <c r="O9" i="16" s="1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A1160" i="14"/>
  <c r="L170" i="13"/>
  <c r="A170" i="13"/>
  <c r="X1162" i="3"/>
  <c r="D1162" i="3"/>
  <c r="X1159" i="14"/>
  <c r="E1159" i="14"/>
  <c r="D1159" i="14"/>
  <c r="C1159" i="14"/>
  <c r="B1159" i="14"/>
  <c r="A1159" i="14"/>
  <c r="L169" i="13"/>
  <c r="A169" i="13"/>
  <c r="X1161" i="3"/>
  <c r="D1161" i="3"/>
  <c r="H1161" i="14" l="1"/>
  <c r="I1161" i="14" s="1"/>
  <c r="Q1191" i="14"/>
  <c r="R1191" i="14" s="1"/>
  <c r="F1163" i="3"/>
  <c r="Q1193" i="3"/>
  <c r="R1193" i="3" s="1"/>
  <c r="Q8" i="16"/>
  <c r="O10" i="16"/>
  <c r="Q10" i="16" s="1"/>
  <c r="F1162" i="3"/>
  <c r="G1162" i="3" s="1"/>
  <c r="Q1192" i="3"/>
  <c r="R1192" i="3" s="1"/>
  <c r="Y1161" i="14"/>
  <c r="Z1161" i="14" s="1"/>
  <c r="AA1161" i="14" s="1"/>
  <c r="L1161" i="14"/>
  <c r="G1163" i="3"/>
  <c r="L1162" i="3"/>
  <c r="Y1162" i="3"/>
  <c r="Z1162" i="3" s="1"/>
  <c r="AA1162" i="3" s="1"/>
  <c r="F1159" i="14"/>
  <c r="H1160" i="14" l="1"/>
  <c r="I1160" i="14" s="1"/>
  <c r="AC1191" i="14" s="1"/>
  <c r="Q1190" i="14"/>
  <c r="R1190" i="14" s="1"/>
  <c r="AC1191" i="3"/>
  <c r="AC1192" i="3"/>
  <c r="L1163" i="3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l="1"/>
  <c r="Q1191" i="3"/>
  <c r="R1191" i="3" s="1"/>
  <c r="G1161" i="3"/>
  <c r="AC1190" i="3" s="1"/>
  <c r="F1158" i="14"/>
  <c r="H1159" i="14" l="1"/>
  <c r="I1159" i="14" s="1"/>
  <c r="AC1190" i="14" s="1"/>
  <c r="Q1189" i="14"/>
  <c r="R1189" i="14" s="1"/>
  <c r="L1159" i="14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H1158" i="14" l="1"/>
  <c r="I1158" i="14" s="1"/>
  <c r="AC1189" i="14" s="1"/>
  <c r="Q1188" i="14"/>
  <c r="R1188" i="14" s="1"/>
  <c r="F1160" i="3"/>
  <c r="Q1190" i="3"/>
  <c r="R1190" i="3" s="1"/>
  <c r="L1158" i="14"/>
  <c r="Y1158" i="14"/>
  <c r="Z1158" i="14" s="1"/>
  <c r="AA1158" i="14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F1159" i="3" l="1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Y1155" i="14" s="1"/>
  <c r="Z1155" i="14" s="1"/>
  <c r="AA1155" i="14" s="1"/>
  <c r="Q1185" i="14"/>
  <c r="R1185" i="14" s="1"/>
  <c r="F1157" i="3"/>
  <c r="Q1187" i="3"/>
  <c r="R1187" i="3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1" i="3" l="1"/>
  <c r="Z1151" i="3" s="1"/>
  <c r="AA1151" i="3" s="1"/>
  <c r="Y1150" i="3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S1193" i="3" s="1"/>
  <c r="T1193" i="3" s="1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S1192" i="3" s="1"/>
  <c r="T1192" i="3" s="1"/>
  <c r="L25" i="8"/>
  <c r="X1102" i="14"/>
  <c r="E1102" i="14"/>
  <c r="D1102" i="14"/>
  <c r="C1102" i="14"/>
  <c r="B1102" i="14"/>
  <c r="A1102" i="14"/>
  <c r="L110" i="13"/>
  <c r="A110" i="13"/>
  <c r="X1102" i="3"/>
  <c r="D1102" i="3"/>
  <c r="S1191" i="3" s="1"/>
  <c r="T1191" i="3" s="1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Q1134" i="3"/>
  <c r="R1134" i="3" s="1"/>
  <c r="F1103" i="3"/>
  <c r="G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S1191" i="14" s="1"/>
  <c r="T1191" i="14" s="1"/>
  <c r="Q1099" i="3"/>
  <c r="R1099" i="3" s="1"/>
  <c r="Q1099" i="14"/>
  <c r="R1099" i="14" s="1"/>
  <c r="F1099" i="14"/>
  <c r="S1190" i="14" s="1"/>
  <c r="T1190" i="14" s="1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S1189" i="14" s="1"/>
  <c r="T1189" i="14" s="1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L1104" i="3" l="1"/>
  <c r="Y1103" i="3"/>
  <c r="Z1103" i="3" s="1"/>
  <c r="AA1103" i="3" s="1"/>
  <c r="Y1101" i="3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Q1129" i="14"/>
  <c r="R1129" i="14" s="1"/>
  <c r="F1100" i="3"/>
  <c r="G1100" i="3" s="1"/>
  <c r="Q1130" i="3"/>
  <c r="R1130" i="3" s="1"/>
  <c r="H1098" i="14"/>
  <c r="I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91" i="14" l="1"/>
  <c r="AD1193" i="3"/>
  <c r="L1099" i="14"/>
  <c r="AD1190" i="14"/>
  <c r="AD1192" i="3"/>
  <c r="L1098" i="14"/>
  <c r="AD1189" i="14"/>
  <c r="I1102" i="3"/>
  <c r="AD1191" i="3"/>
  <c r="AD1188" i="14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D18" i="16" s="1"/>
  <c r="D4" i="16" s="1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G4" i="16" l="1"/>
  <c r="H4" i="16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X824" i="14"/>
  <c r="F824" i="14"/>
  <c r="X823" i="14"/>
  <c r="F823" i="14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4" i="14" l="1"/>
  <c r="T914" i="14" s="1"/>
  <c r="U1191" i="14"/>
  <c r="V1191" i="14" s="1"/>
  <c r="S913" i="14"/>
  <c r="T913" i="14" s="1"/>
  <c r="U1190" i="14"/>
  <c r="V1190" i="14" s="1"/>
  <c r="H824" i="14"/>
  <c r="I824" i="14" s="1"/>
  <c r="U1189" i="14"/>
  <c r="V1189" i="14" s="1"/>
  <c r="S911" i="14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25" i="14" l="1"/>
  <c r="Z936" i="14"/>
  <c r="AA936" i="14" s="1"/>
  <c r="L816" i="14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38" i="14" l="1"/>
  <c r="AA938" i="14" s="1"/>
  <c r="Z937" i="14"/>
  <c r="AA937" i="14" s="1"/>
  <c r="L823" i="14"/>
  <c r="Z935" i="14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K1189" i="14" s="1"/>
  <c r="K1190" i="14" s="1"/>
  <c r="K1191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AE1191" i="14" l="1"/>
  <c r="O1191" i="14"/>
  <c r="W1191" i="14" s="1"/>
  <c r="P1191" i="14"/>
  <c r="AE1190" i="14"/>
  <c r="O1190" i="14"/>
  <c r="P1190" i="14"/>
  <c r="AE1189" i="14"/>
  <c r="O1189" i="14"/>
  <c r="P1189" i="14"/>
  <c r="O1188" i="14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91" i="14" l="1"/>
  <c r="M1190" i="14"/>
  <c r="M1191" i="14"/>
  <c r="N1190" i="14"/>
  <c r="W1190" i="14"/>
  <c r="M1188" i="14"/>
  <c r="M1189" i="14"/>
  <c r="N1189" i="14"/>
  <c r="W1189" i="14"/>
  <c r="W1188" i="14"/>
  <c r="N1188" i="14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91" i="14" l="1"/>
  <c r="AB1190" i="14"/>
  <c r="AB1189" i="14"/>
  <c r="AB1188" i="14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D828" i="3"/>
  <c r="D829" i="3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8" i="3" l="1"/>
  <c r="T918" i="3" s="1"/>
  <c r="U1193" i="3"/>
  <c r="V1193" i="3" s="1"/>
  <c r="S917" i="3"/>
  <c r="T917" i="3" s="1"/>
  <c r="U1192" i="3"/>
  <c r="V1192" i="3" s="1"/>
  <c r="S916" i="3"/>
  <c r="T916" i="3" s="1"/>
  <c r="U1191" i="3"/>
  <c r="V1191" i="3" s="1"/>
  <c r="S915" i="3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93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91" i="3" l="1"/>
  <c r="AE1192" i="3"/>
  <c r="AE1189" i="3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L938" i="3"/>
  <c r="Y938" i="3"/>
  <c r="L944" i="3"/>
  <c r="Y944" i="3"/>
  <c r="Z944" i="3" s="1"/>
  <c r="AA944" i="3" s="1"/>
  <c r="L922" i="3"/>
  <c r="Y922" i="3"/>
  <c r="L942" i="3"/>
  <c r="Y942" i="3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42" i="3" l="1"/>
  <c r="AA942" i="3" s="1"/>
  <c r="AB1193" i="3"/>
  <c r="Z941" i="3"/>
  <c r="AA941" i="3" s="1"/>
  <c r="AB1192" i="3"/>
  <c r="Z940" i="3"/>
  <c r="AA940" i="3" s="1"/>
  <c r="AB1191" i="3"/>
  <c r="Z939" i="3"/>
  <c r="AA939" i="3" s="1"/>
  <c r="AB1190" i="3"/>
  <c r="Z938" i="3"/>
  <c r="AA938" i="3" s="1"/>
  <c r="AB1189" i="3"/>
  <c r="Z937" i="3"/>
  <c r="AA937" i="3" s="1"/>
  <c r="AB1188" i="3"/>
  <c r="Z936" i="3"/>
  <c r="AA936" i="3" s="1"/>
  <c r="AB1187" i="3"/>
  <c r="Z935" i="3"/>
  <c r="AA935" i="3" s="1"/>
  <c r="AB1185" i="3" s="1"/>
  <c r="AB1186" i="3"/>
  <c r="Z934" i="3"/>
  <c r="AA934" i="3" s="1"/>
  <c r="Z933" i="3"/>
  <c r="AA933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4" i="3" l="1"/>
  <c r="AB1183" i="3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99" i="3" l="1"/>
  <c r="M111" i="3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3" i="3" l="1"/>
  <c r="M1192" i="3"/>
  <c r="W649" i="3"/>
  <c r="M1191" i="3"/>
  <c r="M1190" i="3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<sst xmlns="http://schemas.openxmlformats.org/spreadsheetml/2006/main" count="781" uniqueCount="351">
  <si>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</si>
  <si>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</si>
  <si>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</si>
  <si>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</si>
  <si>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</si>
  <si>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</si>
  <si>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</si>
  <si>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</si>
  <si>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</si>
  <si>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</si>
  <si>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</si>
  <si>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</si>
  <si>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</si>
  <si>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</si>
  <si>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</si>
  <si>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</si>
  <si>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</si>
  <si>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</si>
  <si>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</si>
  <si>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</si>
  <si>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</si>
  <si>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</si>
  <si>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</si>
  <si>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</si>
  <si>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</si>
  <si>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</si>
  <si>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</si>
  <si>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</si>
  <si>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</si>
  <si>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</si>
  <si>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</si>
  <si>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</si>
  <si>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</si>
  <si>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</si>
  <si>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</si>
  <si>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</si>
  <si>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</si>
  <si>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</si>
  <si>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</si>
  <si>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</si>
  <si>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</si>
  <si>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</si>
  <si>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</si>
  <si>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</si>
  <si>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</si>
  <si>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</si>
  <si>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</si>
  <si>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</si>
  <si>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</si>
  <si>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</si>
  <si>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</si>
  <si>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</si>
  <si>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</si>
  <si>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</si>
  <si>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</si>
  <si>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</si>
  <si>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</si>
  <si>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</si>
  <si>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</si>
  <si>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</si>
  <si>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</si>
  <si>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</si>
  <si>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</si>
  <si>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</si>
  <si>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</si>
  <si>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</si>
  <si>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</si>
  <si>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</si>
  <si>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</si>
  <si>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</si>
  <si>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</si>
  <si>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</si>
  <si>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</si>
  <si>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</si>
  <si>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</si>
  <si>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</si>
  <si>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</si>
  <si>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</si>
  <si>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</si>
  <si>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</si>
  <si>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</si>
  <si>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</si>
  <si>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</si>
  <si>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</si>
  <si>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</si>
  <si>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</si>
  <si>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</si>
  <si>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</si>
  <si>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</si>
  <si>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</si>
  <si>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</si>
  <si>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</si>
  <si>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</si>
  <si>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</si>
  <si>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</si>
  <si>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</si>
  <si>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</si>
  <si>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</si>
  <si>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</si>
  <si>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</si>
  <si>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</si>
  <si>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</si>
  <si>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</si>
  <si>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</si>
  <si>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</si>
  <si>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</si>
  <si>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</si>
  <si>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</si>
  <si>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</si>
  <si>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</si>
  <si>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</si>
  <si>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</si>
  <si>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</si>
  <si>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</si>
  <si>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</si>
  <si>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</si>
  <si>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</si>
  <si>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</si>
  <si>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</si>
  <si>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</si>
  <si>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</si>
  <si>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</si>
  <si>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</si>
  <si>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</si>
  <si>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</si>
  <si>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</si>
  <si>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</si>
  <si>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</si>
  <si>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</si>
  <si>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</si>
  <si>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</si>
  <si>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</si>
  <si>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</si>
  <si>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</si>
  <si>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</si>
  <si>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</si>
  <si>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</si>
  <si>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</si>
  <si>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</si>
  <si>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</si>
  <si>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</si>
  <si>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</si>
  <si>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</si>
  <si>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</si>
  <si>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</si>
  <si>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</si>
  <si>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</si>
  <si>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</si>
  <si>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</si>
  <si>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</si>
  <si>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</si>
  <si>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</si>
  <si>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</si>
  <si>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</si>
  <si>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</si>
  <si>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</si>
  <si>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</si>
  <si>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</si>
  <si>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</si>
  <si>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</si>
  <si>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</si>
  <si>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</si>
  <si>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</si>
  <si>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</si>
  <si>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</si>
  <si>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</si>
  <si>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</si>
  <si>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</si>
  <si>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</si>
  <si>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</si>
  <si>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</si>
  <si>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</si>
  <si>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</si>
  <si>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</si>
  <si>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</si>
  <si>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</si>
  <si>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</si>
  <si>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</si>
  <si>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</si>
  <si>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</si>
  <si>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</si>
  <si>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</si>
  <si>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</si>
  <si>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</si>
  <si>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</si>
  <si>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</si>
  <si>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</si>
  <si>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</si>
  <si>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</si>
  <si>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</si>
  <si>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</si>
  <si>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</si>
  <si>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</si>
  <si>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</si>
  <si>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</si>
  <si>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</si>
  <si>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</si>
  <si>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</si>
  <si>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</si>
  <si>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</si>
  <si>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</si>
  <si>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</si>
  <si>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</si>
  <si>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</si>
  <si>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</si>
  <si>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</si>
  <si>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</si>
  <si>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</si>
  <si>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</si>
  <si>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</si>
  <si>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</si>
  <si>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</si>
  <si>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</si>
  <si>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</si>
  <si>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</si>
  <si>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</si>
  <si>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</si>
  <si>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</si>
  <si>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</si>
  <si>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</si>
  <si>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</si>
  <si>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</si>
  <si>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</si>
  <si>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</si>
  <si>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</si>
  <si>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</si>
  <si>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</si>
  <si>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</si>
  <si>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</si>
  <si>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</si>
  <si>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</si>
  <si>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</si>
  <si>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</si>
  <si>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</si>
  <si>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</si>
  <si>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</si>
  <si>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</si>
  <si>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</si>
  <si>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</si>
  <si>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</si>
  <si>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</si>
  <si>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</si>
  <si>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</si>
  <si>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</si>
  <si>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</si>
  <si>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</si>
  <si>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</si>
  <si>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</si>
  <si>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</si>
  <si>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</si>
  <si>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</si>
  <si>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</si>
  <si>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</si>
  <si>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</si>
  <si>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</si>
  <si>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</si>
  <si>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</si>
  <si>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</si>
  <si>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</si>
  <si>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</si>
  <si>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</si>
  <si>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</si>
  <si>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</si>
  <si>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</si>
  <si>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</si>
  <si>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</si>
  <si>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</si>
  <si>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</si>
  <si>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</si>
  <si>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</si>
  <si>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</si>
  <si>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</si>
  <si>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</si>
  <si>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</si>
  <si>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</si>
  <si>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</si>
  <si>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</si>
  <si>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</si>
  <si>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</si>
  <si>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</si>
  <si>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</si>
  <si>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</si>
  <si>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</si>
  <si>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</si>
  <si>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</si>
  <si>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</si>
  <si>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</si>
  <si>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</si>
  <si>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</si>
  <si>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</si>
  <si>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</si>
  <si>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</si>
  <si>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</si>
  <si>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</si>
  <si>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</si>
  <si>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</si>
  <si>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</si>
  <si>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</si>
  <si>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</si>
  <si>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</si>
  <si>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</si>
  <si>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</si>
  <si>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</si>
  <si>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</si>
  <si>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</si>
  <si>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</si>
  <si>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</si>
  <si>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</si>
  <si>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</si>
  <si>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</si>
  <si>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</si>
  <si>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</si>
  <si>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</si>
  <si>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</si>
  <si>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</si>
  <si>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</si>
  <si>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</si>
  <si>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</si>
  <si>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</si>
  <si>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</si>
  <si>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</si>
  <si>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</si>
  <si>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</si>
  <si>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</si>
  <si>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</si>
  <si>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</si>
  <si>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</si>
  <si>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</si>
  <si>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</si>
  <si>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</si>
  <si>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</si>
  <si>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</si>
  <si>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</si>
  <si>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</si>
  <si>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</si>
  <si>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</si>
  <si>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</si>
  <si>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</si>
  <si>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</si>
  <si>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</si>
  <si>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</si>
  <si>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</si>
  <si>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</si>
  <si>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</si>
  <si>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NVDA 16JAN26 110 C</t>
  </si>
  <si>
    <t>NVDA 07FEB25 119 P</t>
  </si>
  <si>
    <t>NVDA 07FEB25 120 P</t>
  </si>
  <si>
    <t>SGOV</t>
  </si>
  <si>
    <t>NVDA 07FEB25 126 C</t>
  </si>
  <si>
    <t>Withholding Tax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</si>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</sst>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Data...4128824252</v>
        <stp/>
        <stp>BDP|13843568691370437419</stp>
        <tr r="G9" s="16"/>
      </tp>
      <tp t="s">
        <v>#N/A Requesting Data...4211623280</v>
        <stp/>
        <stp>BDP|17488990371770934291</stp>
        <tr r="L9" s="16"/>
      </tp>
      <tp t="s">
        <v>#N/A Requesting Data...4251454445</v>
        <stp/>
        <stp>BDP|13727818016546450707</stp>
        <tr r="H10" s="16"/>
      </tp>
      <tp t="s">
        <v>#N/A Requesting Data...3942347235</v>
        <stp/>
        <stp>BDP|11025807958107061305</stp>
        <tr r="D6" s="16"/>
      </tp>
      <tp t="s">
        <v>#N/A Requesting Data...3906064191</v>
        <stp/>
        <stp>BDP|12503804164161346560</stp>
        <tr r="H23" s="4"/>
      </tp>
      <tp t="s">
        <v>#N/A Requesting Data...4180770464</v>
        <stp/>
        <stp>BDP|16037198422009566377</stp>
        <tr r="H7" s="16"/>
      </tp>
      <tp t="s">
        <v>#N/A Requesting Data...4080703687</v>
        <stp/>
        <stp>BDP|14887355760439675744</stp>
        <tr r="G8" s="16"/>
      </tp>
      <tp t="s">
        <v>#N/A Requesting Data...4100840996</v>
        <stp/>
        <stp>BDP|15882609691144832149</stp>
        <tr r="G10" s="16"/>
      </tp>
      <tp t="s">
        <v>#N/A Requesting Data...4156610652</v>
        <stp/>
        <stp>BDP|11927491993173780392</stp>
        <tr r="E7" s="16"/>
      </tp>
      <tp t="s">
        <v>#N/A Requesting Data...3966710091</v>
        <stp/>
        <stp>BDP|18194437827130447215</stp>
        <tr r="K6" s="16"/>
      </tp>
      <tp t="s">
        <v>#N/A Requesting Data...4176839133</v>
        <stp/>
        <stp>BDP|15408295575394886937</stp>
        <tr r="H6" s="16"/>
      </tp>
      <tp t="s">
        <v>#N/A Requesting Data...4262618594</v>
        <stp/>
        <stp>BDP|12868917489186433836</stp>
        <tr r="D22" s="4"/>
      </tp>
      <tp t="s">
        <v>#N/A Requesting Data...3996478257</v>
        <stp/>
        <stp>BDP|11441239167720550763</stp>
        <tr r="G22" s="4"/>
      </tp>
      <tp t="s">
        <v>#N/A Requesting Data...4280290731</v>
        <stp/>
        <stp>BDP|16083383279081530134</stp>
        <tr r="G6" s="16"/>
      </tp>
      <tp t="s">
        <v>#N/A Requesting Data...3892208199</v>
        <stp/>
        <stp>BDP|15571183826414458091</stp>
        <tr r="F23" s="4"/>
      </tp>
      <tp t="s">
        <v>#N/A Requesting Data...4082589595</v>
        <stp/>
        <stp>BDP|16691583684581330968</stp>
        <tr r="F22" s="4"/>
      </tp>
      <tp t="s">
        <v>#N/A Requesting Data...3879220271</v>
        <stp/>
        <stp>BDP|10851542879122214334</stp>
        <tr r="K7" s="16"/>
      </tp>
      <tp t="s">
        <v>#N/A Requesting Data...3855890078</v>
        <stp/>
        <stp>BDP|13033893993631589338</stp>
        <tr r="C24" s="4"/>
      </tp>
      <tp t="s">
        <v>#N/A Requesting Data...4154336003</v>
        <stp/>
        <stp>BDP|17427418226980805092</stp>
        <tr r="E6" s="16"/>
      </tp>
      <tp t="s">
        <v>#N/A Requesting Data...4128064042</v>
        <stp/>
        <stp>BDP|12801142977284637660</stp>
        <tr r="F9" s="16"/>
      </tp>
      <tp t="s">
        <v>#N/A Requesting Data...3898785881</v>
        <stp/>
        <stp>BDP|11395363488884515847</stp>
        <tr r="E22" s="4"/>
      </tp>
      <tp t="s">
        <v>#N/A Requesting Data...4099320491</v>
        <stp/>
        <stp>BDP|11453968001806112847</stp>
        <tr r="L10" s="16"/>
      </tp>
      <tp t="s">
        <v>#N/A Requesting Data...3862261757</v>
        <stp/>
        <stp>BDP|13427178278194281624</stp>
        <tr r="H9" s="16"/>
      </tp>
      <tp t="s">
        <v>#N/A Requesting Data...4256426994</v>
        <stp/>
        <stp>BDP|14662245951000286439</stp>
        <tr r="C22" s="4"/>
      </tp>
      <tp t="s">
        <v>#N/A Requesting Data...3830605259</v>
        <stp/>
        <stp>BDP|16854102045504656375</stp>
        <tr r="K10" s="16"/>
      </tp>
      <tp t="s">
        <v>#N/A Requesting Data...4218637823</v>
        <stp/>
        <stp>BDP|17541570393706762923</stp>
        <tr r="K9" s="16"/>
      </tp>
      <tp t="s">
        <v>#N/A Requesting Data...4046119191</v>
        <stp/>
        <stp>BDP|14476774127851531505</stp>
        <tr r="E9" s="16"/>
      </tp>
      <tp t="s">
        <v>#N/A Requesting Data...3960810425</v>
        <stp/>
        <stp>BDP|16879443774998906816</stp>
        <tr r="K8" s="16"/>
      </tp>
      <tp t="s">
        <v>#N/A Requesting Data...3979846295</v>
        <stp/>
        <stp>BDP|9184051814111053572</stp>
        <tr r="E8" s="16"/>
      </tp>
      <tp t="s">
        <v>#N/A Requesting Data...4251159907</v>
        <stp/>
        <stp>BDP|1413003601749412533</stp>
        <tr r="L6" s="16"/>
      </tp>
      <tp t="s">
        <v>#N/A Requesting Data...3884223520</v>
        <stp/>
        <stp>BDP|8485886604566386829</stp>
        <tr r="H22" s="4"/>
      </tp>
      <tp t="s">
        <v>#N/A Requesting Data...4281429716</v>
        <stp/>
        <stp>BDP|9958272376154164648</stp>
        <tr r="J9" s="16"/>
      </tp>
      <tp t="s">
        <v>#N/A Requesting Data...3857140800</v>
        <stp/>
        <stp>BDP|4155052320638790009</stp>
        <tr r="L7" s="16"/>
      </tp>
      <tp t="s">
        <v>#N/A Requesting Data...4009705333</v>
        <stp/>
        <stp>BDP|4020462511547452937</stp>
        <tr r="F7" s="16"/>
      </tp>
      <tp t="s">
        <v>#N/A Requesting Data...3855785788</v>
        <stp/>
        <stp>BDP|3599663092060873385</stp>
        <tr r="G23" s="4"/>
      </tp>
      <tp t="s">
        <v>#N/A Requesting Data...4217786858</v>
        <stp/>
        <stp>BDP|5197169271935733907</stp>
        <tr r="H8" s="16"/>
      </tp>
      <tp t="s">
        <v>#N/A Requesting Data...4101797494</v>
        <stp/>
        <stp>BDP|2715175043958188031</stp>
        <tr r="C23" s="4"/>
      </tp>
      <tp t="s">
        <v>#N/A Requesting Data...4227569298</v>
        <stp/>
        <stp>BDP|4938759477168674381</stp>
        <tr r="E23" s="4"/>
      </tp>
      <tp t="s">
        <v>#N/A Requesting Data...4039594425</v>
        <stp/>
        <stp>BDP|4120548091556971632</stp>
        <tr r="J8" s="16"/>
      </tp>
      <tp t="s">
        <v>#N/A Requesting Data...4245389385</v>
        <stp/>
        <stp>BDP|6229753396345444597</stp>
        <tr r="J10" s="16"/>
      </tp>
      <tp t="s">
        <v>#N/A Requesting Data...3955141084</v>
        <stp/>
        <stp>BDP|6992386206898388576</stp>
        <tr r="I6" s="16"/>
      </tp>
      <tp t="s">
        <v>#N/A Requesting Data...4243272924</v>
        <stp/>
        <stp>BDP|1440775866201456872</stp>
        <tr r="I10" s="16"/>
      </tp>
      <tp t="s">
        <v>#N/A Requesting Data...3931730820</v>
        <stp/>
        <stp>BDP|2558557980072118785</stp>
        <tr r="I9" s="16"/>
      </tp>
      <tp t="s">
        <v>#N/A Requesting Data...4048466991</v>
        <stp/>
        <stp>BDP|9567764807640019488</stp>
        <tr r="D23" s="4"/>
      </tp>
      <tp t="s">
        <v>#N/A Requesting Data...4116370795</v>
        <stp/>
        <stp>BDP|6919533648008043579</stp>
        <tr r="J6" s="16"/>
      </tp>
      <tp t="s">
        <v>#N/A Requesting Data...4110091220</v>
        <stp/>
        <stp>BDP|1309843736337904909</stp>
        <tr r="G7" s="16"/>
      </tp>
      <tp t="s">
        <v>#N/A Requesting Data...4236581010</v>
        <stp/>
        <stp>BDP|1008282973937479734</stp>
        <tr r="F10" s="16"/>
      </tp>
      <tp t="s">
        <v>#N/A Requesting Data...3958631124</v>
        <stp/>
        <stp>BDP|6402462776015551568</stp>
        <tr r="D7" s="16"/>
      </tp>
      <tp t="s">
        <v>#N/A Requesting Data...4093618948</v>
        <stp/>
        <stp>BDP|3917812088037969338</stp>
        <tr r="I8" s="16"/>
      </tp>
      <tp t="s">
        <v>#N/A Requesting Data...3960542632</v>
        <stp/>
        <stp>BDP|3783811399514793104</stp>
        <tr r="D9" s="16"/>
      </tp>
      <tp t="s">
        <v>#N/A Requesting Data...4086173924</v>
        <stp/>
        <stp>BDP|3813102979953158681</stp>
        <tr r="D8" s="16"/>
      </tp>
      <tp t="s">
        <v>#N/A Requesting Data...4189720613</v>
        <stp/>
        <stp>BDP|3016032546861645645</stp>
        <tr r="L8" s="16"/>
      </tp>
      <tp t="s">
        <v>#N/A Requesting Data...4108677306</v>
        <stp/>
        <stp>BDP|5342164155427751487</stp>
        <tr r="I7" s="16"/>
      </tp>
      <tp t="s">
        <v>#N/A Requesting Data...4287910189</v>
        <stp/>
        <stp>BDP|5398486785213771927</stp>
        <tr r="F8" s="16"/>
      </tp>
      <tp t="s">
        <v>#N/A Requesting Data...4124808625</v>
        <stp/>
        <stp>BDP|2470954931023095833</stp>
        <tr r="J7" s="16"/>
      </tp>
      <tp t="s">
        <v>#N/A Requesting Data...4171705888</v>
        <stp/>
        <stp>BDP|684981373249800382</stp>
        <tr r="E10" s="16"/>
      </tp>
      <tp t="s">
        <v>#N/A Requesting Data...4163430498</v>
        <stp/>
        <stp>BDP|278915754941876425</stp>
        <tr r="D10" s="16"/>
      </tp>
      <tp t="s">
        <v>#N/A Requesting Data...4012642231</v>
        <stp/>
        <stp>BDP|221035956455966991</stp>
        <tr r="F6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NAV'!$A$1169:$A$1493</c:f>
              <c:numCache>
                <c:formatCode>[$-409]d\-mmm\-yy;@</c:formatCode>
                <c:ptCount val="325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  <c:pt idx="22">
                  <c:v>45691</c:v>
                </c:pt>
                <c:pt idx="23">
                  <c:v>45692</c:v>
                </c:pt>
                <c:pt idx="24">
                  <c:v>45693</c:v>
                </c:pt>
              </c:numCache>
            </c:numRef>
          </c:cat>
          <c:val>
            <c:numRef>
              <c:f>'Historical NAV'!$N$1169:$N$1492</c:f>
              <c:numCache>
                <c:formatCode>0.00%;[Red]\(0.00%\)</c:formatCode>
                <c:ptCount val="324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  <c:pt idx="22">
                  <c:v>6.3665020357839941E-2</c:v>
                </c:pt>
                <c:pt idx="23">
                  <c:v>6.4073187512190932E-2</c:v>
                </c:pt>
                <c:pt idx="24">
                  <c:v>6.4832949841735044E-2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NAV'!$A$2:$A$1493</c:f>
              <c:numCache>
                <c:formatCode>[$-409]d\-mmm\-yy;@</c:formatCode>
                <c:ptCount val="1492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  <c:pt idx="1189">
                  <c:v>45691</c:v>
                </c:pt>
                <c:pt idx="1190">
                  <c:v>45692</c:v>
                </c:pt>
                <c:pt idx="1191">
                  <c:v>45693</c:v>
                </c:pt>
              </c:numCache>
            </c:numRef>
          </c:cat>
          <c:val>
            <c:numRef>
              <c:f>'Historical NAV'!$M$2:$M$1492</c:f>
              <c:numCache>
                <c:formatCode>0.00%;[Red]\(0.00%\)</c:formatCode>
                <c:ptCount val="1491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  <c:pt idx="1189">
                  <c:v>0.69669161149702408</c:v>
                </c:pt>
                <c:pt idx="1190">
                  <c:v>0.69734269409692273</c:v>
                </c:pt>
                <c:pt idx="1191">
                  <c:v>0.69855461922992679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Feb</a:t>
            </a:r>
            <a:r>
              <a:rPr lang="en-SG" sz="1800" b="1" baseline="0"/>
              <a:t> 2025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Dashboard!$B$34:$J$34</c:f>
              <c:numCache>
                <c:formatCode>#,##0.00_);[Red]\(#,##0.00\)</c:formatCode>
                <c:ptCount val="9"/>
                <c:pt idx="0">
                  <c:v>0</c:v>
                </c:pt>
                <c:pt idx="1">
                  <c:v>4760</c:v>
                </c:pt>
                <c:pt idx="2">
                  <c:v>0</c:v>
                </c:pt>
                <c:pt idx="3">
                  <c:v>41231.83</c:v>
                </c:pt>
                <c:pt idx="4">
                  <c:v>0</c:v>
                </c:pt>
                <c:pt idx="5">
                  <c:v>0</c:v>
                </c:pt>
                <c:pt idx="6">
                  <c:v>7010.84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232598.66000000041</c:v>
                </c:pt>
                <c:pt idx="2">
                  <c:v>174582.74999999991</c:v>
                </c:pt>
                <c:pt idx="3">
                  <c:v>190476.45999999996</c:v>
                </c:pt>
                <c:pt idx="4">
                  <c:v>1307091.58</c:v>
                </c:pt>
                <c:pt idx="5">
                  <c:v>270528.75</c:v>
                </c:pt>
                <c:pt idx="6">
                  <c:v>901138.15000000014</c:v>
                </c:pt>
                <c:pt idx="7">
                  <c:v>0</c:v>
                </c:pt>
                <c:pt idx="8">
                  <c:v>66808260.410376623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abSelected="1" zoomScale="85" zoomScaleNormal="85" workbookViewId="0">
      <selection activeCell="I57" sqref="I57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45693</v>
      </c>
      <c r="D2" s="91"/>
      <c r="E2" s="92"/>
    </row>
    <row r="3" spans="1:23">
      <c r="A3" t="s">
        <v>164</v>
      </c>
      <c r="B3" s="107">
        <f ca="1">DATE(YEAR(B2), MONTH(B2), 1)</f>
        <v>45689</v>
      </c>
      <c r="D3" s="91"/>
      <c r="E3" s="92"/>
    </row>
    <row r="4" spans="1:23">
      <c r="A4" t="s">
        <v>287</v>
      </c>
      <c r="B4" s="8">
        <f ca="1">OFFSET('Historical NAV'!I1,COUNT('Historical NAV'!A:A),,,)</f>
        <v>7.1401322621462678E-4</v>
      </c>
      <c r="D4" s="91"/>
      <c r="E4" s="92"/>
    </row>
    <row r="5" spans="1:23">
      <c r="A5" t="s">
        <v>66</v>
      </c>
      <c r="B5" s="8">
        <f ca="1">OFFSET('Historical NAV'!K1,COUNT('Historical NAV'!A:A),,,)</f>
        <v>7.1401322621462678E-4</v>
      </c>
      <c r="E5" s="146"/>
    </row>
    <row r="6" spans="1:23">
      <c r="A6" t="s">
        <v>283</v>
      </c>
      <c r="B6" s="8">
        <f ca="1">OFFSET('Historical NAV'!N1,COUNT('Historical NAV'!A:A),,,)</f>
        <v>6.4832949841735044E-2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7.1401322621462678E-4</v>
      </c>
      <c r="D9" t="s">
        <v>188</v>
      </c>
      <c r="E9" s="146">
        <f ca="1">OFFSET('Historical NAV'!B1,COUNT('Historical NAV'!A:A),,,)</f>
        <v>66377104.687559403</v>
      </c>
    </row>
    <row r="10" spans="1:23">
      <c r="A10" t="s">
        <v>181</v>
      </c>
      <c r="B10" s="2">
        <f ca="1">E13/E9</f>
        <v>0.95714611685838513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-0.10522921906970838</v>
      </c>
      <c r="D11" t="s">
        <v>160</v>
      </c>
      <c r="E11" s="8">
        <f ca="1">E10/E9</f>
        <v>0.62629314378322776</v>
      </c>
    </row>
    <row r="12" spans="1:23">
      <c r="A12" t="s">
        <v>147</v>
      </c>
      <c r="B12" s="8">
        <f ca="1">OFFSET('Historical NAV'!T1,COUNT('Historical NAV'!A:A),,,)</f>
        <v>2.1123206608721086E-2</v>
      </c>
    </row>
    <row r="13" spans="1:23">
      <c r="A13" t="s">
        <v>148</v>
      </c>
      <c r="B13" s="8">
        <f ca="1">OFFSET('Historical NAV'!V1,COUNT('Historical NAV'!A:A),,,)</f>
        <v>0.79849045714227029</v>
      </c>
      <c r="D13" s="99" t="s">
        <v>180</v>
      </c>
      <c r="E13" s="152">
        <f>K25</f>
        <v>63532588</v>
      </c>
    </row>
    <row r="14" spans="1:23">
      <c r="A14" t="s">
        <v>125</v>
      </c>
      <c r="B14" s="51">
        <f ca="1">OFFSET('Historical NAV'!W1,COUNT('Historical NAV'!A:A),,,)</f>
        <v>1.5584327058228806</v>
      </c>
      <c r="D14" s="303">
        <v>5.0000000000000001E-3</v>
      </c>
      <c r="E14" s="123">
        <f>(D14*$E$13)/(1-D14)</f>
        <v>319259.23618090455</v>
      </c>
    </row>
    <row r="15" spans="1:23">
      <c r="A15" t="s">
        <v>144</v>
      </c>
      <c r="B15" s="51">
        <f ca="1">OFFSET('Historical NAV'!AB1,COUNT('Historical NAV'!A:A),,,)</f>
        <v>4.0515148461988888</v>
      </c>
      <c r="D15" s="303">
        <v>0.01</v>
      </c>
      <c r="E15" s="123">
        <f>(D15*$E$13)/(1-D15)</f>
        <v>641743.31313131319</v>
      </c>
      <c r="F15" s="133"/>
    </row>
    <row r="16" spans="1:23">
      <c r="A16" t="s">
        <v>145</v>
      </c>
      <c r="B16" s="51">
        <f ca="1">OFFSET('Historical NAV'!P1,COUNT('Historical NAV'!A:A),,,)</f>
        <v>0.47766191312937256</v>
      </c>
      <c r="D16" s="303">
        <v>1.4999999999999999E-2</v>
      </c>
      <c r="E16" s="123">
        <f>(D16*$E$13)/(1-D16)</f>
        <v>967501.34010152286</v>
      </c>
      <c r="F16" s="169"/>
    </row>
    <row r="17" spans="1:23">
      <c r="A17" t="s">
        <v>185</v>
      </c>
      <c r="B17" s="51">
        <f ca="1">OFFSET('Historical NAV'!AC1,COUNT('Historical NAV'!A:A),,,)</f>
        <v>-4.6240037404950848E-2</v>
      </c>
      <c r="D17" s="303">
        <v>0.05</v>
      </c>
      <c r="E17" s="123">
        <f>(D17*$E$13)/(1-D17)</f>
        <v>3343820.4210526319</v>
      </c>
    </row>
    <row r="18" spans="1:23">
      <c r="A18" t="s">
        <v>186</v>
      </c>
      <c r="B18" s="51">
        <f ca="1">OFFSET('Historical NAV'!AD1,COUNT('Historical NAV'!A:A),,,)</f>
        <v>-3.8636092314228231E-2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-4.8722256408918994E-2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1</v>
      </c>
      <c r="D24" s="94">
        <f>COUNTIF('Mark to Market'!$B$3:$B$1028,D23)</f>
        <v>0</v>
      </c>
      <c r="E24" s="94">
        <f>COUNTIF('Mark to Market'!$B$3:$B$1028,E23)</f>
        <v>2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4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7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124830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63407448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310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63532588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124830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1.9648184330221209E-3</v>
      </c>
      <c r="D26" s="103">
        <f>D25/$K$25</f>
        <v>0</v>
      </c>
      <c r="E26" s="103">
        <f>E25/$K$25</f>
        <v>0.99803030218129951</v>
      </c>
      <c r="F26" s="103">
        <f t="shared" si="0"/>
        <v>0</v>
      </c>
      <c r="G26" s="103">
        <f t="shared" si="0"/>
        <v>0</v>
      </c>
      <c r="H26" s="103">
        <f t="shared" si="0"/>
        <v>4.8793856784175078E-6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1.9648184330221209E-3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1.8806183334989001E-3</v>
      </c>
      <c r="D27" s="165">
        <f ca="1">D25/$E$9</f>
        <v>0</v>
      </c>
      <c r="E27" s="165">
        <f t="shared" ref="E27:K27" ca="1" si="1">E25/$E$9</f>
        <v>0.95526082823983149</v>
      </c>
      <c r="F27" s="165">
        <f t="shared" ca="1" si="1"/>
        <v>0</v>
      </c>
      <c r="G27" s="165">
        <f t="shared" ca="1" si="1"/>
        <v>0</v>
      </c>
      <c r="H27" s="165">
        <f t="shared" ca="1" si="1"/>
        <v>4.6702850547517352E-6</v>
      </c>
      <c r="I27" s="165">
        <f t="shared" ca="1" si="1"/>
        <v>0</v>
      </c>
      <c r="J27" s="165">
        <f t="shared" ca="1" si="1"/>
        <v>0</v>
      </c>
      <c r="K27" s="165">
        <f t="shared" ca="1" si="1"/>
        <v>0.95714611685838513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6180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31861.93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7914.84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45956.770000000004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66808260.410376623</v>
      </c>
      <c r="K33" s="154">
        <f t="shared" ref="K33:K44" si="2">SUM(B33:J33)</f>
        <v>71448353.880376622</v>
      </c>
      <c r="L33" s="154" t="e">
        <f>SUM(Email!$T$9:$T$11)-K33</f>
        <v>#N/A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4760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41231.83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7010.84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53002.67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343</v>
      </c>
      <c r="B45" s="164">
        <f t="shared" ref="B45:I45" si="3">SUM(B33:B44)</f>
        <v>1616679.7899999998</v>
      </c>
      <c r="C45" s="164">
        <f>SUM(C33:C44)</f>
        <v>232598.66000000041</v>
      </c>
      <c r="D45" s="164">
        <f>SUM(D33:D44)</f>
        <v>174582.74999999991</v>
      </c>
      <c r="E45" s="164">
        <f t="shared" si="3"/>
        <v>190476.45999999996</v>
      </c>
      <c r="F45" s="164">
        <f t="shared" si="3"/>
        <v>1307091.58</v>
      </c>
      <c r="G45" s="164">
        <f t="shared" si="3"/>
        <v>270528.75</v>
      </c>
      <c r="H45" s="164">
        <f t="shared" si="3"/>
        <v>901138.15000000014</v>
      </c>
      <c r="I45" s="164">
        <f t="shared" si="3"/>
        <v>0</v>
      </c>
      <c r="J45" s="164">
        <f>SUM(J33:J44)</f>
        <v>66808260.410376623</v>
      </c>
      <c r="K45" s="164">
        <f>SUM(K33:K44)</f>
        <v>71501356.550376624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1.0561657994711431</v>
      </c>
      <c r="K50" s="299">
        <f>K33/'Historical NAV'!$B$1169</f>
        <v>1.1295206211542745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8"/>
  <sheetViews>
    <sheetView zoomScale="85" zoomScaleNormal="85" workbookViewId="0">
      <pane xSplit="1" ySplit="1" topLeftCell="B1168" activePane="bottomRight" state="frozen"/>
      <selection pane="topRight" activeCell="B1" sqref="B1"/>
      <selection pane="bottomLeft" activeCell="A2" sqref="A2"/>
      <selection pane="bottomRight" activeCell="J1197" sqref="J1197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3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 s="47" customFormat="1">
      <c r="A1190" s="90">
        <v>45688</v>
      </c>
      <c r="B1190" s="137">
        <v>66302018.384809397</v>
      </c>
      <c r="C1190" s="135"/>
      <c r="D1190" s="80">
        <f t="shared" ref="D1190" si="1077">B1190</f>
        <v>66302018.384809397</v>
      </c>
      <c r="E1190" s="80">
        <f t="shared" ref="E1190" si="1078">IF(MONTH(A1190)=MONTH(A1189),E1189,D1189)</f>
        <v>71204832.621444106</v>
      </c>
      <c r="F1190" s="80">
        <f t="shared" ref="F1190" si="1079">B1190-C1190-D1189</f>
        <v>-5171.242405205965</v>
      </c>
      <c r="G1190" s="81">
        <f t="shared" ref="G1190" si="1080">F1190/B1189</f>
        <v>-7.7989165794526764E-5</v>
      </c>
      <c r="H1190" s="80">
        <f t="shared" ref="H1190" si="1081">IF(WEEKNUM(A1190)=WEEKNUM(A1189),H1189+F1190,F1190)</f>
        <v>-5431723.2288844064</v>
      </c>
      <c r="I1190" s="81">
        <f t="shared" ref="I1190" si="1082">IF(WEEKNUM(A1190)=WEEKNUM(A1189),I1189+G1190,G1190)</f>
        <v>-7.5725628624462499E-2</v>
      </c>
      <c r="J1190" s="80">
        <f t="shared" ref="J1190" si="1083">IF(MONTH(A1190)=MONTH(A1189),J1189+F1190,F1190)</f>
        <v>4097185.7633652985</v>
      </c>
      <c r="K1190" s="81">
        <f t="shared" ref="K1190" si="1084">(1+K1189)*(1+G1190)-1</f>
        <v>6.3628402436024079E-2</v>
      </c>
      <c r="L1190" s="81">
        <f t="shared" ref="L1190" si="1085">1+G1190</f>
        <v>0.99992201083420551</v>
      </c>
      <c r="M1190" s="81">
        <f>PRODUCT($L$2:L1190)-1</f>
        <v>0.69663320088880987</v>
      </c>
      <c r="N1190" s="81">
        <f>PRODUCT($L$1169:L1190)-1</f>
        <v>6.3628402436024079E-2</v>
      </c>
      <c r="O1190" s="81">
        <f>AVERAGE($G$1169:G1190)*252</f>
        <v>0.83294500237576108</v>
      </c>
      <c r="P1190" s="81">
        <f>STDEV($G$1169:G1190)*252^0.5</f>
        <v>0.51037335158342456</v>
      </c>
      <c r="Q1190" s="80">
        <f t="shared" ref="Q1190" si="1086">B1190-C1190-D1159</f>
        <v>-4041047.8876743987</v>
      </c>
      <c r="R1190" s="81">
        <f t="shared" ref="R1190" si="1087">Q1190/B1159</f>
        <v>-5.7447707383423252E-2</v>
      </c>
      <c r="S1190" s="80">
        <f t="shared" ref="S1190" si="1088">B1190-C1190-D1101</f>
        <v>701444.3208277002</v>
      </c>
      <c r="T1190" s="81">
        <f t="shared" ref="T1190" si="1089">S1190/B1099</f>
        <v>1.0780149336231559E-2</v>
      </c>
      <c r="U1190" s="80">
        <f t="shared" ref="U1190" si="1090">B1190-C1190-D826</f>
        <v>29601288.564809397</v>
      </c>
      <c r="V1190" s="81">
        <f t="shared" ref="V1190" si="1091">U1190/B824</f>
        <v>0.79226472426690375</v>
      </c>
      <c r="W1190" s="136">
        <f t="shared" ref="W1190" si="1092">O1190/P1190</f>
        <v>1.6320307472785629</v>
      </c>
      <c r="X1190" s="143">
        <f t="shared" si="656"/>
        <v>1.7857142857142857E-4</v>
      </c>
      <c r="Y1190" s="140">
        <f t="shared" ref="Y1190" si="1093">G1190-X1190</f>
        <v>-2.5656059436595535E-4</v>
      </c>
      <c r="Z1190" s="140">
        <f t="shared" ref="Z1190" si="1094">IF(Y1190&lt;0,Y1190,0)</f>
        <v>-2.5656059436595535E-4</v>
      </c>
      <c r="AA1190" s="140">
        <f t="shared" ref="AA1190" si="1095">Z1190^2</f>
        <v>6.5823338581412284E-8</v>
      </c>
      <c r="AB1190" s="145">
        <f t="shared" ref="AB1190" si="1096">AVERAGE(Y939:Y1190)/AVERAGE(AA939:AA1190)</f>
        <v>4.0780196067956185</v>
      </c>
      <c r="AC1190" s="145">
        <f t="shared" ref="AC1190" si="1097">AVERAGE(G1161:G1190)-_xlfn.NORM.S.INV(0.95)*_xlfn.STDEV.S(G1161:G1190)</f>
        <v>-4.5606073649123328E-2</v>
      </c>
      <c r="AD1190" s="145">
        <f t="shared" ref="AD1190" si="1098">AVERAGE(G1101:G1190)-_xlfn.NORM.S.INV(0.95)*_xlfn.STDEV.S(G1101:G1190)</f>
        <v>-3.9939540949735591E-2</v>
      </c>
      <c r="AE1190" s="145">
        <f t="shared" ref="AE1190" si="1099">AVERAGE(G826:G1190)-_xlfn.NORM.S.INV(0.95)*_xlfn.STDEV.S(G826:G1190)</f>
        <v>-4.8803140037362629E-2</v>
      </c>
    </row>
    <row r="1191" spans="1:31">
      <c r="A1191" s="88">
        <v>45691</v>
      </c>
      <c r="B1191" s="78">
        <v>66304300.988508098</v>
      </c>
      <c r="D1191" s="67">
        <f t="shared" ref="D1191" si="1100">B1191</f>
        <v>66304300.988508098</v>
      </c>
      <c r="E1191" s="67">
        <f t="shared" ref="E1191" si="1101">IF(MONTH(A1191)=MONTH(A1190),E1190,D1190)</f>
        <v>66302018.384809397</v>
      </c>
      <c r="F1191" s="67">
        <f t="shared" ref="F1191" si="1102">B1191-C1191-D1190</f>
        <v>2282.6036987006664</v>
      </c>
      <c r="G1191" s="70">
        <f t="shared" ref="G1191" si="1103">F1191/B1190</f>
        <v>3.4427363665653338E-5</v>
      </c>
      <c r="H1191" s="272">
        <f>J1191</f>
        <v>2282.6036987006664</v>
      </c>
      <c r="I1191" s="271">
        <f>K1191</f>
        <v>3.4427363665653338E-5</v>
      </c>
      <c r="J1191" s="67">
        <f t="shared" ref="J1191" si="1104">IF(MONTH(A1191)=MONTH(A1190),J1190+F1191,F1191)</f>
        <v>2282.6036987006664</v>
      </c>
      <c r="K1191" s="85">
        <f>G1191</f>
        <v>3.4427363665653338E-5</v>
      </c>
      <c r="L1191" s="70">
        <f t="shared" ref="L1191" si="1105">1+G1191</f>
        <v>1.0000344273636657</v>
      </c>
      <c r="M1191" s="70">
        <f>PRODUCT($L$2:L1191)-1</f>
        <v>0.69669161149702408</v>
      </c>
      <c r="N1191" s="70">
        <f>PRODUCT($L$1169:L1191)-1</f>
        <v>6.3665020357839941E-2</v>
      </c>
      <c r="O1191" s="70">
        <f>AVERAGE($G$1169:G1191)*252</f>
        <v>0.79710720643089084</v>
      </c>
      <c r="P1191" s="70">
        <f>STDEV($G$1169:G1191)*252^0.5</f>
        <v>0.49875659059705174</v>
      </c>
      <c r="Q1191" s="67">
        <f t="shared" ref="Q1191" si="1106">B1191-C1191-D1160</f>
        <v>-3357454.7617286965</v>
      </c>
      <c r="R1191" s="70">
        <f t="shared" ref="R1191" si="1107">Q1191/B1160</f>
        <v>-4.8196528002630537E-2</v>
      </c>
      <c r="S1191" s="67">
        <f t="shared" ref="S1191" si="1108">B1191-C1191-D1102</f>
        <v>838147.46800670028</v>
      </c>
      <c r="T1191" s="70">
        <f t="shared" ref="T1191" si="1109">S1191/B1100</f>
        <v>1.252107946520228E-2</v>
      </c>
      <c r="U1191" s="67">
        <f t="shared" ref="U1191" si="1110">B1191-C1191-D827</f>
        <v>29883401.668508098</v>
      </c>
      <c r="V1191" s="70">
        <f t="shared" ref="V1191" si="1111">U1191/B825</f>
        <v>0.8020380310497639</v>
      </c>
      <c r="W1191" s="87">
        <f t="shared" ref="W1191" si="1112">O1191/P1191</f>
        <v>1.598188818871926</v>
      </c>
      <c r="X1191" s="142">
        <f t="shared" si="656"/>
        <v>1.7857142857142857E-4</v>
      </c>
      <c r="Y1191" s="139">
        <f t="shared" ref="Y1191" si="1113">G1191-X1191</f>
        <v>-1.4414406490577522E-4</v>
      </c>
      <c r="Z1191" s="139">
        <f t="shared" ref="Z1191" si="1114">IF(Y1191&lt;0,Y1191,0)</f>
        <v>-1.4414406490577522E-4</v>
      </c>
      <c r="AA1191" s="139">
        <f t="shared" ref="AA1191" si="1115">Z1191^2</f>
        <v>2.077751144756034E-8</v>
      </c>
      <c r="AB1191" s="144">
        <f t="shared" ref="AB1191" si="1116">AVERAGE(Y940:Y1191)/AVERAGE(AA940:AA1191)</f>
        <v>4.0143577170790987</v>
      </c>
      <c r="AC1191" s="144">
        <f t="shared" ref="AC1191" si="1117">AVERAGE(G1162:G1191)-_xlfn.NORM.S.INV(0.95)*_xlfn.STDEV.S(G1162:G1191)</f>
        <v>-4.5802219713923849E-2</v>
      </c>
      <c r="AD1191" s="144">
        <f t="shared" ref="AD1191" si="1118">AVERAGE(G1102:G1191)-_xlfn.NORM.S.INV(0.95)*_xlfn.STDEV.S(G1102:G1191)</f>
        <v>-3.9541914750510269E-2</v>
      </c>
      <c r="AE1191" s="144">
        <f t="shared" ref="AE1191" si="1119">AVERAGE(G827:G1191)-_xlfn.NORM.S.INV(0.95)*_xlfn.STDEV.S(G827:G1191)</f>
        <v>-4.8740704614063053E-2</v>
      </c>
    </row>
    <row r="1192" spans="1:31">
      <c r="A1192" s="88">
        <v>45692</v>
      </c>
      <c r="B1192" s="78">
        <v>66329744.372785799</v>
      </c>
      <c r="D1192" s="67">
        <f t="shared" ref="D1192" si="1120">B1192</f>
        <v>66329744.372785799</v>
      </c>
      <c r="E1192" s="67">
        <f t="shared" ref="E1192" si="1121">IF(MONTH(A1192)=MONTH(A1191),E1191,D1191)</f>
        <v>66302018.384809397</v>
      </c>
      <c r="F1192" s="67">
        <f t="shared" ref="F1192" si="1122">B1192-C1192-D1191</f>
        <v>25443.384277701378</v>
      </c>
      <c r="G1192" s="70">
        <f t="shared" ref="G1192" si="1123">F1192/B1191</f>
        <v>3.8373655853956201E-4</v>
      </c>
      <c r="H1192" s="272">
        <f>J1192</f>
        <v>27725.987976402044</v>
      </c>
      <c r="I1192" s="271">
        <f>K1192</f>
        <v>3.8373655853956201E-4</v>
      </c>
      <c r="J1192" s="67">
        <f t="shared" ref="J1192" si="1124">IF(MONTH(A1192)=MONTH(A1191),J1191+F1192,F1192)</f>
        <v>27725.987976402044</v>
      </c>
      <c r="K1192" s="85">
        <f>G1192</f>
        <v>3.8373655853956201E-4</v>
      </c>
      <c r="L1192" s="70">
        <f t="shared" ref="L1192" si="1125">1+G1192</f>
        <v>1.0003837365585395</v>
      </c>
      <c r="M1192" s="70">
        <f>PRODUCT($L$2:L1192)-1</f>
        <v>0.69734269409692273</v>
      </c>
      <c r="N1192" s="70">
        <f>PRODUCT($L$1169:L1192)-1</f>
        <v>6.4073187512190932E-2</v>
      </c>
      <c r="O1192" s="70">
        <f>AVERAGE($G$1169:G1192)*252</f>
        <v>0.76792364002760238</v>
      </c>
      <c r="P1192" s="70">
        <f>STDEV($G$1169:G1192)*252^0.5</f>
        <v>0.48787670362278551</v>
      </c>
      <c r="Q1192" s="67">
        <f t="shared" ref="Q1192" si="1126">B1192-C1192-D1161</f>
        <v>-5687630.8624077961</v>
      </c>
      <c r="R1192" s="70">
        <f t="shared" ref="R1192" si="1127">Q1192/B1161</f>
        <v>-7.8975814431353417E-2</v>
      </c>
      <c r="S1192" s="67">
        <f t="shared" ref="S1192" si="1128">B1192-C1192-D1103</f>
        <v>3095815.0129831955</v>
      </c>
      <c r="T1192" s="70">
        <f t="shared" ref="T1192" si="1129">S1192/B1101</f>
        <v>4.719188905212595E-2</v>
      </c>
      <c r="U1192" s="67">
        <f t="shared" ref="U1192" si="1130">B1192-C1192-D828</f>
        <v>29742296.202785797</v>
      </c>
      <c r="V1192" s="70">
        <f t="shared" ref="V1192" si="1131">U1192/B826</f>
        <v>0.81040067455491804</v>
      </c>
      <c r="W1192" s="87">
        <f t="shared" ref="W1192" si="1132">O1192/P1192</f>
        <v>1.5740117007540955</v>
      </c>
      <c r="X1192" s="142">
        <f t="shared" si="656"/>
        <v>1.7857142857142857E-4</v>
      </c>
      <c r="Y1192" s="139">
        <f t="shared" ref="Y1192" si="1133">G1192-X1192</f>
        <v>2.0516512996813344E-4</v>
      </c>
      <c r="Z1192" s="139">
        <f t="shared" ref="Z1192" si="1134">IF(Y1192&lt;0,Y1192,0)</f>
        <v>0</v>
      </c>
      <c r="AA1192" s="139">
        <f t="shared" ref="AA1192" si="1135">Z1192^2</f>
        <v>0</v>
      </c>
      <c r="AB1192" s="144">
        <f t="shared" ref="AB1192" si="1136">AVERAGE(Y941:Y1192)/AVERAGE(AA941:AA1192)</f>
        <v>4.2020843650905375</v>
      </c>
      <c r="AC1192" s="144">
        <f t="shared" ref="AC1192" si="1137">AVERAGE(G1163:G1192)-_xlfn.NORM.S.INV(0.95)*_xlfn.STDEV.S(G1163:G1192)</f>
        <v>-4.5996939819967948E-2</v>
      </c>
      <c r="AD1192" s="144">
        <f t="shared" ref="AD1192" si="1138">AVERAGE(G1103:G1192)-_xlfn.NORM.S.INV(0.95)*_xlfn.STDEV.S(G1103:G1192)</f>
        <v>-3.9509575135292269E-2</v>
      </c>
      <c r="AE1192" s="144">
        <f t="shared" ref="AE1192" si="1139">AVERAGE(G828:G1192)-_xlfn.NORM.S.INV(0.95)*_xlfn.STDEV.S(G828:G1192)</f>
        <v>-4.8711894365833952E-2</v>
      </c>
    </row>
    <row r="1193" spans="1:31">
      <c r="A1193" s="88">
        <v>45693</v>
      </c>
      <c r="B1193" s="78">
        <v>66377104.687559403</v>
      </c>
      <c r="D1193" s="67">
        <f t="shared" ref="D1193" si="1140">B1193</f>
        <v>66377104.687559403</v>
      </c>
      <c r="E1193" s="67">
        <f t="shared" ref="E1193" si="1141">IF(MONTH(A1193)=MONTH(A1192),E1192,D1192)</f>
        <v>66302018.384809397</v>
      </c>
      <c r="F1193" s="67">
        <f t="shared" ref="F1193" si="1142">B1193-C1193-D1192</f>
        <v>47360.314773604274</v>
      </c>
      <c r="G1193" s="70">
        <f t="shared" ref="G1193" si="1143">F1193/B1192</f>
        <v>7.1401322621462678E-4</v>
      </c>
      <c r="H1193" s="272">
        <f>J1193</f>
        <v>75086.302750006318</v>
      </c>
      <c r="I1193" s="271">
        <f>K1193</f>
        <v>7.1401322621462678E-4</v>
      </c>
      <c r="J1193" s="67">
        <f t="shared" ref="J1193" si="1144">IF(MONTH(A1193)=MONTH(A1192),J1192+F1193,F1193)</f>
        <v>75086.302750006318</v>
      </c>
      <c r="K1193" s="85">
        <f>G1193</f>
        <v>7.1401322621462678E-4</v>
      </c>
      <c r="L1193" s="70">
        <f t="shared" ref="L1193" si="1145">1+G1193</f>
        <v>1.0007140132262147</v>
      </c>
      <c r="M1193" s="70">
        <f>PRODUCT($L$2:L1193)-1</f>
        <v>0.69855461922992679</v>
      </c>
      <c r="N1193" s="70">
        <f>PRODUCT($L$1169:L1193)-1</f>
        <v>6.4832949841735044E-2</v>
      </c>
      <c r="O1193" s="70">
        <f>AVERAGE($G$1169:G1193)*252</f>
        <v>0.74440394774674179</v>
      </c>
      <c r="P1193" s="70">
        <f>STDEV($G$1169:G1193)*252^0.5</f>
        <v>0.47766191312937256</v>
      </c>
      <c r="Q1193" s="67">
        <f t="shared" ref="Q1193" si="1146">B1193-C1193-D1162</f>
        <v>-7806257.2440262958</v>
      </c>
      <c r="R1193" s="70">
        <f t="shared" ref="R1193" si="1147">Q1193/B1162</f>
        <v>-0.10522921906970838</v>
      </c>
      <c r="S1193" s="67">
        <f t="shared" ref="S1193" si="1148">B1193-C1193-D1104</f>
        <v>1382855.0866918042</v>
      </c>
      <c r="T1193" s="70">
        <f t="shared" ref="T1193" si="1149">S1193/B1102</f>
        <v>2.1123206608721086E-2</v>
      </c>
      <c r="U1193" s="67">
        <f t="shared" ref="U1193" si="1150">B1193-C1193-D829</f>
        <v>29081740.547559403</v>
      </c>
      <c r="V1193" s="70">
        <f t="shared" ref="V1193" si="1151">U1193/B827</f>
        <v>0.79849045714227029</v>
      </c>
      <c r="W1193" s="87">
        <f t="shared" ref="W1193" si="1152">O1193/P1193</f>
        <v>1.5584327058228806</v>
      </c>
      <c r="X1193" s="142">
        <f t="shared" si="656"/>
        <v>1.7857142857142857E-4</v>
      </c>
      <c r="Y1193" s="139">
        <f t="shared" ref="Y1193" si="1153">G1193-X1193</f>
        <v>5.3544179764319823E-4</v>
      </c>
      <c r="Z1193" s="139">
        <f t="shared" ref="Z1193" si="1154">IF(Y1193&lt;0,Y1193,0)</f>
        <v>0</v>
      </c>
      <c r="AA1193" s="139">
        <f t="shared" ref="AA1193" si="1155">Z1193^2</f>
        <v>0</v>
      </c>
      <c r="AB1193" s="144">
        <f t="shared" ref="AB1193" si="1156">AVERAGE(Y942:Y1193)/AVERAGE(AA942:AA1193)</f>
        <v>4.0515148461988888</v>
      </c>
      <c r="AC1193" s="144">
        <f t="shared" ref="AC1193" si="1157">AVERAGE(G1164:G1193)-_xlfn.NORM.S.INV(0.95)*_xlfn.STDEV.S(G1164:G1193)</f>
        <v>-4.6240037404950848E-2</v>
      </c>
      <c r="AD1193" s="144">
        <f t="shared" ref="AD1193" si="1158">AVERAGE(G1104:G1193)-_xlfn.NORM.S.INV(0.95)*_xlfn.STDEV.S(G1104:G1193)</f>
        <v>-3.8636092314228231E-2</v>
      </c>
      <c r="AE1193" s="144">
        <f t="shared" ref="AE1193" si="1159">AVERAGE(G829:G1193)-_xlfn.NORM.S.INV(0.95)*_xlfn.STDEV.S(G829:G1193)</f>
        <v>-4.8722256408918994E-2</v>
      </c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B1212" s="7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B1213" s="7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A1214" s="88"/>
      <c r="B1214" s="78"/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A1215" s="88"/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A1216" s="88"/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4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4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4:31">
      <c r="D1236" s="67"/>
      <c r="E1236" s="67"/>
      <c r="F1236" s="67"/>
      <c r="G1236" s="70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4:31">
      <c r="D1237" s="67"/>
      <c r="E1237" s="67"/>
      <c r="F1237" s="67"/>
      <c r="G1237" s="70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4:31">
      <c r="D1238" s="67"/>
      <c r="E1238" s="67"/>
      <c r="F1238" s="67"/>
      <c r="G1238" s="70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88</v>
      </c>
      <c r="B3" s="153" t="s">
        <v>23</v>
      </c>
      <c r="C3" s="153" t="s">
        <v>38</v>
      </c>
      <c r="D3" s="153">
        <v>1000</v>
      </c>
      <c r="E3" s="153">
        <v>124.83</v>
      </c>
      <c r="F3" s="153">
        <v>124830</v>
      </c>
      <c r="G3" s="153">
        <v>1</v>
      </c>
      <c r="H3" s="153">
        <v>124830</v>
      </c>
      <c r="I3" s="218">
        <v>0.2</v>
      </c>
      <c r="J3"/>
      <c r="K3"/>
    </row>
    <row r="4" spans="1:11">
      <c r="A4" s="221" t="s">
        <v>345</v>
      </c>
      <c r="B4" s="153" t="s">
        <v>140</v>
      </c>
      <c r="C4" s="153" t="s">
        <v>38</v>
      </c>
      <c r="D4" s="153">
        <v>-10</v>
      </c>
      <c r="E4" s="153">
        <v>0.47</v>
      </c>
      <c r="F4" s="153">
        <v>-4.6999999999999993</v>
      </c>
      <c r="G4" s="153">
        <v>1</v>
      </c>
      <c r="H4" s="153">
        <v>-4.7</v>
      </c>
      <c r="I4" s="218">
        <v>0</v>
      </c>
      <c r="J4"/>
      <c r="K4"/>
    </row>
    <row r="5" spans="1:11">
      <c r="A5" s="221" t="s">
        <v>346</v>
      </c>
      <c r="B5" s="153" t="s">
        <v>140</v>
      </c>
      <c r="C5" s="153" t="s">
        <v>38</v>
      </c>
      <c r="D5" s="153">
        <v>-5</v>
      </c>
      <c r="E5" s="153">
        <v>0.62</v>
      </c>
      <c r="F5" s="153">
        <v>-3.1</v>
      </c>
      <c r="G5" s="153">
        <v>1</v>
      </c>
      <c r="H5" s="153">
        <v>-3.1</v>
      </c>
      <c r="I5" s="218">
        <v>0</v>
      </c>
      <c r="J5"/>
      <c r="K5"/>
    </row>
    <row r="6" spans="1:11">
      <c r="A6" s="221" t="s">
        <v>348</v>
      </c>
      <c r="B6" s="153" t="s">
        <v>140</v>
      </c>
      <c r="C6" s="153" t="s">
        <v>38</v>
      </c>
      <c r="D6" s="153">
        <v>-10</v>
      </c>
      <c r="E6" s="153">
        <v>1.72</v>
      </c>
      <c r="F6" s="153">
        <v>-17.2</v>
      </c>
      <c r="G6" s="153">
        <v>1</v>
      </c>
      <c r="H6" s="153">
        <v>-17.2</v>
      </c>
      <c r="I6" s="218">
        <v>0</v>
      </c>
      <c r="J6"/>
      <c r="K6"/>
    </row>
    <row r="7" spans="1:11">
      <c r="A7" s="221" t="s">
        <v>344</v>
      </c>
      <c r="B7" s="153" t="s">
        <v>140</v>
      </c>
      <c r="C7" s="153" t="s">
        <v>38</v>
      </c>
      <c r="D7" s="153">
        <v>10</v>
      </c>
      <c r="E7" s="153">
        <v>33.5</v>
      </c>
      <c r="F7" s="153">
        <v>335</v>
      </c>
      <c r="G7" s="153">
        <v>1</v>
      </c>
      <c r="H7" s="153">
        <v>335</v>
      </c>
      <c r="I7" s="218">
        <v>0</v>
      </c>
      <c r="J7"/>
      <c r="K7"/>
    </row>
    <row r="8" spans="1:11">
      <c r="A8" s="221" t="s">
        <v>347</v>
      </c>
      <c r="B8" s="153" t="s">
        <v>42</v>
      </c>
      <c r="C8" s="153" t="s">
        <v>38</v>
      </c>
      <c r="D8" s="153">
        <v>631800</v>
      </c>
      <c r="E8" s="153">
        <v>100.36</v>
      </c>
      <c r="F8" s="153">
        <v>63407448</v>
      </c>
      <c r="G8" s="153">
        <v>1</v>
      </c>
      <c r="H8" s="153">
        <v>63407448</v>
      </c>
      <c r="I8" s="218">
        <v>99.8</v>
      </c>
      <c r="J8"/>
      <c r="K8"/>
    </row>
    <row r="9" spans="1:11">
      <c r="A9" s="221" t="s">
        <v>104</v>
      </c>
      <c r="B9" s="153" t="s">
        <v>42</v>
      </c>
      <c r="C9" s="153" t="s">
        <v>38</v>
      </c>
      <c r="D9" s="153">
        <v>0</v>
      </c>
      <c r="E9" s="153">
        <v>81.040000000000006</v>
      </c>
      <c r="F9" s="153">
        <v>0</v>
      </c>
      <c r="G9" s="153">
        <v>1</v>
      </c>
      <c r="H9" s="153">
        <v>0</v>
      </c>
      <c r="I9" s="218">
        <v>0</v>
      </c>
      <c r="J9"/>
      <c r="K9"/>
    </row>
    <row r="10" spans="1:11">
      <c r="A10" s="221"/>
      <c r="B10" s="153"/>
      <c r="C10" s="153"/>
      <c r="D10" s="153"/>
      <c r="E10" s="153"/>
      <c r="F10" s="153"/>
      <c r="G10" s="153"/>
      <c r="H10" s="153"/>
      <c r="I10" s="218"/>
      <c r="J10"/>
      <c r="K10"/>
    </row>
    <row r="11" spans="1:11">
      <c r="A11" s="221"/>
      <c r="B11" s="153"/>
      <c r="C11" s="153"/>
      <c r="D11" s="153"/>
      <c r="E11" s="153"/>
      <c r="F11" s="153"/>
      <c r="G11" s="153"/>
      <c r="H11" s="153"/>
      <c r="I11" s="218"/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20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>
      <c r="A198" s="170">
        <f>'Historical NAV'!A1190</f>
        <v>45688</v>
      </c>
      <c r="B198" s="159">
        <v>0</v>
      </c>
      <c r="C198" s="159">
        <v>0</v>
      </c>
      <c r="D198" s="159">
        <v>-1955</v>
      </c>
      <c r="E198" s="159">
        <v>7854</v>
      </c>
      <c r="F198" s="159">
        <v>0</v>
      </c>
      <c r="G198" s="159">
        <v>0</v>
      </c>
      <c r="H198" s="159">
        <v>-2633.1</v>
      </c>
      <c r="I198" s="159"/>
      <c r="J198" s="159"/>
      <c r="K198" s="159"/>
      <c r="L198" s="159">
        <f t="shared" ref="L198" si="41">SUM(B198:K198)</f>
        <v>3265.9</v>
      </c>
    </row>
    <row r="199" spans="1:12">
      <c r="A199" s="170">
        <f>'Historical NAV'!A1191</f>
        <v>45691</v>
      </c>
      <c r="B199" s="159">
        <v>0</v>
      </c>
      <c r="C199" s="159">
        <v>0</v>
      </c>
      <c r="D199" s="159">
        <v>-3410</v>
      </c>
      <c r="E199" s="159">
        <v>-3266.1</v>
      </c>
      <c r="F199" s="159">
        <v>0</v>
      </c>
      <c r="G199" s="159">
        <v>0</v>
      </c>
      <c r="H199" s="159">
        <v>-4527.5999999999995</v>
      </c>
      <c r="I199" s="159"/>
      <c r="J199" s="159"/>
      <c r="K199" s="159"/>
      <c r="L199" s="159">
        <f t="shared" ref="L199" si="42">SUM(B199:K199)</f>
        <v>-11203.7</v>
      </c>
    </row>
    <row r="200" spans="1:12">
      <c r="A200" s="170">
        <f>'Historical NAV'!A1192</f>
        <v>45692</v>
      </c>
      <c r="B200" s="159">
        <v>0</v>
      </c>
      <c r="C200" s="159">
        <v>0</v>
      </c>
      <c r="D200" s="159">
        <v>1990</v>
      </c>
      <c r="E200" s="159">
        <v>12636</v>
      </c>
      <c r="F200" s="159">
        <v>0</v>
      </c>
      <c r="G200" s="159">
        <v>0</v>
      </c>
      <c r="H200" s="159">
        <v>3623.6</v>
      </c>
      <c r="I200" s="159"/>
      <c r="J200" s="159"/>
      <c r="K200" s="159"/>
      <c r="L200" s="159">
        <f t="shared" ref="L200" si="43">SUM(B200:K200)</f>
        <v>18249.599999999999</v>
      </c>
    </row>
    <row r="201" spans="1:12">
      <c r="A201" s="170">
        <f>'Historical NAV'!A1193</f>
        <v>45693</v>
      </c>
      <c r="B201" s="159">
        <v>0</v>
      </c>
      <c r="C201" s="159">
        <v>0</v>
      </c>
      <c r="D201" s="159">
        <v>6180</v>
      </c>
      <c r="E201" s="159">
        <v>31861.93</v>
      </c>
      <c r="F201" s="159">
        <v>0</v>
      </c>
      <c r="G201" s="159">
        <v>0</v>
      </c>
      <c r="H201" s="159">
        <v>7914.84</v>
      </c>
      <c r="I201" s="159"/>
      <c r="J201" s="159"/>
      <c r="K201" s="159"/>
      <c r="L201" s="159">
        <f t="shared" ref="L201" si="44">SUM(B201:K201)</f>
        <v>45956.770000000004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C32" sqref="C32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335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333</v>
      </c>
      <c r="C3" s="109" t="s">
        <v>334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341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66302018.380000003</v>
      </c>
    </row>
    <row r="4" spans="2:22">
      <c r="B4" t="s">
        <v>341</v>
      </c>
      <c r="C4" t="s">
        <v>340</v>
      </c>
      <c r="D4" s="8">
        <f ca="1">IF(D18=0, "", D18)</f>
        <v>7.1401322621462678E-4</v>
      </c>
      <c r="E4" s="8" t="str">
        <f t="shared" ref="E4:L5" si="0">IF(E18=0, "", E18)</f>
        <v/>
      </c>
      <c r="F4" s="8" t="str">
        <f t="shared" si="0"/>
        <v/>
      </c>
      <c r="G4" s="8" t="str">
        <f t="shared" si="0"/>
        <v/>
      </c>
      <c r="H4" s="8" t="str">
        <f t="shared" si="0"/>
        <v/>
      </c>
      <c r="I4" s="8">
        <f t="shared" ca="1" si="0"/>
        <v>7.1401322621462678E-4</v>
      </c>
      <c r="J4" s="8">
        <f t="shared" ca="1" si="0"/>
        <v>7.1401322621462678E-4</v>
      </c>
      <c r="K4" s="8">
        <f ca="1">J4</f>
        <v>7.1401322621462678E-4</v>
      </c>
      <c r="L4" s="8">
        <f t="shared" ca="1" si="0"/>
        <v>6.4832949841735044E-2</v>
      </c>
      <c r="N4" t="s">
        <v>290</v>
      </c>
      <c r="O4" s="280">
        <f>T3</f>
        <v>66302018.380000003</v>
      </c>
      <c r="P4" s="293">
        <f>P16</f>
        <v>2151287.66</v>
      </c>
      <c r="Q4" s="280">
        <f>SUM(O4:P4)</f>
        <v>68453306.040000007</v>
      </c>
      <c r="S4" t="s">
        <v>288</v>
      </c>
      <c r="T4" s="286" t="e">
        <f>ROUND(VLOOKUP("Deposits &amp; Withdrawals", 'Email input'!C:D, 2, FALSE),2)</f>
        <v>#N/A</v>
      </c>
    </row>
    <row r="5" spans="2:22">
      <c r="B5" t="s">
        <v>299</v>
      </c>
      <c r="C5" t="s">
        <v>332</v>
      </c>
      <c r="D5" s="8">
        <f>D19</f>
        <v>0</v>
      </c>
      <c r="E5" s="8" t="str">
        <f t="shared" si="0"/>
        <v/>
      </c>
      <c r="F5" s="8" t="str">
        <f t="shared" si="0"/>
        <v/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0</v>
      </c>
      <c r="K5" s="8">
        <f>J5</f>
        <v>0</v>
      </c>
      <c r="L5" s="8">
        <f>L19+J5</f>
        <v>0</v>
      </c>
      <c r="N5" t="s">
        <v>288</v>
      </c>
      <c r="O5" s="280" t="e">
        <f>T4</f>
        <v>#N/A</v>
      </c>
      <c r="P5" s="274"/>
      <c r="Q5" s="280" t="e">
        <f>SUM(O5:P5)</f>
        <v>#N/A</v>
      </c>
      <c r="S5" t="s">
        <v>44</v>
      </c>
      <c r="T5" s="286" t="e">
        <f>($T$3+T4)*U5</f>
        <v>#N/A</v>
      </c>
      <c r="U5" s="8" t="e">
        <f>VLOOKUP("Commodities", 'Email input'!F:G, 2, FALSE)/100</f>
        <v>#N/A</v>
      </c>
    </row>
    <row r="6" spans="2:22">
      <c r="B6" t="s">
        <v>309</v>
      </c>
      <c r="C6" t="s">
        <v>331</v>
      </c>
      <c r="D6" s="8" t="str">
        <f t="array" ref="D6">IFERROR(_xll.BDP($B6,"INTERVAL_PERCENT_CHANGE", "END_DATE_OVERRIDE="&amp;TEXT(D$17,"yyyymmdd"), "START_DATE_OVERRIDE="&amp;TEXT(D$16,"yyyymmdd"))/100, "")</f>
        <v/>
      </c>
      <c r="E6" s="8" t="str">
        <f t="array" ref="E6">IFERROR(_xll.BDP($B6,"INTERVAL_PERCENT_CHANGE", "END_DATE_OVERRIDE="&amp;TEXT(E$17,"yyyymmdd"), "START_DATE_OVERRIDE="&amp;TEXT(E$16,"yyyymmdd"))/100, "")</f>
        <v/>
      </c>
      <c r="F6" s="8" t="str">
        <f t="array" ref="F6">IFERROR(_xll.BDP($B6,"INTERVAL_PERCENT_CHANGE", "END_DATE_OVERRIDE="&amp;TEXT(F$17,"yyyymmdd"), "START_DATE_OVERRIDE="&amp;TEXT(F$16,"yyyymmdd"))/100, "")</f>
        <v/>
      </c>
      <c r="G6" s="8" t="str">
        <f t="array" ref="G6">IFERROR(_xll.BDP($B6,"INTERVAL_PERCENT_CHANGE", "END_DATE_OVERRIDE="&amp;TEXT(G$17,"yyyymmdd"), "START_DATE_OVERRIDE="&amp;TEXT(G$16,"yyyymmdd"))/100, "")</f>
        <v/>
      </c>
      <c r="H6" s="8" t="str">
        <f t="array" ref="H6">IFERROR(_xll.BDP($B6,"INTERVAL_PERCENT_CHANGE", "END_DATE_OVERRIDE="&amp;TEXT(H$17,"yyyymmdd"), "START_DATE_OVERRIDE="&amp;TEXT(H$16,"yyyymmdd"))/100, "")</f>
        <v/>
      </c>
      <c r="I6" s="8" t="e">
        <f>_xll.BDP(B6,"CHG_PCT_1D")/100</f>
        <v>#VALUE!</v>
      </c>
      <c r="J6" s="8" t="e">
        <f>_xll.BDP($B6,"CURRENT_TRR_MTD")/100</f>
        <v>#VALUE!</v>
      </c>
      <c r="K6" s="8" t="e">
        <f>_xll.BDP(B6,"CHG_PCT_1M")/100</f>
        <v>#VALUE!</v>
      </c>
      <c r="L6" s="8" t="e">
        <f t="array" ref="L6">_xll.BDP($B6,"CHG_PCT_YTD")/100</f>
        <v>#VALUE!</v>
      </c>
      <c r="N6" t="s">
        <v>300</v>
      </c>
      <c r="O6" s="278" t="e">
        <f>SUM(O4:O5)/SUM(O4:P5)</f>
        <v>#N/A</v>
      </c>
      <c r="P6" s="278" t="e">
        <f>SUM(P4:P5)/SUM(O4:P5)</f>
        <v>#N/A</v>
      </c>
      <c r="Q6" s="278" t="e">
        <f>SUM(O6:P6)</f>
        <v>#N/A</v>
      </c>
      <c r="S6" t="s">
        <v>291</v>
      </c>
      <c r="T6" s="286" t="e">
        <f>($T$3+T$4)*U6</f>
        <v>#N/A</v>
      </c>
      <c r="U6" s="8">
        <f>VLOOKUP("new_equity", 'Email input'!F:G, 2, FALSE)/100</f>
        <v>2.8657347E-4</v>
      </c>
    </row>
    <row r="7" spans="2:22">
      <c r="B7" t="s">
        <v>310</v>
      </c>
      <c r="C7" t="s">
        <v>330</v>
      </c>
      <c r="D7" s="8" t="str">
        <f t="array" ref="D7">IFERROR(_xll.BDP($B7,"INTERVAL_PERCENT_CHANGE", "END_DATE_OVERRIDE="&amp;TEXT(D$17,"yyyymmdd"), "START_DATE_OVERRIDE="&amp;TEXT(D$16,"yyyymmdd"))/100, "")</f>
        <v/>
      </c>
      <c r="E7" s="8" t="str">
        <f t="array" ref="E7">IFERROR(_xll.BDP($B7,"INTERVAL_PERCENT_CHANGE", "END_DATE_OVERRIDE="&amp;TEXT(E$17,"yyyymmdd"), "START_DATE_OVERRIDE="&amp;TEXT(E$16,"yyyymmdd"))/100, "")</f>
        <v/>
      </c>
      <c r="F7" s="8" t="str">
        <f t="array" ref="F7">IFERROR(_xll.BDP($B7,"INTERVAL_PERCENT_CHANGE", "END_DATE_OVERRIDE="&amp;TEXT(F$17,"yyyymmdd"), "START_DATE_OVERRIDE="&amp;TEXT(F$16,"yyyymmdd"))/100, "")</f>
        <v/>
      </c>
      <c r="G7" s="8" t="str">
        <f t="array" ref="G7">IFERROR(_xll.BDP($B7,"INTERVAL_PERCENT_CHANGE", "END_DATE_OVERRIDE="&amp;TEXT(G$17,"yyyymmdd"), "START_DATE_OVERRIDE="&amp;TEXT(G$16,"yyyymmdd"))/100, "")</f>
        <v/>
      </c>
      <c r="H7" s="8" t="str">
        <f t="array" ref="H7">IFERROR(_xll.BDP($B7,"INTERVAL_PERCENT_CHANGE", "END_DATE_OVERRIDE="&amp;TEXT(H$17,"yyyymmdd"), "START_DATE_OVERRIDE="&amp;TEXT(H$16,"yyyymmdd"))/100, "")</f>
        <v/>
      </c>
      <c r="I7" s="8" t="e">
        <f t="array" ref="I7">_xll.BDP(B7,"CHG_PCT_1D")/100</f>
        <v>#VALUE!</v>
      </c>
      <c r="J7" s="8" t="e">
        <f t="array" ref="J7">_xll.BDP($B7,"CURRENT_TRR_MTD")/100</f>
        <v>#VALUE!</v>
      </c>
      <c r="K7" s="8" t="e">
        <f>_xll.BDP(B7,"CHG_PCT_1M")/100</f>
        <v>#VALUE!</v>
      </c>
      <c r="L7" s="8" t="e">
        <f t="array" ref="L7">_xll.BDP($B7,"CHG_PCT_YTD")/100</f>
        <v>#VALUE!</v>
      </c>
      <c r="N7" s="47" t="s">
        <v>95</v>
      </c>
      <c r="O7" s="295">
        <f ca="1">OFFSET('Historical NAV'!F1,COUNT('Historical NAV'!A:A),,,)</f>
        <v>47360.314773604274</v>
      </c>
      <c r="P7" s="296" t="s">
        <v>58</v>
      </c>
      <c r="Q7" s="297">
        <f ca="1">SUM(O7:P7)</f>
        <v>47360.314773604274</v>
      </c>
      <c r="S7" t="s">
        <v>292</v>
      </c>
      <c r="T7" s="286" t="e">
        <f>($T$3+T$4)*U7</f>
        <v>#N/A</v>
      </c>
      <c r="U7" s="8">
        <f>VLOOKUP("Fixed Income", 'Email input'!F:G, 2, FALSE)/100</f>
        <v>6.1726284000000005E-4</v>
      </c>
    </row>
    <row r="8" spans="2:22">
      <c r="B8" t="s">
        <v>311</v>
      </c>
      <c r="C8" s="8" t="s">
        <v>312</v>
      </c>
      <c r="D8" s="8" t="str">
        <f t="array" ref="D8">IFERROR(_xll.BDP($B8,"INTERVAL_PERCENT_CHANGE", "END_DATE_OVERRIDE="&amp;TEXT(D$17,"yyyymmdd"), "START_DATE_OVERRIDE="&amp;TEXT(D$16,"yyyymmdd"))/100, "")</f>
        <v/>
      </c>
      <c r="E8" s="8" t="str">
        <f t="array" ref="E8">IFERROR(_xll.BDP($B8,"INTERVAL_PERCENT_CHANGE", "END_DATE_OVERRIDE="&amp;TEXT(E$17,"yyyymmdd"), "START_DATE_OVERRIDE="&amp;TEXT(E$16,"yyyymmdd"))/100, "")</f>
        <v/>
      </c>
      <c r="F8" s="8" t="str">
        <f t="array" ref="F8">IFERROR(_xll.BDP($B8,"INTERVAL_PERCENT_CHANGE", "END_DATE_OVERRIDE="&amp;TEXT(F$17,"yyyymmdd"), "START_DATE_OVERRIDE="&amp;TEXT(F$16,"yyyymmdd"))/100, "")</f>
        <v/>
      </c>
      <c r="G8" s="8" t="str">
        <f t="array" ref="G8">IFERROR(_xll.BDP($B8,"INTERVAL_PERCENT_CHANGE", "END_DATE_OVERRIDE="&amp;TEXT(G$17,"yyyymmdd"), "START_DATE_OVERRIDE="&amp;TEXT(G$16,"yyyymmdd"))/100, "")</f>
        <v/>
      </c>
      <c r="H8" s="8" t="str">
        <f t="array" ref="H8">IFERROR(_xll.BDP($B8,"INTERVAL_PERCENT_CHANGE", "END_DATE_OVERRIDE="&amp;TEXT(H$17,"yyyymmdd"), "START_DATE_OVERRIDE="&amp;TEXT(H$16,"yyyymmdd"))/100, "")</f>
        <v/>
      </c>
      <c r="I8" s="8" t="e">
        <f t="array" ref="I8">_xll.BDP(B8,"CHG_PCT_1D")/100</f>
        <v>#VALUE!</v>
      </c>
      <c r="J8" s="8" t="e">
        <f t="array" ref="J8">_xll.BDP($B8,"CURRENT_TRR_MTD")/100</f>
        <v>#VALUE!</v>
      </c>
      <c r="K8" s="8" t="e">
        <f>_xll.BDP(B8,"CHG_PCT_1M")/100</f>
        <v>#VALUE!</v>
      </c>
      <c r="L8" s="8" t="e">
        <f t="array" ref="L8">_xll.BDP($B8,"CHG_PCT_YTD")/100</f>
        <v>#VALUE!</v>
      </c>
      <c r="N8" t="s">
        <v>301</v>
      </c>
      <c r="O8" s="69">
        <f ca="1">OFFSET('Historical NAV'!J1,COUNT('Historical NAV'!A:A),,,)</f>
        <v>75086.302750006318</v>
      </c>
      <c r="P8" s="280">
        <f>SUM(P4:P5)*P9</f>
        <v>0</v>
      </c>
      <c r="Q8" s="280">
        <f ca="1">SUM(O8:P8)</f>
        <v>75086.302750006318</v>
      </c>
      <c r="S8" s="47" t="s">
        <v>293</v>
      </c>
      <c r="T8" s="287" t="e">
        <f>($T$3+T$4)*U8</f>
        <v>#N/A</v>
      </c>
      <c r="U8" s="207">
        <f>VLOOKUP("Cash", 'Email input'!F:G, 2, FALSE)/100</f>
        <v>7.9982814999999998E-4</v>
      </c>
    </row>
    <row r="9" spans="2:22">
      <c r="B9" t="s">
        <v>313</v>
      </c>
      <c r="C9" s="8" t="s">
        <v>314</v>
      </c>
      <c r="D9" s="8" t="str">
        <f t="array" ref="D9">IFERROR(_xll.BDP($B9,"INTERVAL_PERCENT_CHANGE", "END_DATE_OVERRIDE="&amp;TEXT(D$17,"yyyymmdd"), "START_DATE_OVERRIDE="&amp;TEXT(D$16,"yyyymmdd"))/100, "")</f>
        <v/>
      </c>
      <c r="E9" s="8" t="str">
        <f t="array" ref="E9">IFERROR(_xll.BDP($B9,"INTERVAL_PERCENT_CHANGE", "END_DATE_OVERRIDE="&amp;TEXT(E$17,"yyyymmdd"), "START_DATE_OVERRIDE="&amp;TEXT(E$16,"yyyymmdd"))/100, "")</f>
        <v/>
      </c>
      <c r="F9" s="8" t="str">
        <f t="array" ref="F9">IFERROR(_xll.BDP($B9,"INTERVAL_PERCENT_CHANGE", "END_DATE_OVERRIDE="&amp;TEXT(F$17,"yyyymmdd"), "START_DATE_OVERRIDE="&amp;TEXT(F$16,"yyyymmdd"))/100, "")</f>
        <v/>
      </c>
      <c r="G9" s="8" t="str">
        <f t="array" ref="G9">IFERROR(_xll.BDP($B9,"INTERVAL_PERCENT_CHANGE", "END_DATE_OVERRIDE="&amp;TEXT(G$17,"yyyymmdd"), "START_DATE_OVERRIDE="&amp;TEXT(G$16,"yyyymmdd"))/100, "")</f>
        <v/>
      </c>
      <c r="H9" s="8" t="str">
        <f t="array" ref="H9">IFERROR(_xll.BDP($B9,"INTERVAL_PERCENT_CHANGE", "END_DATE_OVERRIDE="&amp;TEXT(H$17,"yyyymmdd"), "START_DATE_OVERRIDE="&amp;TEXT(H$16,"yyyymmdd"))/100, "")</f>
        <v/>
      </c>
      <c r="I9" s="8" t="e">
        <f t="array" ref="I9">_xll.BDP(B9,"CHG_PCT_1D")/100</f>
        <v>#VALUE!</v>
      </c>
      <c r="J9" s="8" t="e">
        <f t="array" ref="J9">_xll.BDP($B9,"CURRENT_TRR_MTD")/100</f>
        <v>#VALUE!</v>
      </c>
      <c r="K9" s="8" t="e">
        <f>_xll.BDP(B9,"CHG_PCT_1M")/100</f>
        <v>#VALUE!</v>
      </c>
      <c r="L9" s="8" t="e">
        <f t="array" ref="L9">_xll.BDP($B9,"CHG_PCT_YTD")/100</f>
        <v>#VALUE!</v>
      </c>
      <c r="N9" t="s">
        <v>302</v>
      </c>
      <c r="O9" s="8">
        <f ca="1">OFFSET('Historical NAV'!K1,COUNT('Historical NAV'!A:A),,,)</f>
        <v>7.1401322621462678E-4</v>
      </c>
      <c r="P9" s="285">
        <f>J5</f>
        <v>0</v>
      </c>
      <c r="S9" t="s">
        <v>294</v>
      </c>
      <c r="T9" s="288" t="e">
        <f>SUM(T5:T8)</f>
        <v>#N/A</v>
      </c>
      <c r="V9" s="312" t="e">
        <f>T9/(T3+T4)</f>
        <v>#N/A</v>
      </c>
    </row>
    <row r="10" spans="2:22" ht="15.75" thickBot="1">
      <c r="B10" t="s">
        <v>328</v>
      </c>
      <c r="C10" s="8" t="s">
        <v>329</v>
      </c>
      <c r="D10" s="8" t="str">
        <f t="array" ref="D10">IFERROR(_xll.BDP($B10,"INTERVAL_PERCENT_CHANGE", "END_DATE_OVERRIDE="&amp;TEXT(D$17,"yyyymmdd"), "START_DATE_OVERRIDE="&amp;TEXT(D$16,"yyyymmdd"))/100, "")</f>
        <v/>
      </c>
      <c r="E10" s="8" t="str">
        <f t="array" ref="E10">IFERROR(_xll.BDP($B10,"INTERVAL_PERCENT_CHANGE", "END_DATE_OVERRIDE="&amp;TEXT(E$17,"yyyymmdd"), "START_DATE_OVERRIDE="&amp;TEXT(E$16,"yyyymmdd"))/100, "")</f>
        <v/>
      </c>
      <c r="F10" s="8" t="str">
        <f t="array" ref="F10">IFERROR(_xll.BDP($B10,"INTERVAL_PERCENT_CHANGE", "END_DATE_OVERRIDE="&amp;TEXT(F$17,"yyyymmdd"), "START_DATE_OVERRIDE="&amp;TEXT(F$16,"yyyymmdd"))/100, "")</f>
        <v/>
      </c>
      <c r="G10" s="8" t="str">
        <f t="array" ref="G10">IFERROR(_xll.BDP($B10,"INTERVAL_PERCENT_CHANGE", "END_DATE_OVERRIDE="&amp;TEXT(G$17,"yyyymmdd"), "START_DATE_OVERRIDE="&amp;TEXT(G$16,"yyyymmdd"))/100, "")</f>
        <v/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 t="e">
        <f>_xll.BDP(B10,"CHG_PCT_1D")/100</f>
        <v>#VALUE!</v>
      </c>
      <c r="J10" s="8" t="e">
        <f t="array" ref="J10">_xll.BDP($B10,"CURRENT_TRR_MTD")/100</f>
        <v>#VALUE!</v>
      </c>
      <c r="K10" s="8" t="e">
        <f>_xll.BDP(B10,"CHG_PCT_1M")/100</f>
        <v>#VALUE!</v>
      </c>
      <c r="L10" s="8" t="e">
        <f t="array" ref="L10">_xll.BDP($B10,"CHG_PCT_YTD")/100</f>
        <v>#VALUE!</v>
      </c>
      <c r="N10" s="275" t="s">
        <v>297</v>
      </c>
      <c r="O10" s="281" t="e">
        <f ca="1">O4+O5+O8</f>
        <v>#N/A</v>
      </c>
      <c r="P10" s="276">
        <f>P4+P5+P8</f>
        <v>2151287.66</v>
      </c>
      <c r="Q10" s="281" t="e">
        <f ca="1">SUM(O10:P10)</f>
        <v>#N/A</v>
      </c>
      <c r="S10" t="s">
        <v>295</v>
      </c>
      <c r="T10" s="286">
        <f>SUM('Email input'!D5:D10)</f>
        <v>66392049.248432405</v>
      </c>
      <c r="U10" s="8"/>
    </row>
    <row r="11" spans="2:22" ht="15.75" hidden="1" outlineLevel="1" thickTop="1">
      <c r="O11" s="283"/>
      <c r="P11" s="283"/>
      <c r="Q11" s="283"/>
      <c r="S11" t="s">
        <v>336</v>
      </c>
      <c r="T11" s="294">
        <v>416211.16194421798</v>
      </c>
      <c r="U11" s="8"/>
    </row>
    <row r="12" spans="2:22" ht="15.75" collapsed="1" thickTop="1">
      <c r="S12" t="s">
        <v>296</v>
      </c>
      <c r="T12" s="280">
        <f>SUM('Email input'!D10:D13)</f>
        <v>66377104.687559403</v>
      </c>
      <c r="U12" s="8"/>
    </row>
    <row r="13" spans="2:22" ht="15.75" thickBot="1">
      <c r="S13" s="275" t="s">
        <v>297</v>
      </c>
      <c r="T13" s="281" t="e">
        <f>T3+T4+T9+T10+T12+T11</f>
        <v>#N/A</v>
      </c>
      <c r="U13" s="277"/>
    </row>
    <row r="14" spans="2:22" ht="15.75" thickTop="1"/>
    <row r="15" spans="2:22" s="289" customFormat="1">
      <c r="T15" s="290"/>
    </row>
    <row r="16" spans="2:22">
      <c r="B16" t="s">
        <v>324</v>
      </c>
      <c r="D16" s="291">
        <v>45690</v>
      </c>
      <c r="E16" s="291">
        <f>D16+7</f>
        <v>45697</v>
      </c>
      <c r="F16" s="291">
        <f>E16+7</f>
        <v>45704</v>
      </c>
      <c r="G16" s="291">
        <f t="shared" ref="E16:H17" si="1">F16+7</f>
        <v>45711</v>
      </c>
      <c r="H16" s="291">
        <f t="shared" si="1"/>
        <v>45718</v>
      </c>
      <c r="N16" t="s">
        <v>323</v>
      </c>
      <c r="P16" s="310">
        <v>2151287.66</v>
      </c>
      <c r="S16" t="s">
        <v>322</v>
      </c>
      <c r="T16" s="282">
        <f ca="1">OFFSET('Historical NAV'!B1,COUNT('Historical NAV'!A:A),,,)</f>
        <v>66377104.687559403</v>
      </c>
    </row>
    <row r="17" spans="2:21">
      <c r="B17" t="s">
        <v>325</v>
      </c>
      <c r="D17" s="291">
        <v>45696</v>
      </c>
      <c r="E17" s="291">
        <f t="shared" si="1"/>
        <v>45703</v>
      </c>
      <c r="F17" s="291">
        <f t="shared" si="1"/>
        <v>45710</v>
      </c>
      <c r="G17" s="291">
        <f t="shared" si="1"/>
        <v>45717</v>
      </c>
      <c r="H17" s="291">
        <f t="shared" si="1"/>
        <v>45724</v>
      </c>
      <c r="P17" s="311">
        <v>46015</v>
      </c>
      <c r="T17" s="69" t="e">
        <f>T13</f>
        <v>#N/A</v>
      </c>
    </row>
    <row r="18" spans="2:21">
      <c r="B18" t="s">
        <v>326</v>
      </c>
      <c r="D18" s="298">
        <f ca="1">Dashboard!$B$4</f>
        <v>7.1401322621462678E-4</v>
      </c>
      <c r="E18" s="298"/>
      <c r="F18" s="298"/>
      <c r="G18" s="298"/>
      <c r="H18" s="298"/>
      <c r="I18" s="8">
        <f ca="1">Dashboard!B9</f>
        <v>7.1401322621462678E-4</v>
      </c>
      <c r="J18" s="8">
        <f ca="1">Dashboard!B5</f>
        <v>7.1401322621462678E-4</v>
      </c>
      <c r="K18" s="8"/>
      <c r="L18" s="69">
        <f ca="1">Dashboard!B6</f>
        <v>6.4832949841735044E-2</v>
      </c>
      <c r="O18" s="69"/>
      <c r="T18" s="284"/>
    </row>
    <row r="19" spans="2:21">
      <c r="B19" t="s">
        <v>327</v>
      </c>
      <c r="D19" s="298"/>
      <c r="E19" s="298"/>
      <c r="F19" s="298"/>
      <c r="G19" s="298"/>
      <c r="H19" s="298"/>
      <c r="J19">
        <f>SUM(D19:H19)</f>
        <v>0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0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337</v>
      </c>
      <c r="B1" s="282" t="s">
        <v>319</v>
      </c>
      <c r="C1" t="s">
        <v>338</v>
      </c>
      <c r="D1" s="282" t="s">
        <v>339</v>
      </c>
      <c r="F1" t="s">
        <v>150</v>
      </c>
      <c r="G1" t="s">
        <v>150</v>
      </c>
    </row>
    <row r="2" spans="1:7">
      <c r="A2" t="s">
        <v>337</v>
      </c>
      <c r="B2" s="282" t="s">
        <v>320</v>
      </c>
      <c r="C2" t="s">
        <v>315</v>
      </c>
      <c r="D2" s="282">
        <v>66302018.384809397</v>
      </c>
      <c r="F2" t="s">
        <v>319</v>
      </c>
      <c r="G2" t="s">
        <v>320</v>
      </c>
    </row>
    <row r="3" spans="1:7">
      <c r="A3" t="s">
        <v>337</v>
      </c>
      <c r="B3" s="282" t="s">
        <v>320</v>
      </c>
      <c r="C3" t="s">
        <v>316</v>
      </c>
      <c r="D3" s="282">
        <v>28279.811876970001</v>
      </c>
      <c r="F3" t="s">
        <v>165</v>
      </c>
      <c r="G3" t="s">
        <v>20</v>
      </c>
    </row>
    <row r="4" spans="1:7">
      <c r="A4" t="s">
        <v>337</v>
      </c>
      <c r="B4" s="282" t="s">
        <v>320</v>
      </c>
      <c r="C4" t="s">
        <v>349</v>
      </c>
      <c r="D4" s="282">
        <v>31861.93</v>
      </c>
      <c r="F4" t="s">
        <v>292</v>
      </c>
      <c r="G4">
        <v>6.1726283999999999E-2</v>
      </c>
    </row>
    <row r="5" spans="1:7">
      <c r="A5" t="s">
        <v>337</v>
      </c>
      <c r="B5" s="282" t="s">
        <v>320</v>
      </c>
      <c r="C5" t="s">
        <v>350</v>
      </c>
      <c r="D5" s="282">
        <v>-472182.14569440001</v>
      </c>
      <c r="F5" t="s">
        <v>293</v>
      </c>
      <c r="G5">
        <v>7.9982814999999999E-2</v>
      </c>
    </row>
    <row r="6" spans="1:7">
      <c r="A6" t="s">
        <v>337</v>
      </c>
      <c r="B6" s="282" t="s">
        <v>320</v>
      </c>
      <c r="C6" t="s">
        <v>317</v>
      </c>
      <c r="D6" s="282">
        <v>490857.80400100001</v>
      </c>
    </row>
    <row r="7" spans="1:7">
      <c r="A7" t="s">
        <v>337</v>
      </c>
      <c r="B7" s="282" t="s">
        <v>320</v>
      </c>
      <c r="C7" t="s">
        <v>43</v>
      </c>
      <c r="D7" s="282">
        <v>-188.34</v>
      </c>
    </row>
    <row r="8" spans="1:7">
      <c r="A8" t="s">
        <v>337</v>
      </c>
      <c r="B8" s="282" t="s">
        <v>320</v>
      </c>
      <c r="C8" t="s">
        <v>18</v>
      </c>
      <c r="D8" s="282">
        <v>-3416.7120420000001</v>
      </c>
    </row>
    <row r="9" spans="1:7">
      <c r="A9" t="s">
        <v>337</v>
      </c>
      <c r="B9" s="282" t="s">
        <v>320</v>
      </c>
      <c r="C9" t="s">
        <v>318</v>
      </c>
      <c r="D9" s="282">
        <v>-126.0453916</v>
      </c>
      <c r="F9" t="s">
        <v>321</v>
      </c>
      <c r="G9">
        <v>2.8657347E-2</v>
      </c>
    </row>
    <row r="10" spans="1:7">
      <c r="A10" t="s">
        <v>337</v>
      </c>
      <c r="B10" s="282" t="s">
        <v>320</v>
      </c>
      <c r="C10" t="s">
        <v>297</v>
      </c>
      <c r="D10" s="282">
        <v>66377104.687559403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68234613.484809399</v>
      </c>
      <c r="D7" s="250">
        <f ca="1">OFFSET('Historical NAV'!E1, COUNT('Historical NAV'!B:B),,,)</f>
        <v>66302018.384809397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0.97167720308945194</v>
      </c>
      <c r="E9" s="225">
        <f ca="1">E7/(D7+D8+E7)</f>
        <v>2.8322796910548051E-2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66377104.687559403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75086.302750006318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7.1401322621462678E-4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4.7025091711958789E-2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7.1401322621462678E-4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41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91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>
        <f>'Historical NAV'!A1189</f>
        <v>45687</v>
      </c>
      <c r="B1189" s="173">
        <f>'Historical NAV'!B1189</f>
        <v>66307189.627214603</v>
      </c>
      <c r="C1189" s="173">
        <f>'Historical NAV'!C1189</f>
        <v>0</v>
      </c>
      <c r="D1189" s="173" t="e">
        <f>'Historical NAV'!#REF!</f>
        <v>#REF!</v>
      </c>
      <c r="E1189" s="173" t="e">
        <f>'Historical NAV'!#REF!</f>
        <v>#REF!</v>
      </c>
      <c r="F1189" s="67">
        <f t="shared" ref="F1189" si="1036">B1189</f>
        <v>66307189.627214603</v>
      </c>
      <c r="G1189" s="67">
        <f t="shared" ref="G1189" si="1037">IF(MONTH(A1189)=MONTH(A1188),G1188,F1188)</f>
        <v>71204832.621444106</v>
      </c>
      <c r="H1189" s="176">
        <f>B1189-C1189-F1188-'Daily P&amp;L breakdown'!H197</f>
        <v>5638.5989272043107</v>
      </c>
      <c r="I1189" s="70">
        <f t="shared" ref="I1189" si="1038">H1189/B1188</f>
        <v>8.5055192328723129E-5</v>
      </c>
      <c r="J1189" s="67">
        <f t="shared" ref="J1189" si="1039">IF(MONTH(A1189)=MONTH(A1188),J1188+H1189,H1189)</f>
        <v>3205596.5957705057</v>
      </c>
      <c r="K1189" s="70">
        <f t="shared" ref="K1189" si="1040">(1+K1188)*(1+I1189)-1</f>
        <v>0.13148781802838139</v>
      </c>
      <c r="L1189" s="70">
        <f t="shared" ref="L1189" si="1041">1+I1189</f>
        <v>1.0000850551923288</v>
      </c>
      <c r="M1189" s="70">
        <f>PRODUCT($L$2:L1189)-1</f>
        <v>0.46101281210224521</v>
      </c>
      <c r="N1189" s="70">
        <f>PRODUCT($L$909:L1189)-1</f>
        <v>0.15451252641124102</v>
      </c>
      <c r="O1189" s="70">
        <f>AVERAGE($I$909:I1189)*252</f>
        <v>0.25341857919369842</v>
      </c>
      <c r="P1189" s="70">
        <f>STDEV($I$909:I1189)*252^0.5</f>
        <v>0.49808908387998924</v>
      </c>
      <c r="Q1189" s="67">
        <f t="shared" ref="Q1189" si="1042">B1189-C1189-F1158</f>
        <v>-9309160.9654111937</v>
      </c>
      <c r="R1189" s="70">
        <f t="shared" ref="R1189" si="1043">Q1189/B1158</f>
        <v>-0.12311042377016056</v>
      </c>
      <c r="S1189" s="67">
        <f t="shared" ref="S1189" si="1044">B1189-C1189-F1098</f>
        <v>1284705.801741302</v>
      </c>
      <c r="T1189" s="70">
        <f t="shared" ref="T1189" si="1045">S1189/B1098</f>
        <v>1.9757870295905304E-2</v>
      </c>
      <c r="U1189" s="67">
        <f t="shared" ref="U1189" si="1046">B1189-C1189-F823</f>
        <v>28907216.007214606</v>
      </c>
      <c r="V1189" s="70">
        <f t="shared" ref="V1189" si="1047">U1189/B823</f>
        <v>0.77292075927444481</v>
      </c>
      <c r="W1189" s="87">
        <f t="shared" ref="W1189" si="1048">O1189/P1189</f>
        <v>0.50878163644870744</v>
      </c>
      <c r="X1189" s="142">
        <f t="shared" si="192"/>
        <v>1.7857142857142857E-4</v>
      </c>
      <c r="Y1189" s="139">
        <f t="shared" ref="Y1189" si="1049">I1189-X1189</f>
        <v>-9.3516236242705442E-5</v>
      </c>
      <c r="Z1189" s="139">
        <f t="shared" ref="Z1189" si="1050">IF(Y1189&lt;0,Y1189,0)</f>
        <v>-9.3516236242705442E-5</v>
      </c>
      <c r="AA1189" s="139">
        <f t="shared" ref="AA1189" si="1051">Z1189^2</f>
        <v>8.7452864410014952E-9</v>
      </c>
      <c r="AB1189" s="144">
        <f t="shared" ref="AB1189" si="1052">AVERAGE(Y936:Y1189)/AVERAGE(AA936:AA1189)</f>
        <v>2.8317806066572389</v>
      </c>
      <c r="AC1189" s="144">
        <f t="shared" ref="AC1189" si="1053">AVERAGE(I1158:I1189)-_xlfn.NORM.S.INV(0.95)*_xlfn.STDEV.S(I1158:I1189)</f>
        <v>-5.2868328005715337E-2</v>
      </c>
      <c r="AD1189" s="144">
        <f t="shared" ref="AD1189" si="1054">AVERAGE(I1098:I1189)-_xlfn.NORM.S.INV(0.95)*_xlfn.STDEV.S(I1098:I1189)</f>
        <v>-4.0240393789123738E-2</v>
      </c>
      <c r="AE1189" s="144">
        <f t="shared" ref="AE1189" si="1055">AVERAGE(I823:I1189)-_xlfn.NORM.S.INV(0.95)*_xlfn.STDEV.S(I823:I1189)</f>
        <v>-4.8829753297691014E-2</v>
      </c>
    </row>
    <row r="1190" spans="1:31">
      <c r="A1190" s="172">
        <f>'Historical NAV'!A1190</f>
        <v>45688</v>
      </c>
      <c r="B1190" s="173">
        <f>'Historical NAV'!B1190</f>
        <v>66302018.384809397</v>
      </c>
      <c r="C1190" s="173">
        <f>'Historical NAV'!C1190</f>
        <v>0</v>
      </c>
      <c r="D1190" s="173" t="e">
        <f>'Historical NAV'!#REF!</f>
        <v>#REF!</v>
      </c>
      <c r="E1190" s="173" t="e">
        <f>'Historical NAV'!#REF!</f>
        <v>#REF!</v>
      </c>
      <c r="F1190" s="67">
        <f t="shared" ref="F1190" si="1056">B1190</f>
        <v>66302018.384809397</v>
      </c>
      <c r="G1190" s="67">
        <f t="shared" ref="G1190" si="1057">IF(MONTH(A1190)=MONTH(A1189),G1189,F1189)</f>
        <v>71204832.621444106</v>
      </c>
      <c r="H1190" s="176">
        <f>B1190-C1190-F1189-'Daily P&amp;L breakdown'!H198</f>
        <v>-2538.1424052059651</v>
      </c>
      <c r="I1190" s="70">
        <f t="shared" ref="I1190" si="1058">H1190/B1189</f>
        <v>-3.8278539921170627E-5</v>
      </c>
      <c r="J1190" s="67">
        <f t="shared" ref="J1190" si="1059">IF(MONTH(A1190)=MONTH(A1189),J1189+H1190,H1190)</f>
        <v>3203058.4533652999</v>
      </c>
      <c r="K1190" s="70">
        <f t="shared" ref="K1190" si="1060">(1+K1189)*(1+I1190)-1</f>
        <v>0.13144450632676863</v>
      </c>
      <c r="L1190" s="70">
        <f t="shared" ref="L1190" si="1061">1+I1190</f>
        <v>0.99996172146007878</v>
      </c>
      <c r="M1190" s="70">
        <f>PRODUCT($L$2:L1190)-1</f>
        <v>0.46095688666499179</v>
      </c>
      <c r="N1190" s="70">
        <f>PRODUCT($L$909:L1190)-1</f>
        <v>0.15446833335740928</v>
      </c>
      <c r="O1190" s="70">
        <f>AVERAGE($I$909:I1190)*252</f>
        <v>0.25248572539492597</v>
      </c>
      <c r="P1190" s="70">
        <f>STDEV($I$909:I1190)*252^0.5</f>
        <v>0.49720299375275429</v>
      </c>
      <c r="Q1190" s="67">
        <f t="shared" ref="Q1190" si="1062">B1190-C1190-F1159</f>
        <v>-4041047.8876743987</v>
      </c>
      <c r="R1190" s="70">
        <f t="shared" ref="R1190" si="1063">Q1190/B1159</f>
        <v>-5.7447707383423252E-2</v>
      </c>
      <c r="S1190" s="67">
        <f t="shared" ref="S1190" si="1064">B1190-C1190-F1099</f>
        <v>1233873.3202340975</v>
      </c>
      <c r="T1190" s="70">
        <f t="shared" ref="T1190" si="1065">S1190/B1099</f>
        <v>1.8962786153033408E-2</v>
      </c>
      <c r="U1190" s="67">
        <f t="shared" ref="U1190" si="1066">B1190-C1190-F824</f>
        <v>28939142.494809397</v>
      </c>
      <c r="V1190" s="70">
        <f t="shared" ref="V1190" si="1067">U1190/B824</f>
        <v>0.77454269259168096</v>
      </c>
      <c r="W1190" s="87">
        <f t="shared" ref="W1190" si="1068">O1190/P1190</f>
        <v>0.50781215834850812</v>
      </c>
      <c r="X1190" s="142">
        <f t="shared" si="192"/>
        <v>1.7857142857142857E-4</v>
      </c>
      <c r="Y1190" s="139">
        <f t="shared" ref="Y1190" si="1069">I1190-X1190</f>
        <v>-2.1684996849259918E-4</v>
      </c>
      <c r="Z1190" s="139">
        <f t="shared" ref="Z1190" si="1070">IF(Y1190&lt;0,Y1190,0)</f>
        <v>-2.1684996849259918E-4</v>
      </c>
      <c r="AA1190" s="139">
        <f t="shared" ref="AA1190" si="1071">Z1190^2</f>
        <v>4.7023908835241258E-8</v>
      </c>
      <c r="AB1190" s="144">
        <f t="shared" ref="AB1190" si="1072">AVERAGE(Y937:Y1190)/AVERAGE(AA937:AA1190)</f>
        <v>2.7919194707857931</v>
      </c>
      <c r="AC1190" s="144">
        <f t="shared" ref="AC1190" si="1073">AVERAGE(I1159:I1190)-_xlfn.NORM.S.INV(0.95)*_xlfn.STDEV.S(I1159:I1190)</f>
        <v>-5.27090123979626E-2</v>
      </c>
      <c r="AD1190" s="144">
        <f t="shared" ref="AD1190" si="1074">AVERAGE(I1099:I1190)-_xlfn.NORM.S.INV(0.95)*_xlfn.STDEV.S(I1099:I1190)</f>
        <v>-4.0161896088962278E-2</v>
      </c>
      <c r="AE1190" s="144">
        <f t="shared" ref="AE1190" si="1075">AVERAGE(I824:I1190)-_xlfn.NORM.S.INV(0.95)*_xlfn.STDEV.S(I824:I1190)</f>
        <v>-4.8828632725076329E-2</v>
      </c>
    </row>
    <row r="1191" spans="1:31">
      <c r="A1191" s="172">
        <f>'Historical NAV'!A1191</f>
        <v>45691</v>
      </c>
      <c r="B1191" s="173">
        <f>'Historical NAV'!B1191</f>
        <v>66304300.988508098</v>
      </c>
      <c r="C1191" s="173">
        <f>'Historical NAV'!C1191</f>
        <v>0</v>
      </c>
      <c r="D1191" s="173" t="e">
        <f>'Historical NAV'!#REF!</f>
        <v>#REF!</v>
      </c>
      <c r="E1191" s="173" t="e">
        <f>'Historical NAV'!#REF!</f>
        <v>#REF!</v>
      </c>
      <c r="F1191" s="67">
        <f t="shared" ref="F1191" si="1076">B1191</f>
        <v>66304300.988508098</v>
      </c>
      <c r="G1191" s="67">
        <f t="shared" ref="G1191" si="1077">IF(MONTH(A1191)=MONTH(A1190),G1190,F1190)</f>
        <v>66302018.384809397</v>
      </c>
      <c r="H1191" s="176">
        <f>B1191-C1191-F1190-'Daily P&amp;L breakdown'!H199</f>
        <v>6810.2036987006659</v>
      </c>
      <c r="I1191" s="70">
        <f t="shared" ref="I1191" si="1078">H1191/B1190</f>
        <v>1.0271487753472324E-4</v>
      </c>
      <c r="J1191" s="67">
        <f t="shared" ref="J1191" si="1079">IF(MONTH(A1191)=MONTH(A1190),J1190+H1191,H1191)</f>
        <v>6810.2036987006659</v>
      </c>
      <c r="K1191" s="70">
        <f t="shared" ref="K1191" si="1080">(1+K1190)*(1+I1191)-1</f>
        <v>0.13156072251067341</v>
      </c>
      <c r="L1191" s="70">
        <f t="shared" ref="L1191" si="1081">1+I1191</f>
        <v>1.0001027148775348</v>
      </c>
      <c r="M1191" s="70">
        <f>PRODUCT($L$2:L1191)-1</f>
        <v>0.46110694867268909</v>
      </c>
      <c r="N1191" s="70">
        <f>PRODUCT($L$909:L1191)-1</f>
        <v>0.15458691443088779</v>
      </c>
      <c r="O1191" s="70">
        <f>AVERAGE($I$909:I1191)*252</f>
        <v>0.25168501311133523</v>
      </c>
      <c r="P1191" s="70">
        <f>STDEV($I$909:I1191)*252^0.5</f>
        <v>0.4963213705901186</v>
      </c>
      <c r="Q1191" s="67">
        <f t="shared" ref="Q1191" si="1082">B1191-C1191-F1160</f>
        <v>-3357454.7617286965</v>
      </c>
      <c r="R1191" s="70">
        <f t="shared" ref="R1191" si="1083">Q1191/B1160</f>
        <v>-4.8196528002630537E-2</v>
      </c>
      <c r="S1191" s="67">
        <f t="shared" ref="S1191" si="1084">B1191-C1191-F1100</f>
        <v>-634613.53048539907</v>
      </c>
      <c r="T1191" s="70">
        <f t="shared" ref="T1191" si="1085">S1191/B1100</f>
        <v>-9.4804873225921744E-3</v>
      </c>
      <c r="U1191" s="67">
        <f t="shared" ref="U1191" si="1086">B1191-C1191-F825</f>
        <v>29044968.498508096</v>
      </c>
      <c r="V1191" s="70">
        <f t="shared" ref="V1191" si="1087">U1191/B825</f>
        <v>0.77953539576436182</v>
      </c>
      <c r="W1191" s="87">
        <f t="shared" ref="W1191" si="1088">O1191/P1191</f>
        <v>0.50710089878274944</v>
      </c>
      <c r="X1191" s="142">
        <f t="shared" si="192"/>
        <v>1.7857142857142857E-4</v>
      </c>
      <c r="Y1191" s="139">
        <f t="shared" ref="Y1191" si="1089">I1191-X1191</f>
        <v>-7.5856551036705333E-5</v>
      </c>
      <c r="Z1191" s="139">
        <f t="shared" ref="Z1191" si="1090">IF(Y1191&lt;0,Y1191,0)</f>
        <v>-7.5856551036705333E-5</v>
      </c>
      <c r="AA1191" s="139">
        <f t="shared" ref="AA1191" si="1091">Z1191^2</f>
        <v>5.7542163351842813E-9</v>
      </c>
      <c r="AB1191" s="144">
        <f t="shared" ref="AB1191" si="1092">AVERAGE(Y938:Y1191)/AVERAGE(AA938:AA1191)</f>
        <v>2.8835072413983287</v>
      </c>
      <c r="AC1191" s="144">
        <f t="shared" ref="AC1191" si="1093">AVERAGE(I1160:I1191)-_xlfn.NORM.S.INV(0.95)*_xlfn.STDEV.S(I1160:I1191)</f>
        <v>-4.6266409533410893E-2</v>
      </c>
      <c r="AD1191" s="144">
        <f t="shared" ref="AD1191" si="1094">AVERAGE(I1100:I1191)-_xlfn.NORM.S.INV(0.95)*_xlfn.STDEV.S(I1100:I1191)</f>
        <v>-4.0162800392476432E-2</v>
      </c>
      <c r="AE1191" s="144">
        <f t="shared" ref="AE1191" si="1095">AVERAGE(I825:I1191)-_xlfn.NORM.S.INV(0.95)*_xlfn.STDEV.S(I825:I1191)</f>
        <v>-4.8825294691646648E-2</v>
      </c>
    </row>
    <row r="1192" spans="1:31">
      <c r="A1192" s="172"/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172"/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  <row r="1239" spans="6:31">
      <c r="F1239" s="67"/>
      <c r="G1239" s="67"/>
      <c r="H1239" s="67"/>
      <c r="I1239" s="70"/>
      <c r="J1239" s="67"/>
      <c r="K1239" s="70"/>
      <c r="L1239" s="70"/>
      <c r="M1239" s="70"/>
      <c r="N1239" s="70"/>
      <c r="O1239" s="70"/>
      <c r="P1239" s="70"/>
      <c r="Q1239" s="67"/>
      <c r="R1239" s="70"/>
      <c r="S1239" s="67"/>
      <c r="T1239" s="70"/>
      <c r="U1239" s="67"/>
      <c r="V1239" s="70"/>
      <c r="W1239" s="87"/>
      <c r="X1239" s="142"/>
      <c r="Y1239" s="139"/>
      <c r="Z1239" s="139"/>
      <c r="AA1239" s="139"/>
      <c r="AB1239" s="144"/>
      <c r="AC1239" s="144"/>
      <c r="AD1239" s="144"/>
      <c r="AE1239" s="144"/>
    </row>
    <row r="1240" spans="6:31">
      <c r="F1240" s="67"/>
      <c r="G1240" s="67"/>
      <c r="H1240" s="67"/>
      <c r="I1240" s="70"/>
      <c r="J1240" s="67"/>
      <c r="K1240" s="70"/>
      <c r="L1240" s="70"/>
      <c r="M1240" s="70"/>
      <c r="N1240" s="70"/>
      <c r="O1240" s="70"/>
      <c r="P1240" s="70"/>
      <c r="Q1240" s="67"/>
      <c r="R1240" s="70"/>
      <c r="S1240" s="67"/>
      <c r="T1240" s="70"/>
      <c r="U1240" s="67"/>
      <c r="V1240" s="70"/>
      <c r="W1240" s="87"/>
      <c r="X1240" s="142"/>
      <c r="Y1240" s="139"/>
      <c r="Z1240" s="139"/>
      <c r="AA1240" s="139"/>
      <c r="AB1240" s="144"/>
      <c r="AC1240" s="144"/>
      <c r="AD1240" s="144"/>
      <c r="AE1240" s="144"/>
    </row>
    <row r="1241" spans="6:31">
      <c r="F1241" s="67"/>
      <c r="G1241" s="67"/>
      <c r="H1241" s="67"/>
      <c r="I1241" s="70"/>
      <c r="J1241" s="67"/>
      <c r="K1241" s="70"/>
      <c r="L1241" s="70"/>
      <c r="M1241" s="70"/>
      <c r="N1241" s="70"/>
      <c r="O1241" s="70"/>
      <c r="P1241" s="70"/>
      <c r="Q1241" s="67"/>
      <c r="R1241" s="70"/>
      <c r="S1241" s="67"/>
      <c r="T1241" s="70"/>
      <c r="U1241" s="67"/>
      <c r="V1241" s="70"/>
      <c r="W1241" s="87"/>
      <c r="X1241" s="142"/>
      <c r="Y1241" s="139"/>
      <c r="Z1241" s="139"/>
      <c r="AA1241" s="139"/>
      <c r="AB1241" s="144"/>
      <c r="AC1241" s="144"/>
      <c r="AD1241" s="144"/>
      <c r="AE1241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81769334.074809402</v>
      </c>
      <c r="D6" s="345"/>
      <c r="E6" s="346"/>
      <c r="F6" s="340">
        <f ca="1">OFFSET('Historical NAV'!E1, COUNT('Historical NAV'!A:A),,,)</f>
        <v>66302018.384809397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0.81084209789639217</v>
      </c>
      <c r="G8" s="343">
        <f ca="1">G6/$C$6</f>
        <v>0.18791246674385756</v>
      </c>
      <c r="H8" s="343">
        <f ca="1">H6/$C$6</f>
        <v>1.2454353597502667E-3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66377104.687559403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75086.302750006318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7.1401322621462678E-4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47360.314773604274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7.1401322621462678E-4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 t="e">
        <f>_xll.BDP(C27,$A27)/100</f>
        <v>#VALUE!</v>
      </c>
      <c r="D22" s="25" t="e">
        <f>_xll.BDP(D27,$A27)/100</f>
        <v>#VALUE!</v>
      </c>
      <c r="E22" s="26" t="e">
        <f>_xll.BDP(E27,$A27)/100</f>
        <v>#VALUE!</v>
      </c>
      <c r="F22" s="27" t="e">
        <f>_xll.BDP(F27,$A27)/100</f>
        <v>#VALUE!</v>
      </c>
      <c r="G22" s="27" t="e">
        <f>_xll.BDP(G27,$A27)/100</f>
        <v>#VALUE!</v>
      </c>
      <c r="H22" s="25" t="e">
        <f>_xll.BDP(H27,$A27)/100</f>
        <v>#VALUE!</v>
      </c>
    </row>
    <row r="23" spans="1:11">
      <c r="A23" s="355" t="s">
        <v>66</v>
      </c>
      <c r="B23" s="356"/>
      <c r="C23" s="28" t="e">
        <f>_xll.BDP(C27,$A28)/100</f>
        <v>#VALUE!</v>
      </c>
      <c r="D23" s="28" t="e">
        <f>_xll.BDP(D27,$A28)/100</f>
        <v>#VALUE!</v>
      </c>
      <c r="E23" s="29" t="e">
        <f>_xll.BDP(E27,$A28)/100</f>
        <v>#VALUE!</v>
      </c>
      <c r="F23" s="30" t="e">
        <f>_xll.BDP(F27,$A28)/100</f>
        <v>#VALUE!</v>
      </c>
      <c r="G23" s="30" t="e">
        <f>_xll.BDP(G27,$A28)/100</f>
        <v>#VALUE!</v>
      </c>
      <c r="H23" s="28" t="e">
        <f>_xll.BDP(H27,$A28)/100</f>
        <v>#VALUE!</v>
      </c>
    </row>
    <row r="24" spans="1:11" s="1" customFormat="1">
      <c r="A24" s="38"/>
      <c r="B24" s="38"/>
      <c r="C24" s="38" t="str">
        <f>_xll.BDP("")</f>
        <v>#N/A Requesting Data...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2025-02-10T03:07:17Z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