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48DB2670-A1B0-4872-9B21-4A85A627BD0E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16" l="1"/>
  <c r="X1192" i="14"/>
  <c r="E1192" i="14"/>
  <c r="D1192" i="14"/>
  <c r="C1192" i="14"/>
  <c r="B1192" i="14"/>
  <c r="A1192" i="14"/>
  <c r="L202" i="13"/>
  <c r="A202" i="13"/>
  <c r="X1194" i="3"/>
  <c r="D1194" i="3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E16" i="16"/>
  <c r="X1189" i="14"/>
  <c r="E1189" i="14"/>
  <c r="D1189" i="14"/>
  <c r="C1189" i="14"/>
  <c r="B1189" i="14"/>
  <c r="A1189" i="14"/>
  <c r="L199" i="13"/>
  <c r="A199" i="13"/>
  <c r="X1191" i="3"/>
  <c r="F1191" i="3"/>
  <c r="G1191" i="3" s="1"/>
  <c r="K1191" i="3" s="1"/>
  <c r="I1191" i="3" s="1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T12" i="16"/>
  <c r="T10" i="16"/>
  <c r="L8" i="16" a="1"/>
  <c r="E10" i="16" a="1"/>
  <c r="K7" i="16"/>
  <c r="H23" i="4"/>
  <c r="G6" i="16" a="1"/>
  <c r="G10" i="16" a="1"/>
  <c r="J7" i="16" a="1"/>
  <c r="J8" i="16" a="1"/>
  <c r="L9" i="16" a="1"/>
  <c r="G8" i="16" a="1"/>
  <c r="G22" i="4"/>
  <c r="E9" i="16" a="1"/>
  <c r="H8" i="16" a="1"/>
  <c r="J6" i="16"/>
  <c r="C22" i="4"/>
  <c r="H6" i="16" a="1"/>
  <c r="I10" i="16"/>
  <c r="H9" i="16" a="1"/>
  <c r="J10" i="16" a="1"/>
  <c r="L7" i="16" a="1"/>
  <c r="F6" i="16" a="1"/>
  <c r="F8" i="16" a="1"/>
  <c r="E22" i="4"/>
  <c r="L6" i="16" a="1"/>
  <c r="I7" i="16" a="1"/>
  <c r="H22" i="4"/>
  <c r="D9" i="16" a="1"/>
  <c r="G7" i="16" a="1"/>
  <c r="E7" i="16" a="1"/>
  <c r="H7" i="16" a="1"/>
  <c r="F9" i="16" a="1"/>
  <c r="D10" i="16" a="1"/>
  <c r="F22" i="4"/>
  <c r="I6" i="16"/>
  <c r="I8" i="16" a="1"/>
  <c r="E6" i="16" a="1"/>
  <c r="E8" i="16" a="1"/>
  <c r="K9" i="16"/>
  <c r="C24" i="4"/>
  <c r="G9" i="16" a="1"/>
  <c r="D22" i="4"/>
  <c r="D8" i="16" a="1"/>
  <c r="F7" i="16" a="1"/>
  <c r="J9" i="16" a="1"/>
  <c r="E23" i="4"/>
  <c r="K8" i="16"/>
  <c r="F10" i="16" a="1"/>
  <c r="K10" i="16"/>
  <c r="D23" i="4"/>
  <c r="G23" i="4"/>
  <c r="F23" i="4"/>
  <c r="H10" i="16" a="1"/>
  <c r="K6" i="16"/>
  <c r="L10" i="16" a="1"/>
  <c r="C23" i="4"/>
  <c r="D7" i="16" a="1"/>
  <c r="I9" i="16" a="1"/>
  <c r="D6" i="16" a="1"/>
  <c r="F1192" i="14" l="1"/>
  <c r="H1192" i="14"/>
  <c r="I1192" i="14" s="1"/>
  <c r="L1194" i="3"/>
  <c r="K1194" i="3"/>
  <c r="I1194" i="3" s="1"/>
  <c r="Y1194" i="3"/>
  <c r="Z1194" i="3" s="1"/>
  <c r="AA1194" i="3" s="1"/>
  <c r="L1193" i="3"/>
  <c r="Y1193" i="3"/>
  <c r="Z1193" i="3" s="1"/>
  <c r="AA1193" i="3" s="1"/>
  <c r="K1193" i="3"/>
  <c r="I1193" i="3" s="1"/>
  <c r="F1190" i="14"/>
  <c r="G1191" i="14" s="1"/>
  <c r="G1192" i="14" s="1"/>
  <c r="L1192" i="3"/>
  <c r="K1192" i="3"/>
  <c r="I1192" i="3" s="1"/>
  <c r="Y1192" i="3"/>
  <c r="Z1192" i="3" s="1"/>
  <c r="AA1192" i="3" s="1"/>
  <c r="F8" i="16"/>
  <c r="G10" i="16"/>
  <c r="H8" i="16"/>
  <c r="I8" i="16"/>
  <c r="H9" i="16"/>
  <c r="F10" i="16"/>
  <c r="L8" i="16"/>
  <c r="E9" i="16"/>
  <c r="G6" i="16"/>
  <c r="J8" i="16"/>
  <c r="L10" i="16"/>
  <c r="G7" i="16"/>
  <c r="J7" i="16"/>
  <c r="G9" i="16"/>
  <c r="J10" i="16"/>
  <c r="E10" i="16"/>
  <c r="H10" i="16"/>
  <c r="J9" i="16"/>
  <c r="G8" i="16"/>
  <c r="F6" i="16"/>
  <c r="H6" i="16"/>
  <c r="D6" i="16"/>
  <c r="E8" i="16"/>
  <c r="I7" i="16"/>
  <c r="D9" i="16"/>
  <c r="L9" i="16"/>
  <c r="L6" i="16"/>
  <c r="H7" i="16"/>
  <c r="E7" i="16"/>
  <c r="F9" i="16"/>
  <c r="L7" i="16"/>
  <c r="D10" i="16"/>
  <c r="F7" i="16"/>
  <c r="D7" i="16"/>
  <c r="E6" i="16"/>
  <c r="I9" i="16"/>
  <c r="D8" i="16"/>
  <c r="G16" i="16"/>
  <c r="G17" i="16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2" i="14" l="1"/>
  <c r="Y1192" i="14"/>
  <c r="Z1192" i="14" s="1"/>
  <c r="AA1192" i="14" s="1"/>
  <c r="H1191" i="14"/>
  <c r="L1190" i="14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I1191" i="14" l="1"/>
  <c r="J1191" i="14"/>
  <c r="J1192" i="14" s="1"/>
  <c r="U7" i="16"/>
  <c r="L1191" i="14" l="1"/>
  <c r="Y1191" i="14"/>
  <c r="Z1191" i="14" s="1"/>
  <c r="AA1191" i="14" s="1"/>
  <c r="U6" i="16"/>
  <c r="U5" i="16" l="1"/>
  <c r="H5" i="16"/>
  <c r="G5" i="16"/>
  <c r="F5" i="16"/>
  <c r="E5" i="16"/>
  <c r="D5" i="16"/>
  <c r="O5" i="16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4" i="3" l="1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93" i="3" l="1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J1189" i="3" l="1"/>
  <c r="J1190" i="3" s="1"/>
  <c r="J1191" i="3" s="1"/>
  <c r="K1176" i="3"/>
  <c r="K1177" i="3" s="1"/>
  <c r="K1178" i="3" s="1"/>
  <c r="K1179" i="3" s="1"/>
  <c r="G1166" i="3"/>
  <c r="F1163" i="14"/>
  <c r="H1164" i="14" s="1"/>
  <c r="I1164" i="14" s="1"/>
  <c r="J1192" i="3" l="1"/>
  <c r="H1191" i="3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F1164" i="3" l="1"/>
  <c r="G1164" i="3" s="1"/>
  <c r="Q1194" i="3"/>
  <c r="R1194" i="3" s="1"/>
  <c r="H1192" i="3"/>
  <c r="J1193" i="3"/>
  <c r="J1194" i="3" s="1"/>
  <c r="H1194" i="3" s="1"/>
  <c r="K1189" i="3"/>
  <c r="H1162" i="14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AC1193" i="3" l="1"/>
  <c r="AC1194" i="3"/>
  <c r="H1193" i="3"/>
  <c r="O8" i="16"/>
  <c r="K1190" i="3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Q8" i="16"/>
  <c r="O10" i="16"/>
  <c r="Q10" i="16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04" i="3" l="1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Y1101" i="14" l="1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5" i="14" l="1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Y805" i="14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5" i="14" l="1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9" i="14" l="1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2" i="14" l="1"/>
  <c r="O1192" i="14"/>
  <c r="W1192" i="14" s="1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92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2" i="14" l="1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2" i="14" l="1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9" i="3" l="1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3" i="3" l="1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Z944" i="3" s="1"/>
  <c r="AA944" i="3" s="1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3" i="3" l="1"/>
  <c r="AA943" i="3" s="1"/>
  <c r="AB1194" i="3"/>
  <c r="Z942" i="3"/>
  <c r="AA942" i="3" s="1"/>
  <c r="AB1193" i="3"/>
  <c r="Z941" i="3"/>
  <c r="AA941" i="3" s="1"/>
  <c r="AB1192" i="3"/>
  <c r="Z940" i="3"/>
  <c r="AA940" i="3" s="1"/>
  <c r="AB1191" i="3"/>
  <c r="Z939" i="3"/>
  <c r="AA939" i="3" s="1"/>
  <c r="AB1190" i="3"/>
  <c r="Z938" i="3"/>
  <c r="AA938" i="3" s="1"/>
  <c r="AB1189" i="3"/>
  <c r="Z937" i="3"/>
  <c r="AA937" i="3" s="1"/>
  <c r="AB1188" i="3"/>
  <c r="Z936" i="3"/>
  <c r="AA936" i="3" s="1"/>
  <c r="AB118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7" i="3" l="1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4" i="3" l="1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<sst xmlns="http://schemas.openxmlformats.org/spreadsheetml/2006/main" count="778" uniqueCount="351">
  <si>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</si>
  <si>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</si>
  <si>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</si>
  <si>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</si>
  <si>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</si>
  <si>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</si>
  <si>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</si>
  <si>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</si>
  <si>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</si>
  <si>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</si>
  <si>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</si>
  <si>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</si>
  <si>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</si>
  <si>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</si>
  <si>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</si>
  <si>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</si>
  <si>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</si>
  <si>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</si>
  <si>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</si>
  <si>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</si>
  <si>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</si>
  <si>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</si>
  <si>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</si>
  <si>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</si>
  <si>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</si>
  <si>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</si>
  <si>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</si>
  <si>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</si>
  <si>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</si>
  <si>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</si>
  <si>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</si>
  <si>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</si>
  <si>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</si>
  <si>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</si>
  <si>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</si>
  <si>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</si>
  <si>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</si>
  <si>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</si>
  <si>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</si>
  <si>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</si>
  <si>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</si>
  <si>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</si>
  <si>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</si>
  <si>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</si>
  <si>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</si>
  <si>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</si>
  <si>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</si>
  <si>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</si>
  <si>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</si>
  <si>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</si>
  <si>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</si>
  <si>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</si>
  <si>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</si>
  <si>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</si>
  <si>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</si>
  <si>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</si>
  <si>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</si>
  <si>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</si>
  <si>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</si>
  <si>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</si>
  <si>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</si>
  <si>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</si>
  <si>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</si>
  <si>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</si>
  <si>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</si>
  <si>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</si>
  <si>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</si>
  <si>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</si>
  <si>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</si>
  <si>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</si>
  <si>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</si>
  <si>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</si>
  <si>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</si>
  <si>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</si>
  <si>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</si>
  <si>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</si>
  <si>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</si>
  <si>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</si>
  <si>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</si>
  <si>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</si>
  <si>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</si>
  <si>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</si>
  <si>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</si>
  <si>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</si>
  <si>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</si>
  <si>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</si>
  <si>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</si>
  <si>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</si>
  <si>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</si>
  <si>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</si>
  <si>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</si>
  <si>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</si>
  <si>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</si>
  <si>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</si>
  <si>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</si>
  <si>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</si>
  <si>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</si>
  <si>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</si>
  <si>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</si>
  <si>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</si>
  <si>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</si>
  <si>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</si>
  <si>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</si>
  <si>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</si>
  <si>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</si>
  <si>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</si>
  <si>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</si>
  <si>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</si>
  <si>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</si>
  <si>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</si>
  <si>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</si>
  <si>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</si>
  <si>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</si>
  <si>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</si>
  <si>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</si>
  <si>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</si>
  <si>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</si>
  <si>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</si>
  <si>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</si>
  <si>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</si>
  <si>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</si>
  <si>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</si>
  <si>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</si>
  <si>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</si>
  <si>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</si>
  <si>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</si>
  <si>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</si>
  <si>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</si>
  <si>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</si>
  <si>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</si>
  <si>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</si>
  <si>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</si>
  <si>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</si>
  <si>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</si>
  <si>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</si>
  <si>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</si>
  <si>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</si>
  <si>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</si>
  <si>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</si>
  <si>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</si>
  <si>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</si>
  <si>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</si>
  <si>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</si>
  <si>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</si>
  <si>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</si>
  <si>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</si>
  <si>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</si>
  <si>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</si>
  <si>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</si>
  <si>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</si>
  <si>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</si>
  <si>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</si>
  <si>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</si>
  <si>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</si>
  <si>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</si>
  <si>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</si>
  <si>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</si>
  <si>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</si>
  <si>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</si>
  <si>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</si>
  <si>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</si>
  <si>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</si>
  <si>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</si>
  <si>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</si>
  <si>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</si>
  <si>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</si>
  <si>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</si>
  <si>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</si>
  <si>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</si>
  <si>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</si>
  <si>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</si>
  <si>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</si>
  <si>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</si>
  <si>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</si>
  <si>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</si>
  <si>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</si>
  <si>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</si>
  <si>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</si>
  <si>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</si>
  <si>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</si>
  <si>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</si>
  <si>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</si>
  <si>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</si>
  <si>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</si>
  <si>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</si>
  <si>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</si>
  <si>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</si>
  <si>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</si>
  <si>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</si>
  <si>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</si>
  <si>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</si>
  <si>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</si>
  <si>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</si>
  <si>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</si>
  <si>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</si>
  <si>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</si>
  <si>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</si>
  <si>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</si>
  <si>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</si>
  <si>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</si>
  <si>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</si>
  <si>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</si>
  <si>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</si>
  <si>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</si>
  <si>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</si>
  <si>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</si>
  <si>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</si>
  <si>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</si>
  <si>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</si>
  <si>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</si>
  <si>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</si>
  <si>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</si>
  <si>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</si>
  <si>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</si>
  <si>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</si>
  <si>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</si>
  <si>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</si>
  <si>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</si>
  <si>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</si>
  <si>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</si>
  <si>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</si>
  <si>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</si>
  <si>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</si>
  <si>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</si>
  <si>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</si>
  <si>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</si>
  <si>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</si>
  <si>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</si>
  <si>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</si>
  <si>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</si>
  <si>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</si>
  <si>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</si>
  <si>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</si>
  <si>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</si>
  <si>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</si>
  <si>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</si>
  <si>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</si>
  <si>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</si>
  <si>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</si>
  <si>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</si>
  <si>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</si>
  <si>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</si>
  <si>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</si>
  <si>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</si>
  <si>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</si>
  <si>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</si>
  <si>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</si>
  <si>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</si>
  <si>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</si>
  <si>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</si>
  <si>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</si>
  <si>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</si>
  <si>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</si>
  <si>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</si>
  <si>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</si>
  <si>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</si>
  <si>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</si>
  <si>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</si>
  <si>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</si>
  <si>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</si>
  <si>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</si>
  <si>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</si>
  <si>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</si>
  <si>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</si>
  <si>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</si>
  <si>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</si>
  <si>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</si>
  <si>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</si>
  <si>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</si>
  <si>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</si>
  <si>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</si>
  <si>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</si>
  <si>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</si>
  <si>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</si>
  <si>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</si>
  <si>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</si>
  <si>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</si>
  <si>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</si>
  <si>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</si>
  <si>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</si>
  <si>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</si>
  <si>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</si>
  <si>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</si>
  <si>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</si>
  <si>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</si>
  <si>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</si>
  <si>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</si>
  <si>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</si>
  <si>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</si>
  <si>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</si>
  <si>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</si>
  <si>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</si>
  <si>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</si>
  <si>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</si>
  <si>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</si>
  <si>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</si>
  <si>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</si>
  <si>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</si>
  <si>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</si>
  <si>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</si>
  <si>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</si>
  <si>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</si>
  <si>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</si>
  <si>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</si>
  <si>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</si>
  <si>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</si>
  <si>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</si>
  <si>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</si>
  <si>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</si>
  <si>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</si>
  <si>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</si>
  <si>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</si>
  <si>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</si>
  <si>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</si>
  <si>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</si>
  <si>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</si>
  <si>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</si>
  <si>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</si>
  <si>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</si>
  <si>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</si>
  <si>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</si>
  <si>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</si>
  <si>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</si>
  <si>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</si>
  <si>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</si>
  <si>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</si>
  <si>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</si>
  <si>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</si>
  <si>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</si>
  <si>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</si>
  <si>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</si>
  <si>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</si>
  <si>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</si>
  <si>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</si>
  <si>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</si>
  <si>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</si>
  <si>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</si>
  <si>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</si>
  <si>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</si>
  <si>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</si>
  <si>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</si>
  <si>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</si>
  <si>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</si>
  <si>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</si>
  <si>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</si>
  <si>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07FEB25 119 P</t>
  </si>
  <si>
    <t>NVDA 07FEB25 120 P</t>
  </si>
  <si>
    <t>SGOV</t>
  </si>
  <si>
    <t>NVDA 07FEB25 126 C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</si>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</sst>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Data...3714340534</v>
        <stp/>
        <stp>BDP|13843568691370437419</stp>
        <tr r="G9" s="16"/>
      </tp>
      <tp t="s">
        <v>#N/A Requesting Data...3480766365</v>
        <stp/>
        <stp>BDP|17488990371770934291</stp>
        <tr r="L9" s="16"/>
      </tp>
      <tp t="s">
        <v>#N/A Requesting Data...3018144145</v>
        <stp/>
        <stp>BDP|13727818016546450707</stp>
        <tr r="H10" s="16"/>
      </tp>
      <tp t="s">
        <v>#N/A Requesting Data...2047211804</v>
        <stp/>
        <stp>BDP|11025807958107061305</stp>
        <tr r="D6" s="16"/>
      </tp>
      <tp t="s">
        <v>#N/A Requesting Data...2774288867</v>
        <stp/>
        <stp>BDP|12503804164161346560</stp>
        <tr r="H23" s="4"/>
      </tp>
      <tp t="s">
        <v>#N/A Requesting Data...4186364074</v>
        <stp/>
        <stp>BDP|16037198422009566377</stp>
        <tr r="H7" s="16"/>
      </tp>
      <tp t="s">
        <v>#N/A Requesting Data...2047021889</v>
        <stp/>
        <stp>BDP|14887355760439675744</stp>
        <tr r="G8" s="16"/>
      </tp>
      <tp t="s">
        <v>#N/A Requesting Data...3368318449</v>
        <stp/>
        <stp>BDP|15882609691144832149</stp>
        <tr r="G10" s="16"/>
      </tp>
      <tp t="s">
        <v>#N/A Requesting Data...3630758281</v>
        <stp/>
        <stp>BDP|11927491993173780392</stp>
        <tr r="E7" s="16"/>
      </tp>
      <tp t="s">
        <v>#N/A Requesting Data...2554442336</v>
        <stp/>
        <stp>BDP|18194437827130447215</stp>
        <tr r="K6" s="16"/>
      </tp>
      <tp t="s">
        <v>#N/A Requesting Data...2688987392</v>
        <stp/>
        <stp>BDP|15408295575394886937</stp>
        <tr r="H6" s="16"/>
      </tp>
      <tp t="s">
        <v>#N/A Requesting Data...3695627917</v>
        <stp/>
        <stp>BDP|12868917489186433836</stp>
        <tr r="D22" s="4"/>
      </tp>
      <tp t="s">
        <v>#N/A Requesting Data...3469611103</v>
        <stp/>
        <stp>BDP|11441239167720550763</stp>
        <tr r="G22" s="4"/>
      </tp>
      <tp t="s">
        <v>#N/A Requesting Data...1960746634</v>
        <stp/>
        <stp>BDP|16083383279081530134</stp>
        <tr r="G6" s="16"/>
      </tp>
      <tp t="s">
        <v>#N/A Requesting Data...3373953750</v>
        <stp/>
        <stp>BDP|15571183826414458091</stp>
        <tr r="F23" s="4"/>
      </tp>
      <tp t="s">
        <v>#N/A Requesting Data...2143680893</v>
        <stp/>
        <stp>BDP|16691583684581330968</stp>
        <tr r="F22" s="4"/>
      </tp>
      <tp t="s">
        <v>#N/A Requesting Data...3144958491</v>
        <stp/>
        <stp>BDP|10851542879122214334</stp>
        <tr r="K7" s="16"/>
      </tp>
      <tp t="s">
        <v>#N/A Requesting Data...2973666703</v>
        <stp/>
        <stp>BDP|13033893993631589338</stp>
        <tr r="C24" s="4"/>
      </tp>
      <tp t="s">
        <v>#N/A Requesting Data...2763253410</v>
        <stp/>
        <stp>BDP|17427418226980805092</stp>
        <tr r="E6" s="16"/>
      </tp>
      <tp t="s">
        <v>#N/A Requesting Data...3528641423</v>
        <stp/>
        <stp>BDP|12801142977284637660</stp>
        <tr r="F9" s="16"/>
      </tp>
      <tp t="s">
        <v>#N/A Requesting Data...3887988246</v>
        <stp/>
        <stp>BDP|11395363488884515847</stp>
        <tr r="E22" s="4"/>
      </tp>
      <tp t="s">
        <v>#N/A Requesting Data...2141539880</v>
        <stp/>
        <stp>BDP|11453968001806112847</stp>
        <tr r="L10" s="16"/>
      </tp>
      <tp t="s">
        <v>#N/A Requesting Data...3415928672</v>
        <stp/>
        <stp>BDP|13427178278194281624</stp>
        <tr r="H9" s="16"/>
      </tp>
      <tp t="s">
        <v>#N/A Requesting Data...3948593819</v>
        <stp/>
        <stp>BDP|14662245951000286439</stp>
        <tr r="C22" s="4"/>
      </tp>
      <tp t="s">
        <v>#N/A Requesting Data...3550708183</v>
        <stp/>
        <stp>BDP|16854102045504656375</stp>
        <tr r="K10" s="16"/>
      </tp>
      <tp t="s">
        <v>#N/A Requesting Data...3016541490</v>
        <stp/>
        <stp>BDP|17541570393706762923</stp>
        <tr r="K9" s="16"/>
      </tp>
      <tp t="s">
        <v>#N/A Requesting Data...2026133105</v>
        <stp/>
        <stp>BDP|14476774127851531505</stp>
        <tr r="E9" s="16"/>
      </tp>
      <tp t="s">
        <v>#N/A Requesting Data...4073006171</v>
        <stp/>
        <stp>BDP|16879443774998906816</stp>
        <tr r="K8" s="16"/>
      </tp>
    </main>
    <main first="bofaddin.rtdserver">
      <tp t="s">
        <v>#N/A Requesting Data...2587060600</v>
        <stp/>
        <stp>BDP|9184051814111053572</stp>
        <tr r="E8" s="16"/>
      </tp>
      <tp t="s">
        <v>#N/A Requesting Data...3810172706</v>
        <stp/>
        <stp>BDP|1413003601749412533</stp>
        <tr r="L6" s="16"/>
      </tp>
      <tp t="s">
        <v>#N/A Requesting Data...4217726976</v>
        <stp/>
        <stp>BDP|8485886604566386829</stp>
        <tr r="H22" s="4"/>
      </tp>
      <tp t="s">
        <v>#N/A Requesting Data...3074686011</v>
        <stp/>
        <stp>BDP|9958272376154164648</stp>
        <tr r="J9" s="16"/>
      </tp>
      <tp t="s">
        <v>#N/A Requesting Data...3995412283</v>
        <stp/>
        <stp>BDP|4155052320638790009</stp>
        <tr r="L7" s="16"/>
      </tp>
      <tp t="s">
        <v>#N/A Requesting Data...4151638288</v>
        <stp/>
        <stp>BDP|4020462511547452937</stp>
        <tr r="F7" s="16"/>
      </tp>
      <tp t="s">
        <v>#N/A Requesting Data...4094681122</v>
        <stp/>
        <stp>BDP|3599663092060873385</stp>
        <tr r="G23" s="4"/>
      </tp>
      <tp t="s">
        <v>#N/A Requesting Data...3033491285</v>
        <stp/>
        <stp>BDP|5197169271935733907</stp>
        <tr r="H8" s="16"/>
      </tp>
      <tp t="s">
        <v>#N/A Requesting Data...2386411565</v>
        <stp/>
        <stp>BDP|2715175043958188031</stp>
        <tr r="C23" s="4"/>
      </tp>
      <tp t="s">
        <v>#N/A Requesting Data...3633646865</v>
        <stp/>
        <stp>BDP|4938759477168674381</stp>
        <tr r="E23" s="4"/>
      </tp>
      <tp t="s">
        <v>#N/A Requesting Data...2720024259</v>
        <stp/>
        <stp>BDP|4120548091556971632</stp>
        <tr r="J8" s="16"/>
      </tp>
      <tp t="s">
        <v>#N/A Requesting Data...3910031650</v>
        <stp/>
        <stp>BDP|6229753396345444597</stp>
        <tr r="J10" s="16"/>
      </tp>
      <tp t="s">
        <v>#N/A Requesting Data...4269904677</v>
        <stp/>
        <stp>BDP|6992386206898388576</stp>
        <tr r="I6" s="16"/>
      </tp>
      <tp t="s">
        <v>#N/A Requesting Data...3565033976</v>
        <stp/>
        <stp>BDP|1440775866201456872</stp>
        <tr r="I10" s="16"/>
      </tp>
      <tp t="s">
        <v>#N/A Requesting Data...2054716394</v>
        <stp/>
        <stp>BDP|2558557980072118785</stp>
        <tr r="I9" s="16"/>
      </tp>
      <tp t="s">
        <v>#N/A Requesting Data...3578096735</v>
        <stp/>
        <stp>BDP|9567764807640019488</stp>
        <tr r="D23" s="4"/>
      </tp>
      <tp t="s">
        <v>#N/A Requesting Data...3836225403</v>
        <stp/>
        <stp>BDP|6919533648008043579</stp>
        <tr r="J6" s="16"/>
      </tp>
      <tp t="s">
        <v>#N/A Requesting Data...2535389321</v>
        <stp/>
        <stp>BDP|1309843736337904909</stp>
        <tr r="G7" s="16"/>
      </tp>
      <tp t="s">
        <v>#N/A Requesting Data...2365000934</v>
        <stp/>
        <stp>BDP|1008282973937479734</stp>
        <tr r="F10" s="16"/>
      </tp>
      <tp t="s">
        <v>#N/A Requesting Data...3040243712</v>
        <stp/>
        <stp>BDP|6402462776015551568</stp>
        <tr r="D7" s="16"/>
      </tp>
      <tp t="s">
        <v>#N/A Requesting Data...3000215881</v>
        <stp/>
        <stp>BDP|3917812088037969338</stp>
        <tr r="I8" s="16"/>
      </tp>
      <tp t="s">
        <v>#N/A Requesting Data...3090320219</v>
        <stp/>
        <stp>BDP|3783811399514793104</stp>
        <tr r="D9" s="16"/>
      </tp>
      <tp t="s">
        <v>#N/A Requesting Data...2712117913</v>
        <stp/>
        <stp>BDP|3813102979953158681</stp>
        <tr r="D8" s="16"/>
      </tp>
      <tp t="s">
        <v>#N/A Requesting Data...3321707372</v>
        <stp/>
        <stp>BDP|3016032546861645645</stp>
        <tr r="L8" s="16"/>
      </tp>
      <tp t="s">
        <v>#N/A Requesting Data...3013710865</v>
        <stp/>
        <stp>BDP|5342164155427751487</stp>
        <tr r="I7" s="16"/>
      </tp>
      <tp t="s">
        <v>#N/A Requesting Data...4039948810</v>
        <stp/>
        <stp>BDP|5398486785213771927</stp>
        <tr r="F8" s="16"/>
      </tp>
      <tp t="s">
        <v>#N/A Requesting Data...3616630604</v>
        <stp/>
        <stp>BDP|2470954931023095833</stp>
        <tr r="J7" s="16"/>
      </tp>
      <tp t="s">
        <v>#N/A Requesting Data...3999172521</v>
        <stp/>
        <stp>BDP|684981373249800382</stp>
        <tr r="E10" s="16"/>
      </tp>
      <tp t="s">
        <v>#N/A Requesting Data...4041180989</v>
        <stp/>
        <stp>BDP|278915754941876425</stp>
        <tr r="D10" s="16"/>
      </tp>
      <tp t="s">
        <v>#N/A Requesting Data...3501380803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NAV'!$A$1169:$A$1494</c:f>
              <c:numCache>
                <c:formatCode>[$-409]d\-mmm\-yy;@</c:formatCode>
                <c:ptCount val="326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</c:numCache>
            </c:numRef>
          </c:cat>
          <c:val>
            <c:numRef>
              <c:f>'Historical NAV'!$N$1169:$N$1493</c:f>
              <c:numCache>
                <c:formatCode>0.00%;[Red]\(0.00%\)</c:formatCode>
                <c:ptCount val="325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NAV'!$A$2:$A$1494</c:f>
              <c:numCache>
                <c:formatCode>[$-409]d\-mmm\-yy;@</c:formatCode>
                <c:ptCount val="1493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</c:numCache>
            </c:numRef>
          </c:cat>
          <c:val>
            <c:numRef>
              <c:f>'Historical NAV'!$M$2:$M$1493</c:f>
              <c:numCache>
                <c:formatCode>0.00%;[Red]\(0.00%\)</c:formatCode>
                <c:ptCount val="1492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8610</c:v>
                </c:pt>
                <c:pt idx="2">
                  <c:v>0</c:v>
                </c:pt>
                <c:pt idx="3">
                  <c:v>53867.83</c:v>
                </c:pt>
                <c:pt idx="4">
                  <c:v>0</c:v>
                </c:pt>
                <c:pt idx="5">
                  <c:v>0</c:v>
                </c:pt>
                <c:pt idx="6">
                  <c:v>8637.34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236448.66000000041</c:v>
                </c:pt>
                <c:pt idx="2">
                  <c:v>174582.74999999991</c:v>
                </c:pt>
                <c:pt idx="3">
                  <c:v>203112.45999999996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902764.65000000014</c:v>
                </c:pt>
                <c:pt idx="7">
                  <c:v>0</c:v>
                </c:pt>
                <c:pt idx="8">
                  <c:v>66827244.198171519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I57" sqref="I5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45694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2.8207856339060013E-4</v>
      </c>
      <c r="D4" s="91"/>
      <c r="E4" s="92"/>
    </row>
    <row r="5" spans="1:23">
      <c r="A5" t="s">
        <v>66</v>
      </c>
      <c r="B5" s="8">
        <f ca="1">OFFSET('Historical NAV'!K1,COUNT('Historical NAV'!A:A),,,)</f>
        <v>2.8207856339060013E-4</v>
      </c>
      <c r="E5" s="146"/>
    </row>
    <row r="6" spans="1:23">
      <c r="A6" t="s">
        <v>283</v>
      </c>
      <c r="B6" s="8">
        <f ca="1">OFFSET('Historical NAV'!N1,COUNT('Historical NAV'!A:A),,,)</f>
        <v>6.5133316390477258E-2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2.8207856339060013E-4</v>
      </c>
      <c r="D9" t="s">
        <v>188</v>
      </c>
      <c r="E9" s="146">
        <f ca="1">OFFSET('Historical NAV'!B1,COUNT('Historical NAV'!A:A),,,)</f>
        <v>66395828.245891698</v>
      </c>
    </row>
    <row r="10" spans="1:23">
      <c r="A10" t="s">
        <v>181</v>
      </c>
      <c r="B10" s="2">
        <f ca="1">E13/E9</f>
        <v>0.95712474531759695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-0.125515027780395</v>
      </c>
      <c r="D11" t="s">
        <v>160</v>
      </c>
      <c r="E11" s="8">
        <f ca="1">E10/E9</f>
        <v>0.62611652973200582</v>
      </c>
    </row>
    <row r="12" spans="1:23">
      <c r="A12" t="s">
        <v>147</v>
      </c>
      <c r="B12" s="8">
        <f ca="1">OFFSET('Historical NAV'!T1,COUNT('Historical NAV'!A:A),,,)</f>
        <v>9.9208769790809191E-3</v>
      </c>
    </row>
    <row r="13" spans="1:23">
      <c r="A13" t="s">
        <v>148</v>
      </c>
      <c r="B13" s="8">
        <f ca="1">OFFSET('Historical NAV'!V1,COUNT('Historical NAV'!A:A),,,)</f>
        <v>0.81497619613550931</v>
      </c>
      <c r="D13" s="99" t="s">
        <v>180</v>
      </c>
      <c r="E13" s="152">
        <f>K25</f>
        <v>63549090.200000003</v>
      </c>
    </row>
    <row r="14" spans="1:23">
      <c r="A14" t="s">
        <v>125</v>
      </c>
      <c r="B14" s="51">
        <f ca="1">OFFSET('Historical NAV'!W1,COUNT('Historical NAV'!A:A),,,)</f>
        <v>1.5349922871126114</v>
      </c>
      <c r="D14" s="303">
        <v>5.0000000000000001E-3</v>
      </c>
      <c r="E14" s="123">
        <f>(D14*$E$13)/(1-D14)</f>
        <v>319342.16180904524</v>
      </c>
    </row>
    <row r="15" spans="1:23">
      <c r="A15" t="s">
        <v>144</v>
      </c>
      <c r="B15" s="51">
        <f ca="1">OFFSET('Historical NAV'!AB1,COUNT('Historical NAV'!A:A),,,)</f>
        <v>3.966762886465808</v>
      </c>
      <c r="D15" s="303">
        <v>0.01</v>
      </c>
      <c r="E15" s="123">
        <f>(D15*$E$13)/(1-D15)</f>
        <v>641910.002020202</v>
      </c>
      <c r="F15" s="133"/>
    </row>
    <row r="16" spans="1:23">
      <c r="A16" t="s">
        <v>145</v>
      </c>
      <c r="B16" s="51">
        <f ca="1">OFFSET('Historical NAV'!P1,COUNT('Historical NAV'!A:A),,,)</f>
        <v>0.46808510045408042</v>
      </c>
      <c r="D16" s="303">
        <v>1.4999999999999999E-2</v>
      </c>
      <c r="E16" s="123">
        <f>(D16*$E$13)/(1-D16)</f>
        <v>967752.64263959392</v>
      </c>
      <c r="F16" s="169"/>
    </row>
    <row r="17" spans="1:23">
      <c r="A17" t="s">
        <v>185</v>
      </c>
      <c r="B17" s="51">
        <f ca="1">OFFSET('Historical NAV'!AC1,COUNT('Historical NAV'!A:A),,,)</f>
        <v>-4.623182238468318E-2</v>
      </c>
      <c r="D17" s="303">
        <v>0.05</v>
      </c>
      <c r="E17" s="123">
        <f>(D17*$E$13)/(1-D17)</f>
        <v>3344688.9578947374</v>
      </c>
    </row>
    <row r="18" spans="1:23">
      <c r="A18" t="s">
        <v>186</v>
      </c>
      <c r="B18" s="51">
        <f ca="1">OFFSET('Historical NAV'!AD1,COUNT('Historical NAV'!A:A),,,)</f>
        <v>-3.870461888810095E-2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-4.8753428784095137E-2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4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6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128680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63420084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326.20000000000005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63549090.200000003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128680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2.0248913020630465E-3</v>
      </c>
      <c r="D26" s="103">
        <f>D25/$K$25</f>
        <v>0</v>
      </c>
      <c r="E26" s="103">
        <f>E25/$K$25</f>
        <v>0.99796997565828249</v>
      </c>
      <c r="F26" s="103">
        <f t="shared" si="0"/>
        <v>0</v>
      </c>
      <c r="G26" s="103">
        <f t="shared" si="0"/>
        <v>0</v>
      </c>
      <c r="H26" s="103">
        <f t="shared" si="0"/>
        <v>5.1330396544370985E-6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2.0248913020630465E-3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1.9380735717829107E-3</v>
      </c>
      <c r="D27" s="165">
        <f ca="1">D25/$E$9</f>
        <v>0</v>
      </c>
      <c r="E27" s="165">
        <f t="shared" ref="E27:K27" ca="1" si="1">E25/$E$9</f>
        <v>0.9551817587865421</v>
      </c>
      <c r="F27" s="165">
        <f t="shared" ca="1" si="1"/>
        <v>0</v>
      </c>
      <c r="G27" s="165">
        <f t="shared" ca="1" si="1"/>
        <v>0</v>
      </c>
      <c r="H27" s="165">
        <f t="shared" ca="1" si="1"/>
        <v>4.9129592719582344E-6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0.95712474531759695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3850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12636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1626.5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18112.5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66827244.198171519</v>
      </c>
      <c r="K33" s="154">
        <f t="shared" ref="K33:K44" si="2">SUM(B33:J33)</f>
        <v>71467337.668171525</v>
      </c>
      <c r="L33" s="154" t="e">
        <f>SUM(Email!$T$9:$T$11)-K33</f>
        <v>#N/A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8610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53867.83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8637.34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71115.17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236448.66000000041</v>
      </c>
      <c r="D45" s="164">
        <f>SUM(D33:D44)</f>
        <v>174582.74999999991</v>
      </c>
      <c r="E45" s="164">
        <f t="shared" si="3"/>
        <v>203112.45999999996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902764.65000000014</v>
      </c>
      <c r="I45" s="164">
        <f t="shared" si="3"/>
        <v>0</v>
      </c>
      <c r="J45" s="164">
        <f>SUM(J33:J44)</f>
        <v>66827244.198171519</v>
      </c>
      <c r="K45" s="164">
        <f>SUM(K33:K44)</f>
        <v>71538452.838171527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1.0564659124704971</v>
      </c>
      <c r="K50" s="299">
        <f>K33/'Historical NAV'!$B$1169</f>
        <v>1.1298207341536286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9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197" sqref="J1197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4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3" si="1104">J1191</f>
        <v>2282.6036987006664</v>
      </c>
      <c r="I1191" s="271">
        <f t="shared" si="1104"/>
        <v>3.4427363665653338E-5</v>
      </c>
      <c r="J1191" s="67">
        <f t="shared" ref="J1191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272">
        <f t="shared" si="1104"/>
        <v>27725.987976402044</v>
      </c>
      <c r="I1192" s="271">
        <f t="shared" si="1104"/>
        <v>3.8373655853956201E-4</v>
      </c>
      <c r="J1192" s="67">
        <f t="shared" ref="J1192" si="1125">IF(MONTH(A1192)=MONTH(A1191),J1191+F1192,F1192)</f>
        <v>27725.987976402044</v>
      </c>
      <c r="K1192" s="85">
        <f>G1192</f>
        <v>3.8373655853956201E-4</v>
      </c>
      <c r="L1192" s="70">
        <f t="shared" ref="L1192" si="1126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7">B1192-C1192-D1161</f>
        <v>-5687630.8624077961</v>
      </c>
      <c r="R1192" s="70">
        <f t="shared" ref="R1192" si="1128">Q1192/B1161</f>
        <v>-7.8975814431353417E-2</v>
      </c>
      <c r="S1192" s="67">
        <f t="shared" ref="S1192" si="1129">B1192-C1192-D1103</f>
        <v>3095815.0129831955</v>
      </c>
      <c r="T1192" s="70">
        <f t="shared" ref="T1192" si="1130">S1192/B1101</f>
        <v>4.719188905212595E-2</v>
      </c>
      <c r="U1192" s="67">
        <f t="shared" ref="U1192" si="1131">B1192-C1192-D828</f>
        <v>29742296.202785797</v>
      </c>
      <c r="V1192" s="70">
        <f t="shared" ref="V1192" si="1132">U1192/B826</f>
        <v>0.81040067455491804</v>
      </c>
      <c r="W1192" s="87">
        <f t="shared" ref="W1192" si="1133">O1192/P1192</f>
        <v>1.5740117007540955</v>
      </c>
      <c r="X1192" s="142">
        <f t="shared" si="656"/>
        <v>1.7857142857142857E-4</v>
      </c>
      <c r="Y1192" s="139">
        <f t="shared" ref="Y1192" si="1134">G1192-X1192</f>
        <v>2.0516512996813344E-4</v>
      </c>
      <c r="Z1192" s="139">
        <f t="shared" ref="Z1192" si="1135">IF(Y1192&lt;0,Y1192,0)</f>
        <v>0</v>
      </c>
      <c r="AA1192" s="139">
        <f t="shared" ref="AA1192" si="1136">Z1192^2</f>
        <v>0</v>
      </c>
      <c r="AB1192" s="144">
        <f t="shared" ref="AB1192" si="1137">AVERAGE(Y941:Y1192)/AVERAGE(AA941:AA1192)</f>
        <v>4.2020843650905375</v>
      </c>
      <c r="AC1192" s="144">
        <f t="shared" ref="AC1192" si="1138">AVERAGE(G1163:G1192)-_xlfn.NORM.S.INV(0.95)*_xlfn.STDEV.S(G1163:G1192)</f>
        <v>-4.5996939819967948E-2</v>
      </c>
      <c r="AD1192" s="144">
        <f t="shared" ref="AD1192" si="1139">AVERAGE(G1103:G1192)-_xlfn.NORM.S.INV(0.95)*_xlfn.STDEV.S(G1103:G1192)</f>
        <v>-3.9509575135292269E-2</v>
      </c>
      <c r="AE1192" s="144">
        <f t="shared" ref="AE1192" si="1140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1">B1193</f>
        <v>66377104.687559403</v>
      </c>
      <c r="E1193" s="67">
        <f t="shared" ref="E1193" si="1142">IF(MONTH(A1193)=MONTH(A1192),E1192,D1192)</f>
        <v>66302018.384809397</v>
      </c>
      <c r="F1193" s="67">
        <f t="shared" ref="F1193" si="1143">B1193-C1193-D1192</f>
        <v>47360.314773604274</v>
      </c>
      <c r="G1193" s="70">
        <f t="shared" ref="G1193" si="1144">F1193/B1192</f>
        <v>7.1401322621462678E-4</v>
      </c>
      <c r="H1193" s="272">
        <f t="shared" si="1104"/>
        <v>75086.302750006318</v>
      </c>
      <c r="I1193" s="271">
        <f t="shared" si="1104"/>
        <v>7.1401322621462678E-4</v>
      </c>
      <c r="J1193" s="67">
        <f t="shared" ref="J1193" si="1145">IF(MONTH(A1193)=MONTH(A1192),J1192+F1193,F1193)</f>
        <v>75086.302750006318</v>
      </c>
      <c r="K1193" s="85">
        <f>G1193</f>
        <v>7.1401322621462678E-4</v>
      </c>
      <c r="L1193" s="70">
        <f t="shared" ref="L1193" si="1146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47">B1193-C1193-D1162</f>
        <v>-7806257.2440262958</v>
      </c>
      <c r="R1193" s="70">
        <f t="shared" ref="R1193" si="1148">Q1193/B1162</f>
        <v>-0.10522921906970838</v>
      </c>
      <c r="S1193" s="67">
        <f t="shared" ref="S1193" si="1149">B1193-C1193-D1104</f>
        <v>1382855.0866918042</v>
      </c>
      <c r="T1193" s="70">
        <f t="shared" ref="T1193" si="1150">S1193/B1102</f>
        <v>2.1123206608721086E-2</v>
      </c>
      <c r="U1193" s="67">
        <f t="shared" ref="U1193" si="1151">B1193-C1193-D829</f>
        <v>29081740.547559403</v>
      </c>
      <c r="V1193" s="70">
        <f t="shared" ref="V1193" si="1152">U1193/B827</f>
        <v>0.79849045714227029</v>
      </c>
      <c r="W1193" s="87">
        <f t="shared" ref="W1193" si="1153">O1193/P1193</f>
        <v>1.5584327058228806</v>
      </c>
      <c r="X1193" s="142">
        <f t="shared" si="656"/>
        <v>1.7857142857142857E-4</v>
      </c>
      <c r="Y1193" s="139">
        <f t="shared" ref="Y1193" si="1154">G1193-X1193</f>
        <v>5.3544179764319823E-4</v>
      </c>
      <c r="Z1193" s="139">
        <f t="shared" ref="Z1193" si="1155">IF(Y1193&lt;0,Y1193,0)</f>
        <v>0</v>
      </c>
      <c r="AA1193" s="139">
        <f t="shared" ref="AA1193" si="1156">Z1193^2</f>
        <v>0</v>
      </c>
      <c r="AB1193" s="144">
        <f t="shared" ref="AB1193" si="1157">AVERAGE(Y942:Y1193)/AVERAGE(AA942:AA1193)</f>
        <v>4.0515148461988888</v>
      </c>
      <c r="AC1193" s="144">
        <f t="shared" ref="AC1193" si="1158">AVERAGE(G1164:G1193)-_xlfn.NORM.S.INV(0.95)*_xlfn.STDEV.S(G1164:G1193)</f>
        <v>-4.6240037404950848E-2</v>
      </c>
      <c r="AD1193" s="144">
        <f t="shared" ref="AD1193" si="1159">AVERAGE(G1104:G1193)-_xlfn.NORM.S.INV(0.95)*_xlfn.STDEV.S(G1104:G1193)</f>
        <v>-3.8636092314228231E-2</v>
      </c>
      <c r="AE1193" s="144">
        <f t="shared" ref="AE1193" si="1160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1">B1194</f>
        <v>66395828.245891698</v>
      </c>
      <c r="E1194" s="67">
        <f t="shared" ref="E1194" si="1162">IF(MONTH(A1194)=MONTH(A1193),E1193,D1193)</f>
        <v>66302018.384809397</v>
      </c>
      <c r="F1194" s="67">
        <f t="shared" ref="F1194" si="1163">B1194-C1194-D1193</f>
        <v>18723.558332294226</v>
      </c>
      <c r="G1194" s="70">
        <f t="shared" ref="G1194" si="1164">F1194/B1193</f>
        <v>2.8207856339060013E-4</v>
      </c>
      <c r="H1194" s="272">
        <f t="shared" ref="H1194" si="1165">J1194</f>
        <v>93809.861082300544</v>
      </c>
      <c r="I1194" s="271">
        <f t="shared" ref="I1194" si="1166">K1194</f>
        <v>2.8207856339060013E-4</v>
      </c>
      <c r="J1194" s="67">
        <f t="shared" ref="J1194" si="1167">IF(MONTH(A1194)=MONTH(A1193),J1193+F1194,F1194)</f>
        <v>93809.861082300544</v>
      </c>
      <c r="K1194" s="85">
        <f>G1194</f>
        <v>2.8207856339060013E-4</v>
      </c>
      <c r="L1194" s="70">
        <f t="shared" ref="L1194" si="1168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69">B1194-C1194-D1163</f>
        <v>-9529808.3918275014</v>
      </c>
      <c r="R1194" s="70">
        <f t="shared" ref="R1194" si="1170">Q1194/B1163</f>
        <v>-0.125515027780395</v>
      </c>
      <c r="S1194" s="67">
        <f t="shared" ref="S1194" si="1171">B1194-C1194-D1105</f>
        <v>627336.03408249468</v>
      </c>
      <c r="T1194" s="70">
        <f t="shared" ref="T1194" si="1172">S1194/B1103</f>
        <v>9.9208769790809191E-3</v>
      </c>
      <c r="U1194" s="67">
        <f t="shared" ref="U1194" si="1173">B1194-C1194-D830</f>
        <v>29817899.335891701</v>
      </c>
      <c r="V1194" s="70">
        <f t="shared" ref="V1194" si="1174">U1194/B828</f>
        <v>0.81497619613550931</v>
      </c>
      <c r="W1194" s="87">
        <f t="shared" ref="W1194" si="1175">O1194/P1194</f>
        <v>1.5349922871126114</v>
      </c>
      <c r="X1194" s="142">
        <f t="shared" si="656"/>
        <v>1.7857142857142857E-4</v>
      </c>
      <c r="Y1194" s="139">
        <f t="shared" ref="Y1194" si="1176">G1194-X1194</f>
        <v>1.0350713481917156E-4</v>
      </c>
      <c r="Z1194" s="139">
        <f t="shared" ref="Z1194" si="1177">IF(Y1194&lt;0,Y1194,0)</f>
        <v>0</v>
      </c>
      <c r="AA1194" s="139">
        <f t="shared" ref="AA1194" si="1178">Z1194^2</f>
        <v>0</v>
      </c>
      <c r="AB1194" s="144">
        <f t="shared" ref="AB1194" si="1179">AVERAGE(Y943:Y1194)/AVERAGE(AA943:AA1194)</f>
        <v>3.966762886465808</v>
      </c>
      <c r="AC1194" s="144">
        <f t="shared" ref="AC1194" si="1180">AVERAGE(G1165:G1194)-_xlfn.NORM.S.INV(0.95)*_xlfn.STDEV.S(G1165:G1194)</f>
        <v>-4.623182238468318E-2</v>
      </c>
      <c r="AD1194" s="144">
        <f t="shared" ref="AD1194" si="1181">AVERAGE(G1105:G1194)-_xlfn.NORM.S.INV(0.95)*_xlfn.STDEV.S(G1105:G1194)</f>
        <v>-3.870461888810095E-2</v>
      </c>
      <c r="AE1194" s="144">
        <f t="shared" ref="AE1194" si="1182">AVERAGE(G830:G1194)-_xlfn.NORM.S.INV(0.95)*_xlfn.STDEV.S(G830:G1194)</f>
        <v>-4.8753428784095137E-2</v>
      </c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128.68</v>
      </c>
      <c r="F3" s="153">
        <v>128680</v>
      </c>
      <c r="G3" s="153">
        <v>1</v>
      </c>
      <c r="H3" s="153">
        <v>128680</v>
      </c>
      <c r="I3" s="218">
        <v>0.2</v>
      </c>
      <c r="J3"/>
      <c r="K3"/>
    </row>
    <row r="4" spans="1:11">
      <c r="A4" s="221" t="s">
        <v>345</v>
      </c>
      <c r="B4" s="153" t="s">
        <v>140</v>
      </c>
      <c r="C4" s="153" t="s">
        <v>38</v>
      </c>
      <c r="D4" s="153">
        <v>-10</v>
      </c>
      <c r="E4" s="153">
        <v>0.08</v>
      </c>
      <c r="F4" s="153">
        <v>-0.8</v>
      </c>
      <c r="G4" s="153">
        <v>1</v>
      </c>
      <c r="H4" s="153">
        <v>-0.8</v>
      </c>
      <c r="I4" s="218">
        <v>0</v>
      </c>
      <c r="J4"/>
      <c r="K4"/>
    </row>
    <row r="5" spans="1:11">
      <c r="A5" s="221" t="s">
        <v>346</v>
      </c>
      <c r="B5" s="153" t="s">
        <v>140</v>
      </c>
      <c r="C5" s="153" t="s">
        <v>38</v>
      </c>
      <c r="D5" s="153">
        <v>-5</v>
      </c>
      <c r="E5" s="153">
        <v>0.1</v>
      </c>
      <c r="F5" s="153">
        <v>-0.5</v>
      </c>
      <c r="G5" s="153">
        <v>1</v>
      </c>
      <c r="H5" s="153">
        <v>-0.5</v>
      </c>
      <c r="I5" s="218">
        <v>0</v>
      </c>
      <c r="J5"/>
      <c r="K5"/>
    </row>
    <row r="6" spans="1:11">
      <c r="A6" s="221" t="s">
        <v>348</v>
      </c>
      <c r="B6" s="153" t="s">
        <v>140</v>
      </c>
      <c r="C6" s="153" t="s">
        <v>38</v>
      </c>
      <c r="D6" s="153">
        <v>-10</v>
      </c>
      <c r="E6" s="153">
        <v>3.26</v>
      </c>
      <c r="F6" s="153">
        <v>-32.599999999999987</v>
      </c>
      <c r="G6" s="153">
        <v>1</v>
      </c>
      <c r="H6" s="153">
        <v>-32.6</v>
      </c>
      <c r="I6" s="218">
        <v>0</v>
      </c>
      <c r="J6"/>
      <c r="K6"/>
    </row>
    <row r="7" spans="1:11">
      <c r="A7" s="221" t="s">
        <v>344</v>
      </c>
      <c r="B7" s="153" t="s">
        <v>140</v>
      </c>
      <c r="C7" s="153" t="s">
        <v>38</v>
      </c>
      <c r="D7" s="153">
        <v>10</v>
      </c>
      <c r="E7" s="153">
        <v>36.01</v>
      </c>
      <c r="F7" s="153">
        <v>360.1</v>
      </c>
      <c r="G7" s="153">
        <v>1</v>
      </c>
      <c r="H7" s="153">
        <v>360.1</v>
      </c>
      <c r="I7" s="218">
        <v>0</v>
      </c>
      <c r="J7"/>
      <c r="K7"/>
    </row>
    <row r="8" spans="1:11">
      <c r="A8" s="221" t="s">
        <v>347</v>
      </c>
      <c r="B8" s="153" t="s">
        <v>42</v>
      </c>
      <c r="C8" s="153" t="s">
        <v>38</v>
      </c>
      <c r="D8" s="153">
        <v>631800</v>
      </c>
      <c r="E8" s="153">
        <v>100.38</v>
      </c>
      <c r="F8" s="153">
        <v>63420084</v>
      </c>
      <c r="G8" s="153">
        <v>1</v>
      </c>
      <c r="H8" s="153">
        <v>63420084</v>
      </c>
      <c r="I8" s="218">
        <v>99.8</v>
      </c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>
      <c r="A198" s="170">
        <f>'Historical NAV'!A1190</f>
        <v>45688</v>
      </c>
      <c r="B198" s="159">
        <v>0</v>
      </c>
      <c r="C198" s="159">
        <v>0</v>
      </c>
      <c r="D198" s="159">
        <v>-1955</v>
      </c>
      <c r="E198" s="159">
        <v>7854</v>
      </c>
      <c r="F198" s="159">
        <v>0</v>
      </c>
      <c r="G198" s="159">
        <v>0</v>
      </c>
      <c r="H198" s="159">
        <v>-2633.1</v>
      </c>
      <c r="I198" s="159"/>
      <c r="J198" s="159"/>
      <c r="K198" s="159"/>
      <c r="L198" s="159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T5" sqref="T5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2.8207856339060013E-4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2.8207856339060013E-4</v>
      </c>
      <c r="J4" s="8">
        <f t="shared" ca="1" si="0"/>
        <v>2.8207856339060013E-4</v>
      </c>
      <c r="K4" s="8">
        <f ca="1">J4</f>
        <v>2.8207856339060013E-4</v>
      </c>
      <c r="L4" s="8">
        <f t="shared" ca="1" si="0"/>
        <v>6.5133316390477258E-2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 t="e">
        <f>T4</f>
        <v>#N/A</v>
      </c>
      <c r="P5" s="274"/>
      <c r="Q5" s="280" t="e">
        <f>SUM(O5:P5)</f>
        <v>#N/A</v>
      </c>
      <c r="S5" t="s">
        <v>44</v>
      </c>
      <c r="T5" s="286" t="e">
        <f>($T$3+T4)*U5</f>
        <v>#N/A</v>
      </c>
      <c r="U5" s="8" t="e">
        <f>VLOOKUP("Commodities", 'Email input'!F:G, 2, FALSE)/100</f>
        <v>#N/A</v>
      </c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-9.4648370000000002E-3</v>
      </c>
      <c r="J6" s="8">
        <f>_xll.BDP($B6,"CURRENT_TRR_MTD")/100</f>
        <v>-2.1197149999999999E-3</v>
      </c>
      <c r="K6" s="8">
        <f>_xll.BDP(B6,"CHG_PCT_1M")/100</f>
        <v>3.4142579999999999E-2</v>
      </c>
      <c r="L6" s="8">
        <f t="array" ref="L6">_xll.BDP($B6,"CHG_PCT_YTD")/100</f>
        <v>2.4544280000000002E-2</v>
      </c>
      <c r="N6" t="s">
        <v>300</v>
      </c>
      <c r="O6" s="278" t="e">
        <f>SUM(O4:O5)/SUM(O4:P5)</f>
        <v>#N/A</v>
      </c>
      <c r="P6" s="278" t="e">
        <f>SUM(P4:P5)/SUM(O4:P5)</f>
        <v>#N/A</v>
      </c>
      <c r="Q6" s="278" t="e">
        <f>SUM(O6:P6)</f>
        <v>#N/A</v>
      </c>
      <c r="S6" t="s">
        <v>291</v>
      </c>
      <c r="T6" s="286" t="e">
        <f>($T$3+T$4)*U6</f>
        <v>#N/A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-1.298564E-2</v>
      </c>
      <c r="J7" s="8">
        <f t="array" ref="J7">_xll.BDP($B7,"CURRENT_TRR_MTD")/100</f>
        <v>7.9759839999999998E-4</v>
      </c>
      <c r="K7" s="8">
        <f>_xll.BDP(B7,"CHG_PCT_1M")/100</f>
        <v>3.0877949999999998E-2</v>
      </c>
      <c r="L7" s="8">
        <f t="array" ref="L7">_xll.BDP($B7,"CHG_PCT_YTD")/100</f>
        <v>2.2803E-2</v>
      </c>
      <c r="N7" s="47" t="s">
        <v>95</v>
      </c>
      <c r="O7" s="295">
        <f ca="1">OFFSET('Historical NAV'!F1,COUNT('Historical NAV'!A:A),,,)</f>
        <v>18723.558332294226</v>
      </c>
      <c r="P7" s="296" t="s">
        <v>58</v>
      </c>
      <c r="Q7" s="297">
        <f ca="1">SUM(O7:P7)</f>
        <v>18723.558332294226</v>
      </c>
      <c r="S7" t="s">
        <v>292</v>
      </c>
      <c r="T7" s="286" t="e">
        <f>($T$3+T$4)*U7</f>
        <v>#N/A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-8.0773159999999993E-3</v>
      </c>
      <c r="J8" s="8">
        <f t="array" ref="J8">_xll.BDP($B8,"CURRENT_TRR_MTD")/100</f>
        <v>-7.6069240000000002E-4</v>
      </c>
      <c r="K8" s="8">
        <f>_xll.BDP(B8,"CHG_PCT_1M")/100</f>
        <v>4.2031229999999996E-2</v>
      </c>
      <c r="L8" s="8">
        <f t="array" ref="L8">_xll.BDP($B8,"CHG_PCT_YTD")/100</f>
        <v>3.3706949999999999E-2</v>
      </c>
      <c r="N8" t="s">
        <v>301</v>
      </c>
      <c r="O8" s="69">
        <f ca="1">OFFSET('Historical NAV'!J1,COUNT('Historical NAV'!A:A),,,)</f>
        <v>93809.861082300544</v>
      </c>
      <c r="P8" s="280">
        <f>SUM(P4:P5)*P9</f>
        <v>0</v>
      </c>
      <c r="Q8" s="280">
        <f ca="1">SUM(O8:P8)</f>
        <v>93809.861082300544</v>
      </c>
      <c r="S8" s="47" t="s">
        <v>293</v>
      </c>
      <c r="T8" s="287" t="e">
        <f>($T$3+T$4)*U8</f>
        <v>#N/A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-2.6533830000000005E-3</v>
      </c>
      <c r="J9" s="8">
        <f t="array" ref="J9">_xll.BDP($B9,"CURRENT_TRR_MTD")/100</f>
        <v>4.8504810000000002E-3</v>
      </c>
      <c r="K9" s="8">
        <f>_xll.BDP(B9,"CHG_PCT_1M")/100</f>
        <v>2.4385189999999998E-2</v>
      </c>
      <c r="L9" s="8">
        <f t="array" ref="L9">_xll.BDP($B9,"CHG_PCT_YTD")/100</f>
        <v>9.5130420000000011E-3</v>
      </c>
      <c r="N9" t="s">
        <v>302</v>
      </c>
      <c r="O9" s="8">
        <f ca="1">OFFSET('Historical NAV'!K1,COUNT('Historical NAV'!A:A),,,)</f>
        <v>2.8207856339060013E-4</v>
      </c>
      <c r="P9" s="285">
        <f>J5</f>
        <v>0</v>
      </c>
      <c r="S9" t="s">
        <v>294</v>
      </c>
      <c r="T9" s="288" t="e">
        <f>SUM(T5:T8)</f>
        <v>#N/A</v>
      </c>
      <c r="V9" s="312" t="e">
        <f>T9/(T3+T4)</f>
        <v>#N/A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3.1710668217179282E-3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3.1710670000000001E-3</v>
      </c>
      <c r="J10" s="8">
        <f t="array" ref="J10">_xll.BDP($B10,"CURRENT_TRR_MTD")/100</f>
        <v>2.2111170000000003E-2</v>
      </c>
      <c r="K10" s="8">
        <f>_xll.BDP(B10,"CHG_PCT_1M")/100</f>
        <v>2.013059E-2</v>
      </c>
      <c r="L10" s="8">
        <f t="array" ref="L10">_xll.BDP($B10,"CHG_PCT_YTD")/100</f>
        <v>5.8656689999999997E-2</v>
      </c>
      <c r="N10" s="275" t="s">
        <v>297</v>
      </c>
      <c r="O10" s="281" t="e">
        <f ca="1">O4+O5+O8</f>
        <v>#N/A</v>
      </c>
      <c r="P10" s="276">
        <f>P4+P5+P8</f>
        <v>2151287.66</v>
      </c>
      <c r="Q10" s="281" t="e">
        <f ca="1">SUM(O10:P10)</f>
        <v>#N/A</v>
      </c>
      <c r="S10" t="s">
        <v>295</v>
      </c>
      <c r="T10" s="286">
        <f>SUM('Email input'!D5:D10)</f>
        <v>66411033.036227301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416211.16194421798</v>
      </c>
      <c r="U11" s="8"/>
    </row>
    <row r="12" spans="2:22" ht="15.75" collapsed="1" thickTop="1">
      <c r="S12" t="s">
        <v>296</v>
      </c>
      <c r="T12" s="280">
        <f>SUM('Email input'!D10:D13)</f>
        <v>66395828.245891698</v>
      </c>
      <c r="U12" s="8"/>
    </row>
    <row r="13" spans="2:22" ht="15.75" thickBot="1">
      <c r="S13" s="275" t="s">
        <v>297</v>
      </c>
      <c r="T13" s="281" t="e">
        <f>T3+T4+T9+T10+T12+T11</f>
        <v>#N/A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66395828.245891698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 t="e">
        <f>T13</f>
        <v>#N/A</v>
      </c>
    </row>
    <row r="18" spans="2:21">
      <c r="B18" t="s">
        <v>326</v>
      </c>
      <c r="D18" s="298">
        <f ca="1">Dashboard!$B$4</f>
        <v>2.8207856339060013E-4</v>
      </c>
      <c r="E18" s="298"/>
      <c r="F18" s="298"/>
      <c r="G18" s="298"/>
      <c r="H18" s="298"/>
      <c r="I18" s="8">
        <f ca="1">Dashboard!B9</f>
        <v>2.8207856339060013E-4</v>
      </c>
      <c r="J18" s="8">
        <f ca="1">Dashboard!B5</f>
        <v>2.8207856339060013E-4</v>
      </c>
      <c r="K18" s="8"/>
      <c r="L18" s="69">
        <f ca="1">Dashboard!B6</f>
        <v>6.5133316390477258E-2</v>
      </c>
      <c r="O18" s="69"/>
      <c r="T18" s="284"/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46743.140746680001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31861.93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350</v>
      </c>
      <c r="D5" s="282">
        <v>-472182.14569440001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317</v>
      </c>
      <c r="D6" s="282">
        <v>491118.05339720001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-3416.7120420000001</v>
      </c>
    </row>
    <row r="9" spans="1:7">
      <c r="A9" t="s">
        <v>337</v>
      </c>
      <c r="B9" s="282" t="s">
        <v>320</v>
      </c>
      <c r="C9" t="s">
        <v>318</v>
      </c>
      <c r="D9" s="282">
        <v>-126.0653252</v>
      </c>
      <c r="F9" t="s">
        <v>321</v>
      </c>
      <c r="G9">
        <v>2.8657347E-2</v>
      </c>
    </row>
    <row r="10" spans="1:7">
      <c r="A10" t="s">
        <v>337</v>
      </c>
      <c r="B10" s="282" t="s">
        <v>320</v>
      </c>
      <c r="C10" t="s">
        <v>297</v>
      </c>
      <c r="D10" s="282">
        <v>66395828.245891698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66395828.245891698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93809.861082300544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2.8207856339060013E-4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4.6573167961536877E-2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2.8207856339060013E-4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2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2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/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172"/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66395828.245891698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93809.861082300544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2.8207856339060013E-4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18723.558332294226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2.8207856339060013E-4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-9.4648370000000002E-3</v>
      </c>
      <c r="D22" s="25">
        <f>_xll.BDP(D27,$A27)/100</f>
        <v>-1.357064E-2</v>
      </c>
      <c r="E22" s="26">
        <f>_xll.BDP(E27,$A27)/100</f>
        <v>-9.927453000000001E-3</v>
      </c>
      <c r="F22" s="27">
        <f>_xll.BDP(F27,$A27)/100</f>
        <v>-1.802E-3</v>
      </c>
      <c r="G22" s="27">
        <f>_xll.BDP(G27,$A27)/100</f>
        <v>3.1710670000000001E-3</v>
      </c>
      <c r="H22" s="25">
        <f>_xll.BDP(H27,$A27)/100</f>
        <v>3.6467974824138396E-3</v>
      </c>
    </row>
    <row r="23" spans="1:11">
      <c r="A23" s="355" t="s">
        <v>66</v>
      </c>
      <c r="B23" s="356"/>
      <c r="C23" s="28">
        <f>_xll.BDP(C27,$A28)/100</f>
        <v>-2.4069989999999999E-3</v>
      </c>
      <c r="D23" s="28">
        <f>_xll.BDP(D27,$A28)/100</f>
        <v>-5.3006949999999994E-3</v>
      </c>
      <c r="E23" s="29">
        <f>_xll.BDP(E27,$A28)/100</f>
        <v>-5.416176E-3</v>
      </c>
      <c r="F23" s="30">
        <f>_xll.BDP(F27,$A28)/100</f>
        <v>-1.1479E-2</v>
      </c>
      <c r="G23" s="30">
        <f>_xll.BDP(G27,$A28)/100</f>
        <v>2.2111170000000003E-2</v>
      </c>
      <c r="H23" s="28">
        <f>_xll.BDP(H27,$A28)/100</f>
        <v>5.9056934575983156E-4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2025-02-10T03:12:10Z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