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71AEFA71-09D8-45DE-850E-E44B46653278}" xr6:coauthVersionLast="47" xr6:coauthVersionMax="47" xr10:uidLastSave="{00000000-0000-0000-0000-000000000000}"/>
  <bookViews>
    <workbookView xWindow="-120" yWindow="-120" windowWidth="29040" windowHeight="15720" tabRatio="719" activeTab="3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194" i="14" l="1"/>
  <c r="E1194" i="14"/>
  <c r="D1194" i="14"/>
  <c r="C1194" i="14"/>
  <c r="B1194" i="14"/>
  <c r="A1194" i="14"/>
  <c r="L204" i="13"/>
  <c r="A204" i="13"/>
  <c r="X1196" i="3"/>
  <c r="D1196" i="3"/>
  <c r="J51" i="8"/>
  <c r="V4" i="16"/>
  <c r="F1194" i="14" l="1"/>
  <c r="T12" i="16"/>
  <c r="T10" i="16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E16" i="16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I1192" i="3" s="1"/>
  <c r="I1193" i="3" s="1"/>
  <c r="I1194" i="3" s="1"/>
  <c r="I1195" i="3" s="1"/>
  <c r="I1196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H10" i="16" a="1"/>
  <c r="L8" i="16" a="1"/>
  <c r="F22" i="4"/>
  <c r="J10" i="16" a="1"/>
  <c r="F7" i="16" a="1"/>
  <c r="F23" i="4"/>
  <c r="D22" i="4"/>
  <c r="H8" i="16" a="1"/>
  <c r="E6" i="16" a="1"/>
  <c r="J9" i="16" a="1"/>
  <c r="H23" i="4"/>
  <c r="G23" i="4"/>
  <c r="F6" i="16" a="1"/>
  <c r="E7" i="16" a="1"/>
  <c r="J6" i="16"/>
  <c r="G6" i="16" a="1"/>
  <c r="C23" i="4"/>
  <c r="L7" i="16" a="1"/>
  <c r="E22" i="4"/>
  <c r="I10" i="16"/>
  <c r="F10" i="16" a="1"/>
  <c r="H22" i="4"/>
  <c r="L6" i="16" a="1"/>
  <c r="K7" i="16"/>
  <c r="G10" i="16" a="1"/>
  <c r="E9" i="16" a="1"/>
  <c r="G22" i="4"/>
  <c r="I7" i="16" a="1"/>
  <c r="D23" i="4"/>
  <c r="D6" i="16" a="1"/>
  <c r="E10" i="16" a="1"/>
  <c r="C24" i="4"/>
  <c r="D10" i="16" a="1"/>
  <c r="G8" i="16" a="1"/>
  <c r="E23" i="4"/>
  <c r="L10" i="16" a="1"/>
  <c r="J8" i="16" a="1"/>
  <c r="K6" i="16"/>
  <c r="G9" i="16" a="1"/>
  <c r="E8" i="16" a="1"/>
  <c r="H9" i="16" a="1"/>
  <c r="D7" i="16" a="1"/>
  <c r="K10" i="16"/>
  <c r="I8" i="16" a="1"/>
  <c r="C22" i="4"/>
  <c r="G7" i="16" a="1"/>
  <c r="D8" i="16" a="1"/>
  <c r="H7" i="16" a="1"/>
  <c r="K9" i="16"/>
  <c r="L9" i="16" a="1"/>
  <c r="I9" i="16" a="1"/>
  <c r="D9" i="16" a="1"/>
  <c r="H6" i="16" a="1"/>
  <c r="F8" i="16" a="1"/>
  <c r="K8" i="16"/>
  <c r="J7" i="16" a="1"/>
  <c r="I6" i="16"/>
  <c r="F9" i="16" a="1"/>
  <c r="L1196" i="3" l="1"/>
  <c r="Y1196" i="3"/>
  <c r="Z1196" i="3" s="1"/>
  <c r="AA1196" i="3" s="1"/>
  <c r="K1192" i="3"/>
  <c r="K1193" i="3" s="1"/>
  <c r="K1194" i="3" s="1"/>
  <c r="K1195" i="3" s="1"/>
  <c r="K1196" i="3" s="1"/>
  <c r="F9" i="16"/>
  <c r="J7" i="16"/>
  <c r="F8" i="16"/>
  <c r="H6" i="16"/>
  <c r="D9" i="16"/>
  <c r="I9" i="16"/>
  <c r="L9" i="16"/>
  <c r="H7" i="16"/>
  <c r="D8" i="16"/>
  <c r="G7" i="16"/>
  <c r="I8" i="16"/>
  <c r="D7" i="16"/>
  <c r="H9" i="16"/>
  <c r="E8" i="16"/>
  <c r="G9" i="16"/>
  <c r="J8" i="16"/>
  <c r="L10" i="16"/>
  <c r="G8" i="16"/>
  <c r="D10" i="16"/>
  <c r="E10" i="16"/>
  <c r="D6" i="16"/>
  <c r="I7" i="16"/>
  <c r="E9" i="16"/>
  <c r="G10" i="16"/>
  <c r="L6" i="16"/>
  <c r="F10" i="16"/>
  <c r="L7" i="16"/>
  <c r="G6" i="16"/>
  <c r="E7" i="16"/>
  <c r="F6" i="16"/>
  <c r="J9" i="16"/>
  <c r="E6" i="16"/>
  <c r="H8" i="16"/>
  <c r="F7" i="16"/>
  <c r="J10" i="16"/>
  <c r="L8" i="16"/>
  <c r="H10" i="16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L1192" i="3"/>
  <c r="Y1192" i="3"/>
  <c r="Z1192" i="3" s="1"/>
  <c r="AA1192" i="3" s="1"/>
  <c r="G16" i="16"/>
  <c r="G17" i="16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H16" i="16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I1191" i="14" l="1"/>
  <c r="J1191" i="14"/>
  <c r="J1192" i="14" s="1"/>
  <c r="J1193" i="14" s="1"/>
  <c r="J1194" i="14" s="1"/>
  <c r="U7" i="16"/>
  <c r="L1191" i="14" l="1"/>
  <c r="Y1191" i="14"/>
  <c r="Z1191" i="14" s="1"/>
  <c r="AA1191" i="14" s="1"/>
  <c r="U6" i="16"/>
  <c r="U5" i="16" l="1"/>
  <c r="H5" i="16"/>
  <c r="G5" i="16"/>
  <c r="F5" i="16"/>
  <c r="E5" i="16"/>
  <c r="D5" i="16"/>
  <c r="O5" i="16"/>
  <c r="Q5" i="16" s="1"/>
  <c r="P4" i="16"/>
  <c r="F4" i="16"/>
  <c r="E4" i="16"/>
  <c r="T3" i="16"/>
  <c r="J5" i="16" l="1"/>
  <c r="P9" i="16"/>
  <c r="P8" i="16" s="1"/>
  <c r="L5" i="16"/>
  <c r="K5" i="16"/>
  <c r="P10" i="16"/>
  <c r="T8" i="16"/>
  <c r="T7" i="16"/>
  <c r="T6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T18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6" i="3" l="1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95" i="3" l="1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AC1196" i="3" s="1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K1176" i="3"/>
  <c r="K1177" i="3" s="1"/>
  <c r="K1178" i="3" s="1"/>
  <c r="K1179" i="3" s="1"/>
  <c r="G1166" i="3"/>
  <c r="AC1195" i="3" s="1"/>
  <c r="F1163" i="14"/>
  <c r="H1164" i="14" l="1"/>
  <c r="I1164" i="14" s="1"/>
  <c r="Q1194" i="14"/>
  <c r="R1194" i="14" s="1"/>
  <c r="H1191" i="3"/>
  <c r="H1192" i="3" s="1"/>
  <c r="H1193" i="3" s="1"/>
  <c r="H1194" i="3" s="1"/>
  <c r="H1195" i="3" s="1"/>
  <c r="H1196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F1165" i="3" l="1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O8" i="16"/>
  <c r="K1190" i="3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Q8" i="16"/>
  <c r="O10" i="16"/>
  <c r="Q10" i="16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34" i="14" l="1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04" i="3" l="1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94" i="14" l="1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D18" i="16" s="1"/>
  <c r="D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7" i="14" l="1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27" i="14" l="1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1" i="14" l="1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4" i="14" l="1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94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94" i="14" l="1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4" i="14" l="1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1" i="3" l="1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95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6" i="3" l="1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5" i="3" l="1"/>
  <c r="AA945" i="3" s="1"/>
  <c r="AB1196" i="3"/>
  <c r="Z944" i="3"/>
  <c r="AA944" i="3" s="1"/>
  <c r="AB1195" i="3"/>
  <c r="Z943" i="3"/>
  <c r="AA943" i="3" s="1"/>
  <c r="AB1194" i="3"/>
  <c r="Z942" i="3"/>
  <c r="AA942" i="3" s="1"/>
  <c r="AB1193" i="3"/>
  <c r="Z941" i="3"/>
  <c r="AA941" i="3" s="1"/>
  <c r="AB1192" i="3" s="1"/>
  <c r="Z940" i="3"/>
  <c r="AA940" i="3" s="1"/>
  <c r="Z939" i="3"/>
  <c r="AA939" i="3" s="1"/>
  <c r="AB1190" i="3"/>
  <c r="Z938" i="3"/>
  <c r="AA938" i="3" s="1"/>
  <c r="AB1189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1" i="3" l="1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6" i="3" l="1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<sst xmlns="http://schemas.openxmlformats.org/spreadsheetml/2006/main" count="778" uniqueCount="351">
  <si>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</si>
  <si>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</si>
  <si>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</si>
  <si>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</si>
  <si>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</si>
  <si>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</si>
  <si>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</si>
  <si>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</si>
  <si>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</si>
  <si>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</si>
  <si>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</si>
  <si>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</si>
  <si>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</si>
  <si>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</si>
  <si>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</si>
  <si>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</si>
  <si>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</si>
  <si>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</si>
  <si>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</si>
  <si>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</si>
  <si>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</si>
  <si>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</si>
  <si>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</si>
  <si>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</si>
  <si>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</si>
  <si>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</si>
  <si>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</si>
  <si>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</si>
  <si>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</si>
  <si>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</si>
  <si>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</si>
  <si>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</si>
  <si>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</si>
  <si>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</si>
  <si>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</si>
  <si>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</si>
  <si>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</si>
  <si>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</si>
  <si>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</si>
  <si>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</si>
  <si>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</si>
  <si>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</si>
  <si>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</si>
  <si>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</si>
  <si>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</si>
  <si>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</si>
  <si>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</si>
  <si>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</si>
  <si>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</si>
  <si>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</si>
  <si>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</si>
  <si>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</si>
  <si>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</si>
  <si>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</si>
  <si>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</si>
  <si>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</si>
  <si>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</si>
  <si>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</si>
  <si>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</si>
  <si>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</si>
  <si>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</si>
  <si>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</si>
  <si>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</si>
  <si>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</si>
  <si>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</si>
  <si>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</si>
  <si>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</si>
  <si>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</si>
  <si>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</si>
  <si>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</si>
  <si>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</si>
  <si>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</si>
  <si>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</si>
  <si>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</si>
  <si>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</si>
  <si>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</si>
  <si>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</si>
  <si>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</si>
  <si>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</si>
  <si>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</si>
  <si>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</si>
  <si>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</si>
  <si>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</si>
  <si>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</si>
  <si>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</si>
  <si>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</si>
  <si>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</si>
  <si>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</si>
  <si>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</si>
  <si>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</si>
  <si>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</si>
  <si>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</si>
  <si>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</si>
  <si>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</si>
  <si>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</si>
  <si>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</si>
  <si>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</si>
  <si>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</si>
  <si>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</si>
  <si>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</si>
  <si>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</si>
  <si>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</si>
  <si>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</si>
  <si>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</si>
  <si>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</si>
  <si>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</si>
  <si>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</si>
  <si>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</si>
  <si>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</si>
  <si>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</si>
  <si>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</si>
  <si>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</si>
  <si>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</si>
  <si>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</si>
  <si>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</si>
  <si>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</si>
  <si>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</si>
  <si>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</si>
  <si>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</si>
  <si>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</si>
  <si>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</si>
  <si>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</si>
  <si>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</si>
  <si>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</si>
  <si>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</si>
  <si>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</si>
  <si>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</si>
  <si>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</si>
  <si>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</si>
  <si>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</si>
  <si>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</si>
  <si>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</si>
  <si>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</si>
  <si>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</si>
  <si>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</si>
  <si>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</si>
  <si>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</si>
  <si>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</si>
  <si>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</si>
  <si>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</si>
  <si>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</si>
  <si>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</si>
  <si>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</si>
  <si>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</si>
  <si>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</si>
  <si>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</si>
  <si>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</si>
  <si>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</si>
  <si>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</si>
  <si>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</si>
  <si>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</si>
  <si>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</si>
  <si>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</si>
  <si>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</si>
  <si>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</si>
  <si>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</si>
  <si>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</si>
  <si>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</si>
  <si>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</si>
  <si>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</si>
  <si>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</si>
  <si>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</si>
  <si>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</si>
  <si>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</si>
  <si>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</si>
  <si>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</si>
  <si>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</si>
  <si>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</si>
  <si>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</si>
  <si>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</si>
  <si>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</si>
  <si>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</si>
  <si>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</si>
  <si>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</si>
  <si>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</si>
  <si>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</si>
  <si>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</si>
  <si>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</si>
  <si>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</si>
  <si>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</si>
  <si>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</si>
  <si>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</si>
  <si>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</si>
  <si>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</si>
  <si>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</si>
  <si>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</si>
  <si>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</si>
  <si>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</si>
  <si>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</si>
  <si>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</si>
  <si>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</si>
  <si>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</si>
  <si>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</si>
  <si>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</si>
  <si>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</si>
  <si>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</si>
  <si>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</si>
  <si>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</si>
  <si>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</si>
  <si>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</si>
  <si>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</si>
  <si>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</si>
  <si>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</si>
  <si>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</si>
  <si>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</si>
  <si>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</si>
  <si>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</si>
  <si>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</si>
  <si>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</si>
  <si>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</si>
  <si>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</si>
  <si>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</si>
  <si>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</si>
  <si>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</si>
  <si>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</si>
  <si>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</si>
  <si>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</si>
  <si>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</si>
  <si>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</si>
  <si>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</si>
  <si>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</si>
  <si>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</si>
  <si>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</si>
  <si>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</si>
  <si>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</si>
  <si>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</si>
  <si>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</si>
  <si>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</si>
  <si>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</si>
  <si>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</si>
  <si>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</si>
  <si>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</si>
  <si>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</si>
  <si>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</si>
  <si>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</si>
  <si>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</si>
  <si>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</si>
  <si>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</si>
  <si>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</si>
  <si>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</si>
  <si>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</si>
  <si>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</si>
  <si>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</si>
  <si>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</si>
  <si>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</si>
  <si>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</si>
  <si>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</si>
  <si>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</si>
  <si>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</si>
  <si>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</si>
  <si>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</si>
  <si>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</si>
  <si>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</si>
  <si>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</si>
  <si>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</si>
  <si>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</si>
  <si>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</si>
  <si>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</si>
  <si>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</si>
  <si>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</si>
  <si>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</si>
  <si>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</si>
  <si>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</si>
  <si>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</si>
  <si>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</si>
  <si>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</si>
  <si>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</si>
  <si>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</si>
  <si>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</si>
  <si>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</si>
  <si>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</si>
  <si>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</si>
  <si>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</si>
  <si>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</si>
  <si>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</si>
  <si>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</si>
  <si>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</si>
  <si>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</si>
  <si>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</si>
  <si>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</si>
  <si>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</si>
  <si>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</si>
  <si>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</si>
  <si>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</si>
  <si>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</si>
  <si>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</si>
  <si>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</si>
  <si>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</si>
  <si>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</si>
  <si>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</si>
  <si>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</si>
  <si>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</si>
  <si>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</si>
  <si>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</si>
  <si>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</si>
  <si>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</si>
  <si>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</si>
  <si>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</si>
  <si>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</si>
  <si>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</si>
  <si>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</si>
  <si>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</si>
  <si>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</si>
  <si>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</si>
  <si>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</si>
  <si>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</si>
  <si>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</si>
  <si>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</si>
  <si>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</si>
  <si>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</si>
  <si>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</si>
  <si>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</si>
  <si>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</si>
  <si>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</si>
  <si>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</si>
  <si>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</si>
  <si>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</si>
  <si>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</si>
  <si>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</si>
  <si>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</si>
  <si>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</si>
  <si>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</si>
  <si>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</si>
  <si>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</si>
  <si>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</si>
  <si>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</si>
  <si>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</si>
  <si>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</si>
  <si>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</si>
  <si>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</si>
  <si>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</si>
  <si>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</si>
  <si>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</si>
  <si>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</si>
  <si>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</si>
  <si>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</si>
  <si>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</si>
  <si>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</si>
  <si>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</si>
  <si>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</si>
  <si>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</si>
  <si>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</si>
  <si>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</si>
  <si>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</si>
  <si>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</si>
  <si>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NVDA 07FEB25 119 P</t>
  </si>
  <si>
    <t>NVDA 07FEB25 120 P</t>
  </si>
  <si>
    <t>SGOV</t>
  </si>
  <si>
    <t>NVDA 07FEB25 126 C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</si>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</sst>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Data...4253498202</v>
        <stp/>
        <stp>BDP|13843568691370437419</stp>
        <tr r="G9" s="16"/>
      </tp>
      <tp t="s">
        <v>#N/A Requesting Data...3524852015</v>
        <stp/>
        <stp>BDP|17488990371770934291</stp>
        <tr r="L9" s="16"/>
      </tp>
      <tp t="s">
        <v>#N/A Requesting Data...3880640291</v>
        <stp/>
        <stp>BDP|13727818016546450707</stp>
        <tr r="H10" s="16"/>
      </tp>
      <tp t="s">
        <v>#N/A Requesting Data...4066051671</v>
        <stp/>
        <stp>BDP|11025807958107061305</stp>
        <tr r="D6" s="16"/>
      </tp>
      <tp t="s">
        <v>#N/A Requesting Data...3333074849</v>
        <stp/>
        <stp>BDP|12503804164161346560</stp>
        <tr r="H23" s="4"/>
      </tp>
      <tp t="s">
        <v>#N/A Requesting Data...4095566512</v>
        <stp/>
        <stp>BDP|16037198422009566377</stp>
        <tr r="H7" s="16"/>
      </tp>
      <tp t="s">
        <v>#N/A Requesting Data...3647559982</v>
        <stp/>
        <stp>BDP|14887355760439675744</stp>
        <tr r="G8" s="16"/>
      </tp>
      <tp t="s">
        <v>#N/A Requesting Data...3696169295</v>
        <stp/>
        <stp>BDP|15882609691144832149</stp>
        <tr r="G10" s="16"/>
      </tp>
      <tp t="s">
        <v>#N/A Requesting Data...4094551148</v>
        <stp/>
        <stp>BDP|11927491993173780392</stp>
        <tr r="E7" s="16"/>
      </tp>
      <tp t="s">
        <v>#N/A Requesting Data...4054370877</v>
        <stp/>
        <stp>BDP|18194437827130447215</stp>
        <tr r="K6" s="16"/>
      </tp>
      <tp t="s">
        <v>#N/A Requesting Data...4248403156</v>
        <stp/>
        <stp>BDP|15408295575394886937</stp>
        <tr r="H6" s="16"/>
      </tp>
      <tp t="s">
        <v>#N/A Requesting Data...3778490618</v>
        <stp/>
        <stp>BDP|12868917489186433836</stp>
        <tr r="D22" s="4"/>
      </tp>
      <tp t="s">
        <v>#N/A Requesting Data...3871418114</v>
        <stp/>
        <stp>BDP|11441239167720550763</stp>
        <tr r="G22" s="4"/>
      </tp>
      <tp t="s">
        <v>#N/A Requesting Data...3630534287</v>
        <stp/>
        <stp>BDP|16083383279081530134</stp>
        <tr r="G6" s="16"/>
      </tp>
      <tp t="s">
        <v>#N/A Requesting Data...4000284138</v>
        <stp/>
        <stp>BDP|15571183826414458091</stp>
        <tr r="F23" s="4"/>
      </tp>
      <tp t="s">
        <v>#N/A Requesting Data...3367775453</v>
        <stp/>
        <stp>BDP|16691583684581330968</stp>
        <tr r="F22" s="4"/>
      </tp>
      <tp t="s">
        <v>#N/A Requesting Data...3882667130</v>
        <stp/>
        <stp>BDP|10851542879122214334</stp>
        <tr r="K7" s="16"/>
      </tp>
      <tp t="s">
        <v>#N/A Requesting Data...3866109371</v>
        <stp/>
        <stp>BDP|13033893993631589338</stp>
        <tr r="C24" s="4"/>
      </tp>
      <tp t="s">
        <v>#N/A Requesting Data...4272102781</v>
        <stp/>
        <stp>BDP|17427418226980805092</stp>
        <tr r="E6" s="16"/>
      </tp>
      <tp t="s">
        <v>#N/A Requesting Data...3401455308</v>
        <stp/>
        <stp>BDP|12801142977284637660</stp>
        <tr r="F9" s="16"/>
      </tp>
      <tp t="s">
        <v>#N/A Requesting Data...4202525543</v>
        <stp/>
        <stp>BDP|11395363488884515847</stp>
        <tr r="E22" s="4"/>
      </tp>
      <tp t="s">
        <v>#N/A Requesting Data...3487731274</v>
        <stp/>
        <stp>BDP|11453968001806112847</stp>
        <tr r="L10" s="16"/>
      </tp>
      <tp t="s">
        <v>#N/A Requesting Data...4016751099</v>
        <stp/>
        <stp>BDP|13427178278194281624</stp>
        <tr r="H9" s="16"/>
      </tp>
      <tp t="s">
        <v>#N/A Requesting Data...3650464410</v>
        <stp/>
        <stp>BDP|14662245951000286439</stp>
        <tr r="C22" s="4"/>
      </tp>
      <tp t="s">
        <v>#N/A Requesting Data...3778456438</v>
        <stp/>
        <stp>BDP|16854102045504656375</stp>
        <tr r="K10" s="16"/>
      </tp>
      <tp t="s">
        <v>#N/A Requesting Data...4169527910</v>
        <stp/>
        <stp>BDP|17541570393706762923</stp>
        <tr r="K9" s="16"/>
      </tp>
      <tp t="s">
        <v>#N/A Requesting Data...4156407078</v>
        <stp/>
        <stp>BDP|14476774127851531505</stp>
        <tr r="E9" s="16"/>
      </tp>
      <tp t="s">
        <v>#N/A Requesting Data...3859544973</v>
        <stp/>
        <stp>BDP|16879443774998906816</stp>
        <tr r="K8" s="16"/>
      </tp>
      <tp t="s">
        <v>#N/A Requesting Data...4213638683</v>
        <stp/>
        <stp>BDP|9184051814111053572</stp>
        <tr r="E8" s="16"/>
      </tp>
      <tp t="s">
        <v>#N/A Requesting Data...4054516953</v>
        <stp/>
        <stp>BDP|1413003601749412533</stp>
        <tr r="L6" s="16"/>
      </tp>
      <tp t="s">
        <v>#N/A Requesting Data...3367935240</v>
        <stp/>
        <stp>BDP|8485886604566386829</stp>
        <tr r="H22" s="4"/>
      </tp>
      <tp t="s">
        <v>#N/A Requesting Data...4165258960</v>
        <stp/>
        <stp>BDP|9958272376154164648</stp>
        <tr r="J9" s="16"/>
      </tp>
      <tp t="s">
        <v>#N/A Requesting Data...4173320576</v>
        <stp/>
        <stp>BDP|4155052320638790009</stp>
        <tr r="L7" s="16"/>
      </tp>
      <tp t="s">
        <v>#N/A Requesting Data...3845347333</v>
        <stp/>
        <stp>BDP|4020462511547452937</stp>
        <tr r="F7" s="16"/>
      </tp>
      <tp t="s">
        <v>#N/A Requesting Data...3964943258</v>
        <stp/>
        <stp>BDP|3599663092060873385</stp>
        <tr r="G23" s="4"/>
      </tp>
      <tp t="s">
        <v>#N/A Requesting Data...3876934606</v>
        <stp/>
        <stp>BDP|5197169271935733907</stp>
        <tr r="H8" s="16"/>
      </tp>
      <tp t="s">
        <v>#N/A Requesting Data...3530177731</v>
        <stp/>
        <stp>BDP|2715175043958188031</stp>
        <tr r="C23" s="4"/>
      </tp>
      <tp t="s">
        <v>#N/A Requesting Data...3297369334</v>
        <stp/>
        <stp>BDP|4938759477168674381</stp>
        <tr r="E23" s="4"/>
      </tp>
      <tp t="s">
        <v>#N/A Requesting Data...3517368695</v>
        <stp/>
        <stp>BDP|4120548091556971632</stp>
        <tr r="J8" s="16"/>
      </tp>
      <tp t="s">
        <v>#N/A Requesting Data...3699793984</v>
        <stp/>
        <stp>BDP|6229753396345444597</stp>
        <tr r="J10" s="16"/>
      </tp>
      <tp t="s">
        <v>#N/A Requesting Data...3966697543</v>
        <stp/>
        <stp>BDP|6992386206898388576</stp>
        <tr r="I6" s="16"/>
      </tp>
      <tp t="s">
        <v>#N/A Requesting Data...4022580557</v>
        <stp/>
        <stp>BDP|1440775866201456872</stp>
        <tr r="I10" s="16"/>
      </tp>
      <tp t="s">
        <v>#N/A Requesting Data...4275324539</v>
        <stp/>
        <stp>BDP|2558557980072118785</stp>
        <tr r="I9" s="16"/>
      </tp>
      <tp t="s">
        <v>#N/A Requesting Data...3975835100</v>
        <stp/>
        <stp>BDP|9567764807640019488</stp>
        <tr r="D23" s="4"/>
      </tp>
      <tp t="s">
        <v>#N/A Requesting Data...3935784982</v>
        <stp/>
        <stp>BDP|6919533648008043579</stp>
        <tr r="J6" s="16"/>
      </tp>
      <tp t="s">
        <v>#N/A Requesting Data...3919478859</v>
        <stp/>
        <stp>BDP|1309843736337904909</stp>
        <tr r="G7" s="16"/>
      </tp>
      <tp t="s">
        <v>#N/A Requesting Data...4287254256</v>
        <stp/>
        <stp>BDP|1008282973937479734</stp>
        <tr r="F10" s="16"/>
      </tp>
      <tp t="s">
        <v>#N/A Requesting Data...3785676214</v>
        <stp/>
        <stp>BDP|6402462776015551568</stp>
        <tr r="D7" s="16"/>
      </tp>
      <tp t="s">
        <v>#N/A Requesting Data...3684211738</v>
        <stp/>
        <stp>BDP|3917812088037969338</stp>
        <tr r="I8" s="16"/>
      </tp>
      <tp t="s">
        <v>#N/A Requesting Data...3794855928</v>
        <stp/>
        <stp>BDP|3783811399514793104</stp>
        <tr r="D9" s="16"/>
      </tp>
      <tp t="s">
        <v>#N/A Requesting Data...3523087944</v>
        <stp/>
        <stp>BDP|3813102979953158681</stp>
        <tr r="D8" s="16"/>
      </tp>
      <tp t="s">
        <v>#N/A Requesting Data...4155283602</v>
        <stp/>
        <stp>BDP|3016032546861645645</stp>
        <tr r="L8" s="16"/>
      </tp>
      <tp t="s">
        <v>#N/A Requesting Data...4271903607</v>
        <stp/>
        <stp>BDP|5342164155427751487</stp>
        <tr r="I7" s="16"/>
      </tp>
      <tp t="s">
        <v>#N/A Requesting Data...3858504266</v>
        <stp/>
        <stp>BDP|5398486785213771927</stp>
        <tr r="F8" s="16"/>
      </tp>
      <tp t="s">
        <v>#N/A Requesting Data...4196452765</v>
        <stp/>
        <stp>BDP|2470954931023095833</stp>
        <tr r="J7" s="16"/>
      </tp>
      <tp t="s">
        <v>#N/A Requesting Data...3941379369</v>
        <stp/>
        <stp>BDP|684981373249800382</stp>
        <tr r="E10" s="16"/>
      </tp>
      <tp t="s">
        <v>#N/A Requesting Data...3552548356</v>
        <stp/>
        <stp>BDP|278915754941876425</stp>
        <tr r="D10" s="16"/>
      </tp>
      <tp t="s">
        <v>#N/A Requesting Data...4175822686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NAV'!$A$1169:$A$1496</c:f>
              <c:numCache>
                <c:formatCode>[$-409]d\-mmm\-yy;@</c:formatCode>
                <c:ptCount val="328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</c:numCache>
            </c:numRef>
          </c:cat>
          <c:val>
            <c:numRef>
              <c:f>'Historical NAV'!$N$1169:$N$1495</c:f>
              <c:numCache>
                <c:formatCode>0.00%;[Red]\(0.00%\)</c:formatCode>
                <c:ptCount val="327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NAV'!$A$2:$A$1496</c:f>
              <c:numCache>
                <c:formatCode>[$-409]d\-mmm\-yy;@</c:formatCode>
                <c:ptCount val="1495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</c:numCache>
            </c:numRef>
          </c:cat>
          <c:val>
            <c:numRef>
              <c:f>'Historical NAV'!$M$2:$M$1495</c:f>
              <c:numCache>
                <c:formatCode>0.00%;[Red]\(0.00%\)</c:formatCode>
                <c:ptCount val="1494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5926.33</c:v>
                </c:pt>
                <c:pt idx="2">
                  <c:v>0</c:v>
                </c:pt>
                <c:pt idx="3">
                  <c:v>85365.39</c:v>
                </c:pt>
                <c:pt idx="4">
                  <c:v>0</c:v>
                </c:pt>
                <c:pt idx="5">
                  <c:v>0</c:v>
                </c:pt>
                <c:pt idx="6">
                  <c:v>15920.44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234610.01999999996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910047.75000000012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G58" sqref="G5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45698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2.5063472638406765E-4</v>
      </c>
      <c r="D4" s="91"/>
      <c r="E4" s="92"/>
    </row>
    <row r="5" spans="1:23">
      <c r="A5" t="s">
        <v>66</v>
      </c>
      <c r="B5" s="8">
        <f ca="1">OFFSET('Historical NAV'!K1,COUNT('Historical NAV'!A:A),,,)</f>
        <v>1.9554824831666817E-3</v>
      </c>
      <c r="E5" s="146"/>
    </row>
    <row r="6" spans="1:23">
      <c r="A6" t="s">
        <v>283</v>
      </c>
      <c r="B6" s="8">
        <f ca="1">OFFSET('Historical NAV'!N1,COUNT('Historical NAV'!A:A),,,)</f>
        <v>6.5708309145586341E-2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2.5063472638406765E-4</v>
      </c>
      <c r="D9" t="s">
        <v>188</v>
      </c>
      <c r="E9" s="146">
        <f ca="1">OFFSET('Historical NAV'!B1,COUNT('Historical NAV'!A:A),,,)</f>
        <v>66431670.820359498</v>
      </c>
    </row>
    <row r="10" spans="1:23">
      <c r="A10" t="s">
        <v>181</v>
      </c>
      <c r="B10" s="2">
        <f ca="1">E13/E9</f>
        <v>0.94486783524889106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-0.12254196920316167</v>
      </c>
      <c r="D11" t="s">
        <v>160</v>
      </c>
      <c r="E11" s="8">
        <f ca="1">E10/E9</f>
        <v>0.62577871452932743</v>
      </c>
    </row>
    <row r="12" spans="1:23">
      <c r="A12" t="s">
        <v>147</v>
      </c>
      <c r="B12" s="8">
        <f ca="1">OFFSET('Historical NAV'!T1,COUNT('Historical NAV'!A:A),,,)</f>
        <v>-1.8452386321936798E-2</v>
      </c>
    </row>
    <row r="13" spans="1:23">
      <c r="A13" t="s">
        <v>148</v>
      </c>
      <c r="B13" s="8">
        <f ca="1">OFFSET('Historical NAV'!V1,COUNT('Historical NAV'!A:A),,,)</f>
        <v>0.79150976375932536</v>
      </c>
      <c r="D13" s="99" t="s">
        <v>180</v>
      </c>
      <c r="E13" s="152">
        <f>K25</f>
        <v>62769149</v>
      </c>
    </row>
    <row r="14" spans="1:23">
      <c r="A14" t="s">
        <v>125</v>
      </c>
      <c r="B14" s="51">
        <f ca="1">OFFSET('Historical NAV'!W1,COUNT('Historical NAV'!A:A),,,)</f>
        <v>1.4916278259954086</v>
      </c>
      <c r="D14" s="303">
        <v>5.0000000000000001E-3</v>
      </c>
      <c r="E14" s="123">
        <f>(D14*$E$13)/(1-D14)</f>
        <v>315422.85929648241</v>
      </c>
    </row>
    <row r="15" spans="1:23">
      <c r="A15" t="s">
        <v>144</v>
      </c>
      <c r="B15" s="51">
        <f ca="1">OFFSET('Historical NAV'!AB1,COUNT('Historical NAV'!A:A),,,)</f>
        <v>4.0086117845120306</v>
      </c>
      <c r="D15" s="303">
        <v>0.01</v>
      </c>
      <c r="E15" s="123">
        <f>(D15*$E$13)/(1-D15)</f>
        <v>634031.80808080803</v>
      </c>
      <c r="F15" s="133"/>
    </row>
    <row r="16" spans="1:23">
      <c r="A16" t="s">
        <v>145</v>
      </c>
      <c r="B16" s="51">
        <f ca="1">OFFSET('Historical NAV'!P1,COUNT('Historical NAV'!A:A),,,)</f>
        <v>0.45054329948442851</v>
      </c>
      <c r="D16" s="303">
        <v>1.4999999999999999E-2</v>
      </c>
      <c r="E16" s="123">
        <f>(D16*$E$13)/(1-D16)</f>
        <v>955875.36548223346</v>
      </c>
      <c r="F16" s="169"/>
    </row>
    <row r="17" spans="1:23">
      <c r="A17" t="s">
        <v>185</v>
      </c>
      <c r="B17" s="51">
        <f ca="1">OFFSET('Historical NAV'!AC1,COUNT('Historical NAV'!A:A),,,)</f>
        <v>-4.4399589547322683E-2</v>
      </c>
      <c r="D17" s="303">
        <v>0.05</v>
      </c>
      <c r="E17" s="123">
        <f>(D17*$E$13)/(1-D17)</f>
        <v>3303639.4210526319</v>
      </c>
    </row>
    <row r="18" spans="1:23">
      <c r="A18" t="s">
        <v>186</v>
      </c>
      <c r="B18" s="51">
        <f ca="1">OFFSET('Historical NAV'!AD1,COUNT('Historical NAV'!A:A),,,)</f>
        <v>-3.8782543860872355E-2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-4.8680582859847332E-2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4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6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62768750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399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62769149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0.99999364337407215</v>
      </c>
      <c r="F26" s="103">
        <f t="shared" si="0"/>
        <v>0</v>
      </c>
      <c r="G26" s="103">
        <f t="shared" si="0"/>
        <v>0</v>
      </c>
      <c r="H26" s="103">
        <f t="shared" si="0"/>
        <v>6.3566259278104919E-6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0.94486182907751115</v>
      </c>
      <c r="F27" s="165">
        <f t="shared" ca="1" si="1"/>
        <v>0</v>
      </c>
      <c r="G27" s="165">
        <f t="shared" ca="1" si="1"/>
        <v>0</v>
      </c>
      <c r="H27" s="165">
        <f t="shared" ca="1" si="1"/>
        <v>6.0061713798972728E-6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0.94486783524889106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-3843.67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12543.56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6675.5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15375.39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-4522582.8274605991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85365.39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15920.44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107212.16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234610.01999999996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910047.75000000012</v>
      </c>
      <c r="I45" s="164">
        <f t="shared" si="3"/>
        <v>0</v>
      </c>
      <c r="J45" s="164">
        <f>SUM(J33:J44)</f>
        <v>0</v>
      </c>
      <c r="K45" s="164">
        <f>SUM(K33:K44)</f>
        <v>4747305.6300000008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1.2874789225935069E-3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2.401117237139615E-4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1.6169714242004012E-3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1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E1188" sqref="E1188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6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0</v>
      </c>
      <c r="E3" s="153">
        <v>133.57</v>
      </c>
      <c r="F3" s="153">
        <v>0</v>
      </c>
      <c r="G3" s="153">
        <v>1</v>
      </c>
      <c r="H3" s="153">
        <v>0</v>
      </c>
      <c r="I3" s="218">
        <v>0</v>
      </c>
      <c r="J3"/>
      <c r="K3"/>
    </row>
    <row r="4" spans="1:11">
      <c r="A4" s="221" t="s">
        <v>345</v>
      </c>
      <c r="B4" s="153" t="s">
        <v>140</v>
      </c>
      <c r="C4" s="153" t="s">
        <v>38</v>
      </c>
      <c r="D4" s="153">
        <v>0</v>
      </c>
      <c r="E4" s="153">
        <v>0</v>
      </c>
      <c r="F4" s="153">
        <v>0</v>
      </c>
      <c r="G4" s="153">
        <v>1</v>
      </c>
      <c r="H4" s="153">
        <v>0</v>
      </c>
      <c r="I4" s="218">
        <v>0</v>
      </c>
      <c r="J4"/>
      <c r="K4"/>
    </row>
    <row r="5" spans="1:11">
      <c r="A5" s="221" t="s">
        <v>346</v>
      </c>
      <c r="B5" s="153" t="s">
        <v>140</v>
      </c>
      <c r="C5" s="153" t="s">
        <v>38</v>
      </c>
      <c r="D5" s="153">
        <v>0</v>
      </c>
      <c r="E5" s="153">
        <v>0</v>
      </c>
      <c r="F5" s="153">
        <v>0</v>
      </c>
      <c r="G5" s="153">
        <v>1</v>
      </c>
      <c r="H5" s="153">
        <v>0</v>
      </c>
      <c r="I5" s="218">
        <v>0</v>
      </c>
      <c r="J5"/>
      <c r="K5"/>
    </row>
    <row r="6" spans="1:11">
      <c r="A6" s="221" t="s">
        <v>348</v>
      </c>
      <c r="B6" s="153" t="s">
        <v>140</v>
      </c>
      <c r="C6" s="153" t="s">
        <v>38</v>
      </c>
      <c r="D6" s="153">
        <v>0</v>
      </c>
      <c r="E6" s="153">
        <v>0</v>
      </c>
      <c r="F6" s="153">
        <v>0</v>
      </c>
      <c r="G6" s="153">
        <v>1</v>
      </c>
      <c r="H6" s="153">
        <v>0</v>
      </c>
      <c r="I6" s="218">
        <v>0</v>
      </c>
      <c r="J6"/>
      <c r="K6"/>
    </row>
    <row r="7" spans="1:11">
      <c r="A7" s="221" t="s">
        <v>344</v>
      </c>
      <c r="B7" s="153" t="s">
        <v>140</v>
      </c>
      <c r="C7" s="153" t="s">
        <v>38</v>
      </c>
      <c r="D7" s="153">
        <v>10</v>
      </c>
      <c r="E7" s="153">
        <v>39.9</v>
      </c>
      <c r="F7" s="153">
        <v>399</v>
      </c>
      <c r="G7" s="153">
        <v>1</v>
      </c>
      <c r="H7" s="153">
        <v>399</v>
      </c>
      <c r="I7" s="218">
        <v>0</v>
      </c>
      <c r="J7"/>
      <c r="K7"/>
    </row>
    <row r="8" spans="1:11">
      <c r="A8" s="221" t="s">
        <v>347</v>
      </c>
      <c r="B8" s="153" t="s">
        <v>42</v>
      </c>
      <c r="C8" s="153" t="s">
        <v>38</v>
      </c>
      <c r="D8" s="153">
        <v>625000</v>
      </c>
      <c r="E8" s="153">
        <v>100.43</v>
      </c>
      <c r="F8" s="153">
        <v>62768750.000000007</v>
      </c>
      <c r="G8" s="153">
        <v>1</v>
      </c>
      <c r="H8" s="153">
        <v>62768750</v>
      </c>
      <c r="I8" s="218">
        <v>100</v>
      </c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4"/>
  <sheetViews>
    <sheetView tabSelected="1"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D188" sqref="D188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L18" sqref="L18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 ca="1">IF(D18=0, "", D18)</f>
        <v>2.5063472638406765E-4</v>
      </c>
      <c r="E4" s="8" t="str">
        <f t="shared" ref="E4:L5" si="0">IF(E18=0, "", E18)</f>
        <v/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2.5063472638406765E-4</v>
      </c>
      <c r="J4" s="8">
        <f t="shared" ca="1" si="0"/>
        <v>1.9554824831666817E-3</v>
      </c>
      <c r="K4" s="8">
        <f ca="1">J4</f>
        <v>1.9554824831666817E-3</v>
      </c>
      <c r="L4" s="8">
        <f t="shared" ca="1" si="0"/>
        <v>6.5708309145586341E-2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 t="str">
        <f t="array" ref="D6">IFERROR(_xll.BDP($B6,"INTERVAL_PERCENT_CHANGE", "END_DATE_OVERRIDE="&amp;TEXT(D$17,"yyyymmdd"), "START_DATE_OVERRIDE="&amp;TEXT(D$16,"yyyymmdd"))/100, "")</f>
        <v/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 t="e">
        <f>_xll.BDP(B6,"CHG_PCT_1D")/100</f>
        <v>#VALUE!</v>
      </c>
      <c r="J6" s="8" t="e">
        <f>_xll.BDP($B6,"CURRENT_TRR_MTD")/100</f>
        <v>#VALUE!</v>
      </c>
      <c r="K6" s="8" t="e">
        <f>_xll.BDP(B6,"CHG_PCT_1M")/100</f>
        <v>#VALUE!</v>
      </c>
      <c r="L6" s="8" t="e">
        <f t="array" ref="L6">_xll.BDP($B6,"CHG_PCT_YTD")/100</f>
        <v>#VALUE!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19000.399475160379</v>
      </c>
      <c r="U6" s="8">
        <f>VLOOKUP("new_equity", 'Email input'!F:G, 2, FALSE)/100</f>
        <v>2.8657347E-4</v>
      </c>
    </row>
    <row r="7" spans="2:22">
      <c r="B7" t="s">
        <v>310</v>
      </c>
      <c r="C7" t="s">
        <v>330</v>
      </c>
      <c r="D7" s="8" t="str">
        <f t="array" ref="D7">IFERROR(_xll.BDP($B7,"INTERVAL_PERCENT_CHANGE", "END_DATE_OVERRIDE="&amp;TEXT(D$17,"yyyymmdd"), "START_DATE_OVERRIDE="&amp;TEXT(D$16,"yyyymmdd"))/100, "")</f>
        <v/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 t="e">
        <f t="array" ref="I7">_xll.BDP(B7,"CHG_PCT_1D")/100</f>
        <v>#VALUE!</v>
      </c>
      <c r="J7" s="8" t="e">
        <f t="array" ref="J7">_xll.BDP($B7,"CURRENT_TRR_MTD")/100</f>
        <v>#VALUE!</v>
      </c>
      <c r="K7" s="8" t="e">
        <f>_xll.BDP(B7,"CHG_PCT_1M")/100</f>
        <v>#VALUE!</v>
      </c>
      <c r="L7" s="8" t="e">
        <f t="array" ref="L7">_xll.BDP($B7,"CHG_PCT_YTD")/100</f>
        <v>#VALUE!</v>
      </c>
      <c r="N7" s="47" t="s">
        <v>95</v>
      </c>
      <c r="O7" s="295">
        <f ca="1">OFFSET('Historical NAV'!F1,COUNT('Historical NAV'!A:A),,,)</f>
        <v>16645.911595799029</v>
      </c>
      <c r="P7" s="296" t="s">
        <v>58</v>
      </c>
      <c r="Q7" s="297">
        <f ca="1">SUM(O7:P7)</f>
        <v>16645.911595799029</v>
      </c>
      <c r="S7" t="s">
        <v>292</v>
      </c>
      <c r="T7" s="286">
        <f>($T$3+T$4)*U7</f>
        <v>40925.772162971007</v>
      </c>
      <c r="U7" s="8">
        <f>VLOOKUP("Fixed Income", 'Email input'!F:G, 2, FALSE)/100</f>
        <v>6.1726284000000005E-4</v>
      </c>
    </row>
    <row r="8" spans="2:22">
      <c r="B8" t="s">
        <v>311</v>
      </c>
      <c r="C8" s="8" t="s">
        <v>312</v>
      </c>
      <c r="D8" s="8" t="str">
        <f t="array" ref="D8">IFERROR(_xll.BDP($B8,"INTERVAL_PERCENT_CHANGE", "END_DATE_OVERRIDE="&amp;TEXT(D$17,"yyyymmdd"), "START_DATE_OVERRIDE="&amp;TEXT(D$16,"yyyymmdd"))/100, "")</f>
        <v/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 t="e">
        <f t="array" ref="I8">_xll.BDP(B8,"CHG_PCT_1D")/100</f>
        <v>#VALUE!</v>
      </c>
      <c r="J8" s="8" t="e">
        <f t="array" ref="J8">_xll.BDP($B8,"CURRENT_TRR_MTD")/100</f>
        <v>#VALUE!</v>
      </c>
      <c r="K8" s="8" t="e">
        <f>_xll.BDP(B8,"CHG_PCT_1M")/100</f>
        <v>#VALUE!</v>
      </c>
      <c r="L8" s="8" t="e">
        <f t="array" ref="L8">_xll.BDP($B8,"CHG_PCT_YTD")/100</f>
        <v>#VALUE!</v>
      </c>
      <c r="N8" t="s">
        <v>301</v>
      </c>
      <c r="O8" s="69">
        <f ca="1">OFFSET('Historical NAV'!J1,COUNT('Historical NAV'!A:A),,,)</f>
        <v>129652.4355501011</v>
      </c>
      <c r="P8" s="280">
        <f>SUM(P4:P5)*P9</f>
        <v>0</v>
      </c>
      <c r="Q8" s="280">
        <f ca="1">SUM(O8:P8)</f>
        <v>129652.4355501011</v>
      </c>
      <c r="S8" s="47" t="s">
        <v>293</v>
      </c>
      <c r="T8" s="287">
        <f>($T$3+T$4)*U8</f>
        <v>53030.2207021414</v>
      </c>
      <c r="U8" s="207">
        <f>VLOOKUP("Cash", 'Email input'!F:G, 2, FALSE)/100</f>
        <v>7.9982814999999998E-4</v>
      </c>
    </row>
    <row r="9" spans="2:22">
      <c r="B9" t="s">
        <v>313</v>
      </c>
      <c r="C9" s="8" t="s">
        <v>314</v>
      </c>
      <c r="D9" s="8" t="str">
        <f t="array" ref="D9">IFERROR(_xll.BDP($B9,"INTERVAL_PERCENT_CHANGE", "END_DATE_OVERRIDE="&amp;TEXT(D$17,"yyyymmdd"), "START_DATE_OVERRIDE="&amp;TEXT(D$16,"yyyymmdd"))/100, "")</f>
        <v/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 t="e">
        <f t="array" ref="I9">_xll.BDP(B9,"CHG_PCT_1D")/100</f>
        <v>#VALUE!</v>
      </c>
      <c r="J9" s="8" t="e">
        <f t="array" ref="J9">_xll.BDP($B9,"CURRENT_TRR_MTD")/100</f>
        <v>#VALUE!</v>
      </c>
      <c r="K9" s="8" t="e">
        <f>_xll.BDP(B9,"CHG_PCT_1M")/100</f>
        <v>#VALUE!</v>
      </c>
      <c r="L9" s="8" t="e">
        <f t="array" ref="L9">_xll.BDP($B9,"CHG_PCT_YTD")/100</f>
        <v>#VALUE!</v>
      </c>
      <c r="N9" t="s">
        <v>302</v>
      </c>
      <c r="O9" s="8">
        <f ca="1">OFFSET('Historical NAV'!K1,COUNT('Historical NAV'!A:A),,,)</f>
        <v>1.9554824831666817E-3</v>
      </c>
      <c r="P9" s="285">
        <f>J5</f>
        <v>0</v>
      </c>
      <c r="S9" t="s">
        <v>294</v>
      </c>
      <c r="T9" s="288">
        <f>SUM(T5:T8)</f>
        <v>112956.39234027278</v>
      </c>
      <c r="V9" s="312">
        <f>T9/(T3+T4)</f>
        <v>1.70366446E-3</v>
      </c>
    </row>
    <row r="10" spans="2:22" ht="15.75" thickBot="1">
      <c r="B10" t="s">
        <v>328</v>
      </c>
      <c r="C10" s="8" t="s">
        <v>329</v>
      </c>
      <c r="D10" s="8" t="str">
        <f t="array" ref="D10">IFERROR(_xll.BDP($B10,"INTERVAL_PERCENT_CHANGE", "END_DATE_OVERRIDE="&amp;TEXT(D$17,"yyyymmdd"), "START_DATE_OVERRIDE="&amp;TEXT(D$16,"yyyymmdd"))/100, "")</f>
        <v/>
      </c>
      <c r="E10" s="8" t="str">
        <f t="array" ref="E10">IFERROR(_xll.BDP($B10,"INTERVAL_PERCENT_CHANGE", "END_DATE_OVERRIDE="&amp;TEXT(E$17,"yyyymmdd"), "START_DATE_OVERRIDE="&amp;TEXT(E$16,"yyyymmdd"))/100, "")</f>
        <v/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 t="e">
        <f>_xll.BDP(B10,"CHG_PCT_1D")/100</f>
        <v>#VALUE!</v>
      </c>
      <c r="J10" s="8" t="e">
        <f t="array" ref="J10">_xll.BDP($B10,"CURRENT_TRR_MTD")/100</f>
        <v>#VALUE!</v>
      </c>
      <c r="K10" s="8" t="e">
        <f>_xll.BDP(B10,"CHG_PCT_1M")/100</f>
        <v>#VALUE!</v>
      </c>
      <c r="L10" s="8" t="e">
        <f t="array" ref="L10">_xll.BDP($B10,"CHG_PCT_YTD")/100</f>
        <v>#VALUE!</v>
      </c>
      <c r="N10" s="275" t="s">
        <v>297</v>
      </c>
      <c r="O10" s="281">
        <f ca="1">O4+O5+O8</f>
        <v>66431670.815550104</v>
      </c>
      <c r="P10" s="276">
        <f>P4+P5+P8</f>
        <v>2151287.66</v>
      </c>
      <c r="Q10" s="281">
        <f ca="1">SUM(O10:P10)</f>
        <v>68582958.4755501</v>
      </c>
      <c r="S10" t="s">
        <v>295</v>
      </c>
      <c r="T10" s="286">
        <f>SUM('Email input'!D5:D6)</f>
        <v>19964.081440199981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-15409.831241071224</v>
      </c>
      <c r="U11" s="8"/>
    </row>
    <row r="12" spans="2:22" ht="15.75" collapsed="1" thickTop="1">
      <c r="S12" t="s">
        <v>296</v>
      </c>
      <c r="T12" s="280">
        <f>SUM('Email input'!D7:D9)</f>
        <v>-3757.3429828999997</v>
      </c>
      <c r="U12" s="8"/>
      <c r="V12" s="41"/>
    </row>
    <row r="13" spans="2:22" ht="15.75" thickBot="1">
      <c r="S13" s="275" t="s">
        <v>297</v>
      </c>
      <c r="T13" s="281">
        <f>T3+T4+T9+T10+T12+T11</f>
        <v>66415771.679556504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66431670.820359498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66415771.679556504</v>
      </c>
    </row>
    <row r="18" spans="2:21">
      <c r="B18" t="s">
        <v>326</v>
      </c>
      <c r="D18" s="298">
        <f ca="1">Dashboard!$B$4</f>
        <v>2.5063472638406765E-4</v>
      </c>
      <c r="E18" s="298"/>
      <c r="F18" s="298"/>
      <c r="G18" s="298"/>
      <c r="H18" s="298"/>
      <c r="I18" s="8">
        <f ca="1">Dashboard!B9</f>
        <v>2.5063472638406765E-4</v>
      </c>
      <c r="J18" s="8">
        <f ca="1">Dashboard!B5</f>
        <v>1.9554824831666817E-3</v>
      </c>
      <c r="K18" s="8"/>
      <c r="L18" s="69">
        <f ca="1">Dashboard!B6</f>
        <v>6.5708309145586341E-2</v>
      </c>
      <c r="O18" s="69"/>
      <c r="T18" s="284">
        <f ca="1">T16-T17</f>
        <v>15899.14080299437</v>
      </c>
    </row>
    <row r="19" spans="2:21">
      <c r="B19" t="s">
        <v>327</v>
      </c>
      <c r="D19" s="298"/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81583.767092740003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349</v>
      </c>
      <c r="D4" s="282">
        <v>31861.93</v>
      </c>
      <c r="F4" t="s">
        <v>292</v>
      </c>
      <c r="G4">
        <v>6.1726283999999999E-2</v>
      </c>
    </row>
    <row r="5" spans="1:7">
      <c r="A5" t="s">
        <v>337</v>
      </c>
      <c r="B5" s="282" t="s">
        <v>320</v>
      </c>
      <c r="C5" t="s">
        <v>350</v>
      </c>
      <c r="D5" s="282">
        <v>-472182.14569440001</v>
      </c>
      <c r="F5" t="s">
        <v>293</v>
      </c>
      <c r="G5">
        <v>7.9982814999999999E-2</v>
      </c>
    </row>
    <row r="6" spans="1:7">
      <c r="A6" t="s">
        <v>337</v>
      </c>
      <c r="B6" s="282" t="s">
        <v>320</v>
      </c>
      <c r="C6" t="s">
        <v>317</v>
      </c>
      <c r="D6" s="282">
        <v>492146.22713459999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-3444.8210347999998</v>
      </c>
    </row>
    <row r="9" spans="1:7">
      <c r="A9" t="s">
        <v>337</v>
      </c>
      <c r="B9" s="282" t="s">
        <v>320</v>
      </c>
      <c r="C9" t="s">
        <v>318</v>
      </c>
      <c r="D9" s="282">
        <v>-124.1819481</v>
      </c>
      <c r="F9" t="s">
        <v>321</v>
      </c>
      <c r="G9">
        <v>2.8657347E-2</v>
      </c>
    </row>
    <row r="10" spans="1:7">
      <c r="A10" t="s">
        <v>337</v>
      </c>
      <c r="B10" s="282" t="s">
        <v>320</v>
      </c>
      <c r="C10" t="s">
        <v>297</v>
      </c>
      <c r="D10" s="282">
        <v>66431670.820359498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66431670.820359498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129652.4355501011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1.9554824831666817E-3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4.8324013727077952E-2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2.5063472638406765E-4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4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4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/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172"/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66431670.820359498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129652.4355501011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1.9554824831666817E-3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16645.911595799029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2.5063472638406765E-4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Requesting Data...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2025-02-11T05:55:06Z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