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C88AF0D6-E567-4614-98AA-37066280266D}" xr6:coauthVersionLast="47" xr6:coauthVersionMax="47" xr10:uidLastSave="{00000000-0000-0000-0000-000000000000}"/>
  <bookViews>
    <workbookView xWindow="-28920" yWindow="-6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16" l="1" a="1"/>
  <c r="F8" i="16"/>
  <c r="F7" i="16" a="1"/>
  <c r="F7" i="16"/>
  <c r="F9" i="16" a="1"/>
  <c r="F9" i="16"/>
  <c r="F10" i="16" a="1"/>
  <c r="F10" i="16"/>
  <c r="F6" i="16" a="1"/>
  <c r="F6" i="16"/>
  <c r="H6" i="16" a="1"/>
  <c r="H6" i="16"/>
  <c r="H10" i="16" a="1"/>
  <c r="H10" i="16"/>
  <c r="H7" i="16" a="1"/>
  <c r="H7" i="16"/>
  <c r="H9" i="16" a="1"/>
  <c r="H9" i="16"/>
  <c r="H8" i="16" a="1"/>
  <c r="H8" i="16"/>
  <c r="K6" i="16"/>
  <c r="K9" i="16"/>
  <c r="L9" i="16" a="1"/>
  <c r="L9" i="16"/>
  <c r="K10" i="16"/>
  <c r="K8" i="16"/>
  <c r="L10" i="16" a="1"/>
  <c r="L10" i="16"/>
  <c r="K7" i="16"/>
  <c r="I6" i="16"/>
  <c r="J9" i="16" a="1"/>
  <c r="J9" i="16"/>
  <c r="J10" i="16" a="1"/>
  <c r="J10" i="16"/>
  <c r="I7" i="16" a="1"/>
  <c r="I7" i="16"/>
  <c r="J6" i="16"/>
  <c r="L7" i="16" a="1"/>
  <c r="L7" i="16"/>
  <c r="J8" i="16" a="1"/>
  <c r="J8" i="16"/>
  <c r="I8" i="16" a="1"/>
  <c r="I8" i="16"/>
  <c r="L8" i="16" a="1"/>
  <c r="L8" i="16"/>
  <c r="J7" i="16" a="1"/>
  <c r="J7" i="16"/>
  <c r="I9" i="16" a="1"/>
  <c r="I9" i="16"/>
  <c r="I10" i="16"/>
  <c r="L6" i="16" a="1"/>
  <c r="L6" i="16"/>
  <c r="E9" i="16" a="1"/>
  <c r="E9" i="16"/>
  <c r="E6" i="16" a="1"/>
  <c r="E6" i="16"/>
  <c r="E7" i="16" a="1"/>
  <c r="E7" i="16"/>
  <c r="E8" i="16" a="1"/>
  <c r="E8" i="16"/>
  <c r="E10" i="16" a="1"/>
  <c r="E10" i="16"/>
  <c r="G6" i="16" a="1"/>
  <c r="G6" i="16"/>
  <c r="G10" i="16" a="1"/>
  <c r="G10" i="16"/>
  <c r="G9" i="16" a="1"/>
  <c r="G9" i="16"/>
  <c r="G8" i="16" a="1"/>
  <c r="G8" i="16"/>
  <c r="G7" i="16" a="1"/>
  <c r="G7" i="16"/>
  <c r="D6" i="16" a="1"/>
  <c r="D6" i="16"/>
  <c r="D7" i="16" a="1"/>
  <c r="D7" i="16"/>
  <c r="D8" i="16" a="1"/>
  <c r="D8" i="16"/>
  <c r="D9" i="16" a="1"/>
  <c r="D9" i="16"/>
  <c r="D10" i="16" a="1"/>
  <c r="D10" i="16"/>
  <c r="J19" i="16"/>
  <c r="E17" i="16"/>
  <c r="F17" i="16" s="1"/>
  <c r="G17" i="16" s="1"/>
  <c r="H17" i="16" s="1"/>
  <c r="T16" i="16"/>
  <c r="E16" i="16"/>
  <c r="F16" i="16" s="1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F4" i="16"/>
  <c r="D4" i="16"/>
  <c r="T3" i="16"/>
  <c r="O4" i="16" s="1"/>
  <c r="F22" i="4"/>
  <c r="F23" i="4"/>
  <c r="D22" i="4"/>
  <c r="H23" i="4"/>
  <c r="E22" i="4"/>
  <c r="D23" i="4"/>
  <c r="H22" i="4"/>
  <c r="E23" i="4"/>
  <c r="C22" i="4"/>
  <c r="C23" i="4"/>
  <c r="G22" i="4"/>
  <c r="G23" i="4"/>
  <c r="C24" i="4"/>
  <c r="O10" i="16" l="1"/>
  <c r="O6" i="16"/>
  <c r="Q4" i="16"/>
  <c r="P9" i="16"/>
  <c r="P8" i="16" s="1"/>
  <c r="Q8" i="16" s="1"/>
  <c r="L5" i="16"/>
  <c r="K5" i="16"/>
  <c r="P10" i="16"/>
  <c r="P6" i="16"/>
  <c r="T8" i="16"/>
  <c r="T7" i="16"/>
  <c r="T6" i="16"/>
  <c r="T9" i="16" s="1"/>
  <c r="V9" i="16" s="1"/>
  <c r="X1197" i="14"/>
  <c r="E1197" i="14"/>
  <c r="D1197" i="14"/>
  <c r="C1197" i="14"/>
  <c r="B1197" i="14"/>
  <c r="A1197" i="14"/>
  <c r="L207" i="13"/>
  <c r="A207" i="13"/>
  <c r="X1199" i="3"/>
  <c r="D1199" i="3"/>
  <c r="T13" i="16" l="1"/>
  <c r="T17" i="16" s="1"/>
  <c r="T18" i="16" s="1"/>
  <c r="Q6" i="16"/>
  <c r="Q10" i="16"/>
  <c r="F1197" i="14"/>
  <c r="X1196" i="14" l="1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F1197" i="3"/>
  <c r="G1197" i="3" s="1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F1169" i="3"/>
  <c r="G1168" i="3"/>
  <c r="F1166" i="14"/>
  <c r="F1165" i="14"/>
  <c r="H1167" i="14" l="1"/>
  <c r="I1167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9" i="3" l="1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199" i="3" s="1"/>
  <c r="X1164" i="14"/>
  <c r="E1164" i="14"/>
  <c r="D1164" i="14"/>
  <c r="C1164" i="14"/>
  <c r="B1164" i="14"/>
  <c r="A1164" i="14"/>
  <c r="L174" i="13"/>
  <c r="A174" i="13"/>
  <c r="X1166" i="3"/>
  <c r="D1166" i="3"/>
  <c r="W1199" i="3" l="1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L1164" i="14" l="1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T1189" i="3" l="1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AD1199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D1198" i="3" l="1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Y1106" i="14" l="1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E18" i="16" s="1"/>
  <c r="E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20" i="14" l="1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Z944" i="14" l="1"/>
  <c r="AA944" i="14" s="1"/>
  <c r="Y831" i="14"/>
  <c r="L824" i="14"/>
  <c r="J824" i="14"/>
  <c r="L829" i="14"/>
  <c r="L827" i="14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3" i="14" l="1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7" i="14" l="1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N1197" i="14" s="1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W1197" i="14" l="1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7" i="14" l="1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4" i="3" l="1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8" i="3" l="1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8" i="3" l="1"/>
  <c r="AA948" i="3" s="1"/>
  <c r="AB1199" i="3"/>
  <c r="Z947" i="3"/>
  <c r="AA947" i="3" s="1"/>
  <c r="AB1198" i="3"/>
  <c r="Z946" i="3"/>
  <c r="AA946" i="3" s="1"/>
  <c r="AB1197" i="3"/>
  <c r="Z945" i="3"/>
  <c r="AA945" i="3" s="1"/>
  <c r="AB1196" i="3"/>
  <c r="Z944" i="3"/>
  <c r="AA944" i="3" s="1"/>
  <c r="AB1195" i="3"/>
  <c r="Z943" i="3"/>
  <c r="AA943" i="3" s="1"/>
  <c r="AB1194" i="3"/>
  <c r="Z942" i="3"/>
  <c r="AA942" i="3" s="1"/>
  <c r="AB1193" i="3"/>
  <c r="Z941" i="3"/>
  <c r="AA941" i="3" s="1"/>
  <c r="AB1192" i="3" s="1"/>
  <c r="Z940" i="3"/>
  <c r="AA940" i="3" s="1"/>
  <c r="AB119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9" i="3" l="1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9" i="3" l="1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<sst xmlns="http://schemas.openxmlformats.org/spreadsheetml/2006/main" count="793" uniqueCount="352">
  <si>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</si>
  <si>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</si>
  <si>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</si>
  <si>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</si>
  <si>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</si>
  <si>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</si>
  <si>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</si>
  <si>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</si>
  <si>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</si>
  <si>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</si>
  <si>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</si>
  <si>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</si>
  <si>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</si>
  <si>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</si>
  <si>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</si>
  <si>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</si>
  <si>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</si>
  <si>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</si>
  <si>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</si>
  <si>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</si>
  <si>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</si>
  <si>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</si>
  <si>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</si>
  <si>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</si>
  <si>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</si>
  <si>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</si>
  <si>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</si>
  <si>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</si>
  <si>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</si>
  <si>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</si>
  <si>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</si>
  <si>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</si>
  <si>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</si>
  <si>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</si>
  <si>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</si>
  <si>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</si>
  <si>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</si>
  <si>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</si>
  <si>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</si>
  <si>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</si>
  <si>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</si>
  <si>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</si>
  <si>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</si>
  <si>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</si>
  <si>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</si>
  <si>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</si>
  <si>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</si>
  <si>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</si>
  <si>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</si>
  <si>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</si>
  <si>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</si>
  <si>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</si>
  <si>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</si>
  <si>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</si>
  <si>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</si>
  <si>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</si>
  <si>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</si>
  <si>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</si>
  <si>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</si>
  <si>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</si>
  <si>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</si>
  <si>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</si>
  <si>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</si>
  <si>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</si>
  <si>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</si>
  <si>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</si>
  <si>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</si>
  <si>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</si>
  <si>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</si>
  <si>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</si>
  <si>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</si>
  <si>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</si>
  <si>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</si>
  <si>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</si>
  <si>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</si>
  <si>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</si>
  <si>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</si>
  <si>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</si>
  <si>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</si>
  <si>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</si>
  <si>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</si>
  <si>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</si>
  <si>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</si>
  <si>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</si>
  <si>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</si>
  <si>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</si>
  <si>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</si>
  <si>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</si>
  <si>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</si>
  <si>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</si>
  <si>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</si>
  <si>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</si>
  <si>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</si>
  <si>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</si>
  <si>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</si>
  <si>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</si>
  <si>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</si>
  <si>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</si>
  <si>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</si>
  <si>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</si>
  <si>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</si>
  <si>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</si>
  <si>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</si>
  <si>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</si>
  <si>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</si>
  <si>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</si>
  <si>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</si>
  <si>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</si>
  <si>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</si>
  <si>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</si>
  <si>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</si>
  <si>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</si>
  <si>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</si>
  <si>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</si>
  <si>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</si>
  <si>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</si>
  <si>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</si>
  <si>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</si>
  <si>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</si>
  <si>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</si>
  <si>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</si>
  <si>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</si>
  <si>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</si>
  <si>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</si>
  <si>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</si>
  <si>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</si>
  <si>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</si>
  <si>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</si>
  <si>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</si>
  <si>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</si>
  <si>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</si>
  <si>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</si>
  <si>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</si>
  <si>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</si>
  <si>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</si>
  <si>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</si>
  <si>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</si>
  <si>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</si>
  <si>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</si>
  <si>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</si>
  <si>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</si>
  <si>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</si>
  <si>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</si>
  <si>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</si>
  <si>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</si>
  <si>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</si>
  <si>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</si>
  <si>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</si>
  <si>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</si>
  <si>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</si>
  <si>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</si>
  <si>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</si>
  <si>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</si>
  <si>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</si>
  <si>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</si>
  <si>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</si>
  <si>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</si>
  <si>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</si>
  <si>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</si>
  <si>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</si>
  <si>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</si>
  <si>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</si>
  <si>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</si>
  <si>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</si>
  <si>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</si>
  <si>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</si>
  <si>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</si>
  <si>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</si>
  <si>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</si>
  <si>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</si>
  <si>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</si>
  <si>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</si>
  <si>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</si>
  <si>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</si>
  <si>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</si>
  <si>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</si>
  <si>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</si>
  <si>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</si>
  <si>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</si>
  <si>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</si>
  <si>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</si>
  <si>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</si>
  <si>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</si>
  <si>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</si>
  <si>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</si>
  <si>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</si>
  <si>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</si>
  <si>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</si>
  <si>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</si>
  <si>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</si>
  <si>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</si>
  <si>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</si>
  <si>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</si>
  <si>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</si>
  <si>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</si>
  <si>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</si>
  <si>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</si>
  <si>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</si>
  <si>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</si>
  <si>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</si>
  <si>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</si>
  <si>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</si>
  <si>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</si>
  <si>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</si>
  <si>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</si>
  <si>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</si>
  <si>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</si>
  <si>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</si>
  <si>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</si>
  <si>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</si>
  <si>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</si>
  <si>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</si>
  <si>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</si>
  <si>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</si>
  <si>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</si>
  <si>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</si>
  <si>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</si>
  <si>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</si>
  <si>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</si>
  <si>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</si>
  <si>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</si>
  <si>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</si>
  <si>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</si>
  <si>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</si>
  <si>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</si>
  <si>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</si>
  <si>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</si>
  <si>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</si>
  <si>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</si>
  <si>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</si>
  <si>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</si>
  <si>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</si>
  <si>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</si>
  <si>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</si>
  <si>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</si>
  <si>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</si>
  <si>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</si>
  <si>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</si>
  <si>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</si>
  <si>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</si>
  <si>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</si>
  <si>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</si>
  <si>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</si>
  <si>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</si>
  <si>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</si>
  <si>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</si>
  <si>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</si>
  <si>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</si>
  <si>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</si>
  <si>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</si>
  <si>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</si>
  <si>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</si>
  <si>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</si>
  <si>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</si>
  <si>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</si>
  <si>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</si>
  <si>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</si>
  <si>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</si>
  <si>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</si>
  <si>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</si>
  <si>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</si>
  <si>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</si>
  <si>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</si>
  <si>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</si>
  <si>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</si>
  <si>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</si>
  <si>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</si>
  <si>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</si>
  <si>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</si>
  <si>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</si>
  <si>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</si>
  <si>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</si>
  <si>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</si>
  <si>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</si>
  <si>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</si>
  <si>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</si>
  <si>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</si>
  <si>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</si>
  <si>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</si>
  <si>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</si>
  <si>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</si>
  <si>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</si>
  <si>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</si>
  <si>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</si>
  <si>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</si>
  <si>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</si>
  <si>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</si>
  <si>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</si>
  <si>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</si>
  <si>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</si>
  <si>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</si>
  <si>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</si>
  <si>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</si>
  <si>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</si>
  <si>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</si>
  <si>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</si>
  <si>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</si>
  <si>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</si>
  <si>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</si>
  <si>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</si>
  <si>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</si>
  <si>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</si>
  <si>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</si>
  <si>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</si>
  <si>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</si>
  <si>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</si>
  <si>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</si>
  <si>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</si>
  <si>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</si>
  <si>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</si>
  <si>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</si>
  <si>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</si>
  <si>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</si>
  <si>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</si>
  <si>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</si>
  <si>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</si>
  <si>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</si>
  <si>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</si>
  <si>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</si>
  <si>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</si>
  <si>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</si>
  <si>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</si>
  <si>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</si>
  <si>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</si>
  <si>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</si>
  <si>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</si>
  <si>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</si>
  <si>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</si>
  <si>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</si>
  <si>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</si>
  <si>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</si>
  <si>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</si>
  <si>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</si>
  <si>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</si>
  <si>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</si>
  <si>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</si>
  <si>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</si>
  <si>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</si>
  <si>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</si>
  <si>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</si>
  <si>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</si>
  <si>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</si>
  <si>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</si>
  <si>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</si>
  <si>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</si>
  <si>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</si>
  <si>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</si>
  <si>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</si>
  <si>
    <t>HYD</t>
  </si>
  <si>
    <t>MBB</t>
  </si>
  <si>
    <t>SHYD</t>
  </si>
  <si>
    <t>STIP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</si>
</sst>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Data...2699934831</v>
        <stp/>
        <stp>BDP|13843568691370437419</stp>
        <tr r="G9" s="16"/>
      </tp>
      <tp t="s">
        <v>#N/A Requesting Data...2750185997</v>
        <stp/>
        <stp>BDP|17488990371770934291</stp>
        <tr r="L9" s="16"/>
      </tp>
      <tp t="s">
        <v>#N/A Requesting Data...4032228602</v>
        <stp/>
        <stp>BDP|13727818016546450707</stp>
        <tr r="H10" s="16"/>
      </tp>
      <tp t="s">
        <v>#N/A Requesting Data...2383936160</v>
        <stp/>
        <stp>BDP|11025807958107061305</stp>
        <tr r="D6" s="16"/>
      </tp>
      <tp t="s">
        <v>#N/A Requesting Data...3739826787</v>
        <stp/>
        <stp>BDP|12503804164161346560</stp>
        <tr r="H23" s="4"/>
      </tp>
      <tp t="s">
        <v>#N/A Requesting Data...2524409672</v>
        <stp/>
        <stp>BDP|16037198422009566377</stp>
        <tr r="H7" s="16"/>
      </tp>
      <tp t="s">
        <v>#N/A Requesting Data...3305197788</v>
        <stp/>
        <stp>BDP|14887355760439675744</stp>
        <tr r="G8" s="16"/>
      </tp>
      <tp t="s">
        <v>#N/A Requesting Data...4211347049</v>
        <stp/>
        <stp>BDP|15882609691144832149</stp>
        <tr r="G10" s="16"/>
      </tp>
      <tp t="s">
        <v>#N/A Requesting Data...4026304602</v>
        <stp/>
        <stp>BDP|11927491993173780392</stp>
        <tr r="E7" s="16"/>
      </tp>
      <tp t="s">
        <v>#N/A Requesting Data...3293687838</v>
        <stp/>
        <stp>BDP|18194437827130447215</stp>
        <tr r="K6" s="16"/>
      </tp>
      <tp t="s">
        <v>#N/A Requesting Data...4199238544</v>
        <stp/>
        <stp>BDP|15408295575394886937</stp>
        <tr r="H6" s="16"/>
      </tp>
      <tp t="s">
        <v>#N/A Requesting Data...4221863657</v>
        <stp/>
        <stp>BDP|12868917489186433836</stp>
        <tr r="D22" s="4"/>
      </tp>
      <tp t="s">
        <v>#N/A Requesting Data...3399795704</v>
        <stp/>
        <stp>BDP|11441239167720550763</stp>
        <tr r="G22" s="4"/>
      </tp>
      <tp t="s">
        <v>#N/A Requesting Data...2600071864</v>
        <stp/>
        <stp>BDP|16083383279081530134</stp>
        <tr r="G6" s="16"/>
      </tp>
      <tp t="s">
        <v>#N/A Requesting Data...2706462564</v>
        <stp/>
        <stp>BDP|15571183826414458091</stp>
        <tr r="F23" s="4"/>
      </tp>
      <tp t="s">
        <v>#N/A Requesting Data...2323112895</v>
        <stp/>
        <stp>BDP|16691583684581330968</stp>
        <tr r="F22" s="4"/>
      </tp>
      <tp t="s">
        <v>#N/A Requesting Data...2576486043</v>
        <stp/>
        <stp>BDP|10851542879122214334</stp>
        <tr r="K7" s="16"/>
      </tp>
      <tp t="s">
        <v>#N/A Requesting Data...3104497551</v>
        <stp/>
        <stp>BDP|13033893993631589338</stp>
        <tr r="C24" s="4"/>
      </tp>
      <tp t="s">
        <v>#N/A Requesting Data...4152063578</v>
        <stp/>
        <stp>BDP|17427418226980805092</stp>
        <tr r="E6" s="16"/>
      </tp>
      <tp t="s">
        <v>#N/A Requesting Data...3174120601</v>
        <stp/>
        <stp>BDP|12801142977284637660</stp>
        <tr r="F9" s="16"/>
      </tp>
      <tp t="s">
        <v>#N/A Requesting Data...2703545514</v>
        <stp/>
        <stp>BDP|11395363488884515847</stp>
        <tr r="E22" s="4"/>
      </tp>
      <tp t="s">
        <v>#N/A Requesting Data...4069057648</v>
        <stp/>
        <stp>BDP|11453968001806112847</stp>
        <tr r="L10" s="16"/>
      </tp>
      <tp t="s">
        <v>#N/A Requesting Data...4068465578</v>
        <stp/>
        <stp>BDP|13427178278194281624</stp>
        <tr r="H9" s="16"/>
      </tp>
      <tp t="s">
        <v>#N/A Requesting Data...2251769192</v>
        <stp/>
        <stp>BDP|14662245951000286439</stp>
        <tr r="C22" s="4"/>
      </tp>
      <tp t="s">
        <v>#N/A Requesting Data...3966109817</v>
        <stp/>
        <stp>BDP|16854102045504656375</stp>
        <tr r="K10" s="16"/>
      </tp>
      <tp t="s">
        <v>#N/A Requesting Data...2954458305</v>
        <stp/>
        <stp>BDP|17541570393706762923</stp>
        <tr r="K9" s="16"/>
      </tp>
      <tp t="s">
        <v>#N/A Requesting Data...2463918923</v>
        <stp/>
        <stp>BDP|14476774127851531505</stp>
        <tr r="E9" s="16"/>
      </tp>
      <tp t="s">
        <v>#N/A Requesting Data...2938041232</v>
        <stp/>
        <stp>BDP|16879443774998906816</stp>
        <tr r="K8" s="16"/>
      </tp>
    </main>
    <main first="bofaddin.rtdserver">
      <tp t="s">
        <v>#N/A Requesting Data...2317746491</v>
        <stp/>
        <stp>BDP|9184051814111053572</stp>
        <tr r="E8" s="16"/>
      </tp>
      <tp t="s">
        <v>#N/A Requesting Data...3984144042</v>
        <stp/>
        <stp>BDP|1413003601749412533</stp>
        <tr r="L6" s="16"/>
      </tp>
      <tp t="s">
        <v>#N/A Requesting Data...4031172015</v>
        <stp/>
        <stp>BDP|8485886604566386829</stp>
        <tr r="H22" s="4"/>
      </tp>
      <tp t="s">
        <v>#N/A Requesting Data...3836749593</v>
        <stp/>
        <stp>BDP|9958272376154164648</stp>
        <tr r="J9" s="16"/>
      </tp>
      <tp t="s">
        <v>#N/A Requesting Data...3464336940</v>
        <stp/>
        <stp>BDP|4155052320638790009</stp>
        <tr r="L7" s="16"/>
      </tp>
      <tp t="s">
        <v>#N/A Requesting Data...3295670885</v>
        <stp/>
        <stp>BDP|4020462511547452937</stp>
        <tr r="F7" s="16"/>
      </tp>
      <tp t="s">
        <v>#N/A Requesting Data...4287194179</v>
        <stp/>
        <stp>BDP|3599663092060873385</stp>
        <tr r="G23" s="4"/>
      </tp>
      <tp t="s">
        <v>#N/A Requesting Data...3448074279</v>
        <stp/>
        <stp>BDP|5197169271935733907</stp>
        <tr r="H8" s="16"/>
      </tp>
      <tp t="s">
        <v>#N/A Requesting Data...3873063660</v>
        <stp/>
        <stp>BDP|2715175043958188031</stp>
        <tr r="C23" s="4"/>
      </tp>
      <tp t="s">
        <v>#N/A Requesting Data...3013241229</v>
        <stp/>
        <stp>BDP|4938759477168674381</stp>
        <tr r="E23" s="4"/>
      </tp>
      <tp t="s">
        <v>#N/A Requesting Data...2973992746</v>
        <stp/>
        <stp>BDP|4120548091556971632</stp>
        <tr r="J8" s="16"/>
      </tp>
      <tp t="s">
        <v>#N/A Requesting Data...2906068252</v>
        <stp/>
        <stp>BDP|6229753396345444597</stp>
        <tr r="J10" s="16"/>
      </tp>
      <tp t="s">
        <v>#N/A Requesting Data...4099954263</v>
        <stp/>
        <stp>BDP|6992386206898388576</stp>
        <tr r="I6" s="16"/>
      </tp>
      <tp t="s">
        <v>#N/A Requesting Data...3314701286</v>
        <stp/>
        <stp>BDP|1440775866201456872</stp>
        <tr r="I10" s="16"/>
      </tp>
      <tp t="s">
        <v>#N/A Requesting Data...4279184339</v>
        <stp/>
        <stp>BDP|2558557980072118785</stp>
        <tr r="I9" s="16"/>
      </tp>
      <tp t="s">
        <v>#N/A Requesting Data...2780393781</v>
        <stp/>
        <stp>BDP|9567764807640019488</stp>
        <tr r="D23" s="4"/>
      </tp>
      <tp t="s">
        <v>#N/A Requesting Data...2379552444</v>
        <stp/>
        <stp>BDP|6919533648008043579</stp>
        <tr r="J6" s="16"/>
      </tp>
      <tp t="s">
        <v>#N/A Requesting Data...3833273697</v>
        <stp/>
        <stp>BDP|1309843736337904909</stp>
        <tr r="G7" s="16"/>
      </tp>
      <tp t="s">
        <v>#N/A Requesting Data...2273648606</v>
        <stp/>
        <stp>BDP|1008282973937479734</stp>
        <tr r="F10" s="16"/>
      </tp>
      <tp t="s">
        <v>#N/A Requesting Data...3266527630</v>
        <stp/>
        <stp>BDP|6402462776015551568</stp>
        <tr r="D7" s="16"/>
      </tp>
      <tp t="s">
        <v>#N/A Requesting Data...2750941063</v>
        <stp/>
        <stp>BDP|3917812088037969338</stp>
        <tr r="I8" s="16"/>
      </tp>
      <tp t="s">
        <v>#N/A Requesting Data...2763518413</v>
        <stp/>
        <stp>BDP|3783811399514793104</stp>
        <tr r="D9" s="16"/>
      </tp>
      <tp t="s">
        <v>#N/A Requesting Data...3303189788</v>
        <stp/>
        <stp>BDP|3813102979953158681</stp>
        <tr r="D8" s="16"/>
      </tp>
      <tp t="s">
        <v>#N/A Requesting Data...4001648679</v>
        <stp/>
        <stp>BDP|3016032546861645645</stp>
        <tr r="L8" s="16"/>
      </tp>
      <tp t="s">
        <v>#N/A Requesting Data...3325920610</v>
        <stp/>
        <stp>BDP|5342164155427751487</stp>
        <tr r="I7" s="16"/>
      </tp>
      <tp t="s">
        <v>#N/A Requesting Data...3971364059</v>
        <stp/>
        <stp>BDP|5398486785213771927</stp>
        <tr r="F8" s="16"/>
      </tp>
      <tp t="s">
        <v>#N/A Requesting Data...3382758209</v>
        <stp/>
        <stp>BDP|2470954931023095833</stp>
        <tr r="J7" s="16"/>
      </tp>
    </main>
    <main first="bofaddin.rtdserver">
      <tp t="s">
        <v>#N/A Requesting Data...2493171005</v>
        <stp/>
        <stp>BDP|684981373249800382</stp>
        <tr r="E10" s="16"/>
      </tp>
      <tp t="s">
        <v>#N/A Requesting Data...3761179218</v>
        <stp/>
        <stp>BDP|278915754941876425</stp>
        <tr r="D10" s="16"/>
      </tp>
      <tp t="s">
        <v>#N/A Requesting Data...2282483196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NAV'!$A$1169:$A$1499</c:f>
              <c:numCache>
                <c:formatCode>[$-409]d\-mmm\-yy;@</c:formatCode>
                <c:ptCount val="331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</c:numCache>
            </c:numRef>
          </c:cat>
          <c:val>
            <c:numRef>
              <c:f>'Historical NAV'!$N$1169:$N$1498</c:f>
              <c:numCache>
                <c:formatCode>0.00%;[Red]\(0.00%\)</c:formatCode>
                <c:ptCount val="330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NAV'!$A$2:$A$1499</c:f>
              <c:numCache>
                <c:formatCode>[$-409]d\-mmm\-yy;@</c:formatCode>
                <c:ptCount val="1498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</c:numCache>
            </c:numRef>
          </c:cat>
          <c:val>
            <c:numRef>
              <c:f>'Historical NAV'!$M$2:$M$1498</c:f>
              <c:numCache>
                <c:formatCode>0.00%;[Red]\(0.00%\)</c:formatCode>
                <c:ptCount val="1497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5926.33</c:v>
                </c:pt>
                <c:pt idx="2">
                  <c:v>0</c:v>
                </c:pt>
                <c:pt idx="3">
                  <c:v>236856.76</c:v>
                </c:pt>
                <c:pt idx="4">
                  <c:v>0</c:v>
                </c:pt>
                <c:pt idx="5">
                  <c:v>0</c:v>
                </c:pt>
                <c:pt idx="6">
                  <c:v>17168.940000000002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386101.38999999996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911296.25000000023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opLeftCell="A4" zoomScale="85" zoomScaleNormal="85" workbookViewId="0">
      <selection activeCell="G58" sqref="G5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45701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2.5666088437021704E-3</v>
      </c>
      <c r="D4" s="91"/>
      <c r="E4" s="92"/>
    </row>
    <row r="5" spans="1:23">
      <c r="A5" t="s">
        <v>66</v>
      </c>
      <c r="B5" s="8">
        <f ca="1">OFFSET('Historical NAV'!K1,COUNT('Historical NAV'!A:A),,,)</f>
        <v>4.2761105736706106E-3</v>
      </c>
      <c r="E5" s="146"/>
    </row>
    <row r="6" spans="1:23">
      <c r="A6" t="s">
        <v>283</v>
      </c>
      <c r="B6" s="8">
        <f ca="1">OFFSET('Historical NAV'!N1,COUNT('Historical NAV'!A:A),,,)</f>
        <v>6.8176595094137094E-2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2.2598719660893505E-3</v>
      </c>
      <c r="D9" t="s">
        <v>188</v>
      </c>
      <c r="E9" s="146">
        <f ca="1">OFFSET('Historical NAV'!B1,COUNT('Historical NAV'!A:A),,,)</f>
        <v>66585533.1466804</v>
      </c>
    </row>
    <row r="10" spans="1:23">
      <c r="A10" t="s">
        <v>181</v>
      </c>
      <c r="B10" s="2">
        <f ca="1">E13/E9</f>
        <v>0.94296626508471937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-6.4873398401508978E-2</v>
      </c>
      <c r="D11" t="s">
        <v>160</v>
      </c>
      <c r="E11" s="8">
        <f ca="1">E10/E9</f>
        <v>0.62433269819170223</v>
      </c>
    </row>
    <row r="12" spans="1:23">
      <c r="A12" t="s">
        <v>147</v>
      </c>
      <c r="B12" s="8">
        <f ca="1">OFFSET('Historical NAV'!T1,COUNT('Historical NAV'!A:A),,,)</f>
        <v>-4.837578377978341E-2</v>
      </c>
    </row>
    <row r="13" spans="1:23">
      <c r="A13" t="s">
        <v>148</v>
      </c>
      <c r="B13" s="8">
        <f ca="1">OFFSET('Historical NAV'!V1,COUNT('Historical NAV'!A:A),,,)</f>
        <v>0.84550871649594173</v>
      </c>
      <c r="D13" s="99" t="s">
        <v>180</v>
      </c>
      <c r="E13" s="152">
        <f>K25</f>
        <v>62787911.5</v>
      </c>
    </row>
    <row r="14" spans="1:23">
      <c r="A14" t="s">
        <v>125</v>
      </c>
      <c r="B14" s="51">
        <f ca="1">OFFSET('Historical NAV'!W1,COUNT('Historical NAV'!A:A),,,)</f>
        <v>1.4637619718877015</v>
      </c>
      <c r="D14" s="303">
        <v>5.0000000000000001E-3</v>
      </c>
      <c r="E14" s="123">
        <f>(D14*$E$13)/(1-D14)</f>
        <v>315517.14321608038</v>
      </c>
    </row>
    <row r="15" spans="1:23">
      <c r="A15" t="s">
        <v>144</v>
      </c>
      <c r="B15" s="51">
        <f ca="1">OFFSET('Historical NAV'!AB1,COUNT('Historical NAV'!A:A),,,)</f>
        <v>3.956980006308906</v>
      </c>
      <c r="D15" s="303">
        <v>0.01</v>
      </c>
      <c r="E15" s="123">
        <f>(D15*$E$13)/(1-D15)</f>
        <v>634221.32828282833</v>
      </c>
      <c r="F15" s="133"/>
    </row>
    <row r="16" spans="1:23">
      <c r="A16" t="s">
        <v>145</v>
      </c>
      <c r="B16" s="51">
        <f ca="1">OFFSET('Historical NAV'!P1,COUNT('Historical NAV'!A:A),,,)</f>
        <v>0.42755116666278442</v>
      </c>
      <c r="D16" s="303">
        <v>1.4999999999999999E-2</v>
      </c>
      <c r="E16" s="123">
        <f>(D16*$E$13)/(1-D16)</f>
        <v>956161.08883248735</v>
      </c>
      <c r="F16" s="169"/>
    </row>
    <row r="17" spans="1:23">
      <c r="A17" t="s">
        <v>185</v>
      </c>
      <c r="B17" s="51">
        <f ca="1">OFFSET('Historical NAV'!AC1,COUNT('Historical NAV'!A:A),,,)</f>
        <v>-4.2822698747535963E-2</v>
      </c>
      <c r="D17" s="303">
        <v>0.05</v>
      </c>
      <c r="E17" s="123">
        <f>(D17*$E$13)/(1-D17)</f>
        <v>3304626.9210526319</v>
      </c>
    </row>
    <row r="18" spans="1:23">
      <c r="A18" t="s">
        <v>186</v>
      </c>
      <c r="B18" s="51">
        <f ca="1">OFFSET('Historical NAV'!AD1,COUNT('Historical NAV'!A:A),,,)</f>
        <v>-3.8852830641806516E-2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-4.8513330708592275E-2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10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11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62787500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411.5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62787911.5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0.99999344619067321</v>
      </c>
      <c r="F26" s="103">
        <f t="shared" si="0"/>
        <v>0</v>
      </c>
      <c r="G26" s="103">
        <f t="shared" si="0"/>
        <v>0</v>
      </c>
      <c r="H26" s="103">
        <f t="shared" si="0"/>
        <v>6.5538093268160383E-6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0.94296008506361639</v>
      </c>
      <c r="F27" s="165">
        <f t="shared" ca="1" si="1"/>
        <v>0</v>
      </c>
      <c r="G27" s="165">
        <f t="shared" ca="1" si="1"/>
        <v>0</v>
      </c>
      <c r="H27" s="165">
        <f t="shared" ca="1" si="1"/>
        <v>6.1800211029851186E-6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0.94296626508471937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145241.37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3058.3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148299.66999999998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-4352821.3608181048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236856.76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17168.940000000002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259952.03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386101.38999999996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911296.25000000023</v>
      </c>
      <c r="I45" s="164">
        <f t="shared" si="3"/>
        <v>0</v>
      </c>
      <c r="J45" s="164">
        <f>SUM(J33:J44)</f>
        <v>0</v>
      </c>
      <c r="K45" s="164">
        <f>SUM(K33:K44)</f>
        <v>4900045.5000000009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3.5722684119851014E-3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2.5894157308099417E-4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3.9205907629590283E-3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4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B1201" sqref="B1201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9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42">
        <f t="shared" si="656"/>
        <v>1.7857142857142857E-4</v>
      </c>
      <c r="Y1199" s="139">
        <f t="shared" ref="Y1199" si="1289">G1199-X1199</f>
        <v>2.081300537517922E-3</v>
      </c>
      <c r="Z1199" s="139">
        <f t="shared" ref="Z1199" si="1290">IF(Y1199&lt;0,Y1199,0)</f>
        <v>0</v>
      </c>
      <c r="AA1199" s="139">
        <f t="shared" ref="AA1199" si="1291">Z1199^2</f>
        <v>0</v>
      </c>
      <c r="AB1199" s="144">
        <f t="shared" ref="AB1199" si="1292">AVERAGE(Y948:Y1199)/AVERAGE(AA948:AA1199)</f>
        <v>3.956980006308906</v>
      </c>
      <c r="AC1199" s="144">
        <f t="shared" ref="AC1199" si="1293">AVERAGE(G1170:G1199)-_xlfn.NORM.S.INV(0.95)*_xlfn.STDEV.S(G1170:G1199)</f>
        <v>-4.2822698747535963E-2</v>
      </c>
      <c r="AD1199" s="144">
        <f t="shared" ref="AD1199" si="1294">AVERAGE(G1110:G1199)-_xlfn.NORM.S.INV(0.95)*_xlfn.STDEV.S(G1110:G1199)</f>
        <v>-3.8852830641806516E-2</v>
      </c>
      <c r="AE1199" s="144">
        <f t="shared" ref="AE1199" si="1295">AVERAGE(G835:G1199)-_xlfn.NORM.S.INV(0.95)*_xlfn.STDEV.S(G835:G1199)</f>
        <v>-4.8513330708592275E-2</v>
      </c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A1222" s="8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103</v>
      </c>
      <c r="B3" s="153" t="s">
        <v>42</v>
      </c>
      <c r="C3" s="153" t="s">
        <v>38</v>
      </c>
      <c r="D3" s="153">
        <v>0</v>
      </c>
      <c r="E3" s="153">
        <v>81.06</v>
      </c>
      <c r="F3" s="153">
        <v>0</v>
      </c>
      <c r="G3" s="153">
        <v>1</v>
      </c>
      <c r="H3" s="153">
        <v>0</v>
      </c>
      <c r="I3" s="218">
        <v>0</v>
      </c>
      <c r="J3"/>
      <c r="K3"/>
    </row>
    <row r="4" spans="1:11">
      <c r="A4" s="221" t="s">
        <v>348</v>
      </c>
      <c r="B4" s="153" t="s">
        <v>42</v>
      </c>
      <c r="C4" s="153" t="s">
        <v>38</v>
      </c>
      <c r="D4" s="153">
        <v>0</v>
      </c>
      <c r="E4" s="153">
        <v>51.84</v>
      </c>
      <c r="F4" s="153">
        <v>0</v>
      </c>
      <c r="G4" s="153">
        <v>1</v>
      </c>
      <c r="H4" s="153">
        <v>0</v>
      </c>
      <c r="I4" s="218">
        <v>0</v>
      </c>
      <c r="J4"/>
      <c r="K4"/>
    </row>
    <row r="5" spans="1:11">
      <c r="A5" s="221" t="s">
        <v>113</v>
      </c>
      <c r="B5" s="153" t="s">
        <v>42</v>
      </c>
      <c r="C5" s="153" t="s">
        <v>38</v>
      </c>
      <c r="D5" s="153">
        <v>0</v>
      </c>
      <c r="E5" s="153">
        <v>47.87</v>
      </c>
      <c r="F5" s="153">
        <v>0</v>
      </c>
      <c r="G5" s="153">
        <v>1</v>
      </c>
      <c r="H5" s="153">
        <v>0</v>
      </c>
      <c r="I5" s="218">
        <v>0</v>
      </c>
      <c r="J5"/>
      <c r="K5"/>
    </row>
    <row r="6" spans="1:11">
      <c r="A6" s="221" t="s">
        <v>107</v>
      </c>
      <c r="B6" s="153" t="s">
        <v>42</v>
      </c>
      <c r="C6" s="153" t="s">
        <v>38</v>
      </c>
      <c r="D6" s="153">
        <v>0</v>
      </c>
      <c r="E6" s="153">
        <v>107.57</v>
      </c>
      <c r="F6" s="153">
        <v>0</v>
      </c>
      <c r="G6" s="153">
        <v>1</v>
      </c>
      <c r="H6" s="153">
        <v>0</v>
      </c>
      <c r="I6" s="218">
        <v>0</v>
      </c>
      <c r="J6"/>
      <c r="K6"/>
    </row>
    <row r="7" spans="1:11">
      <c r="A7" s="221" t="s">
        <v>349</v>
      </c>
      <c r="B7" s="153" t="s">
        <v>42</v>
      </c>
      <c r="C7" s="153" t="s">
        <v>38</v>
      </c>
      <c r="D7" s="153">
        <v>0</v>
      </c>
      <c r="E7" s="153">
        <v>92.07</v>
      </c>
      <c r="F7" s="153">
        <v>0</v>
      </c>
      <c r="G7" s="153">
        <v>1</v>
      </c>
      <c r="H7" s="153">
        <v>0</v>
      </c>
      <c r="I7" s="218">
        <v>0</v>
      </c>
      <c r="J7"/>
      <c r="K7"/>
    </row>
    <row r="8" spans="1:11">
      <c r="A8" s="221" t="s">
        <v>344</v>
      </c>
      <c r="B8" s="153" t="s">
        <v>140</v>
      </c>
      <c r="C8" s="153" t="s">
        <v>38</v>
      </c>
      <c r="D8" s="153">
        <v>10</v>
      </c>
      <c r="E8" s="153">
        <v>41.15</v>
      </c>
      <c r="F8" s="153">
        <v>411.5</v>
      </c>
      <c r="G8" s="153">
        <v>1</v>
      </c>
      <c r="H8" s="153">
        <v>411.5</v>
      </c>
      <c r="I8" s="218">
        <v>0</v>
      </c>
      <c r="J8"/>
      <c r="K8"/>
    </row>
    <row r="9" spans="1:11">
      <c r="A9" s="221" t="s">
        <v>345</v>
      </c>
      <c r="B9" s="153" t="s">
        <v>42</v>
      </c>
      <c r="C9" s="153" t="s">
        <v>38</v>
      </c>
      <c r="D9" s="153">
        <v>625000</v>
      </c>
      <c r="E9" s="153">
        <v>100.46</v>
      </c>
      <c r="F9" s="153">
        <v>62787499.999999993</v>
      </c>
      <c r="G9" s="153">
        <v>1</v>
      </c>
      <c r="H9" s="153">
        <v>62787500</v>
      </c>
      <c r="I9" s="218">
        <v>100</v>
      </c>
      <c r="J9"/>
      <c r="K9"/>
    </row>
    <row r="10" spans="1:11">
      <c r="A10" s="221" t="s">
        <v>350</v>
      </c>
      <c r="B10" s="153" t="s">
        <v>42</v>
      </c>
      <c r="C10" s="153" t="s">
        <v>38</v>
      </c>
      <c r="D10" s="153">
        <v>0</v>
      </c>
      <c r="E10" s="153">
        <v>22.68</v>
      </c>
      <c r="F10" s="153">
        <v>0</v>
      </c>
      <c r="G10" s="153">
        <v>1</v>
      </c>
      <c r="H10" s="153">
        <v>0</v>
      </c>
      <c r="I10" s="218">
        <v>0</v>
      </c>
      <c r="J10"/>
      <c r="K10"/>
    </row>
    <row r="11" spans="1:11">
      <c r="A11" s="221" t="s">
        <v>351</v>
      </c>
      <c r="B11" s="153" t="s">
        <v>42</v>
      </c>
      <c r="C11" s="153" t="s">
        <v>38</v>
      </c>
      <c r="D11" s="153">
        <v>0</v>
      </c>
      <c r="E11" s="153">
        <v>101.66</v>
      </c>
      <c r="F11" s="153">
        <v>0</v>
      </c>
      <c r="G11" s="153">
        <v>1</v>
      </c>
      <c r="H11" s="153">
        <v>0</v>
      </c>
      <c r="I11" s="218">
        <v>0</v>
      </c>
      <c r="J11"/>
      <c r="K11"/>
    </row>
    <row r="12" spans="1:11">
      <c r="A12" s="221" t="s">
        <v>105</v>
      </c>
      <c r="B12" s="153" t="s">
        <v>42</v>
      </c>
      <c r="C12" s="153" t="s">
        <v>38</v>
      </c>
      <c r="D12" s="153">
        <v>0</v>
      </c>
      <c r="E12" s="153">
        <v>88.68</v>
      </c>
      <c r="F12" s="153">
        <v>0</v>
      </c>
      <c r="G12" s="153">
        <v>1</v>
      </c>
      <c r="H12" s="153">
        <v>0</v>
      </c>
      <c r="I12" s="218">
        <v>0</v>
      </c>
      <c r="J12"/>
      <c r="K12"/>
    </row>
    <row r="13" spans="1:11">
      <c r="A13" s="221" t="s">
        <v>109</v>
      </c>
      <c r="B13" s="153" t="s">
        <v>42</v>
      </c>
      <c r="C13" s="153" t="s">
        <v>38</v>
      </c>
      <c r="D13" s="153">
        <v>0</v>
      </c>
      <c r="E13" s="153">
        <v>37.229999999999997</v>
      </c>
      <c r="F13" s="153">
        <v>0</v>
      </c>
      <c r="G13" s="153">
        <v>1</v>
      </c>
      <c r="H13" s="153">
        <v>0</v>
      </c>
      <c r="I13" s="218">
        <v>0</v>
      </c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7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  <row r="207" spans="1:12">
      <c r="A207" s="170">
        <f>'Historical NAV'!A1199</f>
        <v>45701</v>
      </c>
      <c r="B207" s="159">
        <v>0</v>
      </c>
      <c r="C207" s="159">
        <v>0</v>
      </c>
      <c r="D207" s="159">
        <v>0</v>
      </c>
      <c r="E207" s="159">
        <v>145241.37</v>
      </c>
      <c r="F207" s="159">
        <v>0</v>
      </c>
      <c r="G207" s="159">
        <v>0</v>
      </c>
      <c r="H207" s="159">
        <v>3058.3</v>
      </c>
      <c r="I207" s="159"/>
      <c r="J207" s="159"/>
      <c r="K207" s="159"/>
      <c r="L207" s="159">
        <f t="shared" ref="L207" si="50">SUM(B207:K207)</f>
        <v>148299.66999999998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Q25" sqref="Q25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ca="1" si="0">IF(E18=0, "", E18)</f>
        <v>2.5666088437021704E-3</v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2.2598719660893505E-3</v>
      </c>
      <c r="J4" s="8">
        <f t="shared" ca="1" si="0"/>
        <v>4.2761105736706106E-3</v>
      </c>
      <c r="K4" s="8">
        <f ca="1">J4</f>
        <v>4.2761105736706106E-3</v>
      </c>
      <c r="L4" s="8">
        <f t="shared" ca="1" si="0"/>
        <v>6.8176595094137094E-2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1.4782633227071391E-2</v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1.0426359999999999E-2</v>
      </c>
      <c r="J6" s="8">
        <f>_xll.BDP($B6,"CURRENT_TRR_MTD")/100</f>
        <v>1.301075E-2</v>
      </c>
      <c r="K6" s="8">
        <f>_xll.BDP(B6,"CHG_PCT_1M")/100</f>
        <v>4.6579469999999998E-2</v>
      </c>
      <c r="L6" s="8">
        <f t="array" ref="L6">_xll.BDP($B6,"CHG_PCT_YTD")/100</f>
        <v>3.9689670000000003E-2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20021.337844781134</v>
      </c>
      <c r="U6" s="8">
        <f>VLOOKUP("new_equity", 'Email input'!F:G, 2, FALSE)/100</f>
        <v>3.0197177000000001E-4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2.5098516563206143E-2</v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1.433981E-2</v>
      </c>
      <c r="J7" s="8">
        <f t="array" ref="J7">_xll.BDP($B7,"CURRENT_TRR_MTD")/100</f>
        <v>2.6080860000000001E-2</v>
      </c>
      <c r="K7" s="8">
        <f>_xll.BDP(B7,"CHG_PCT_1M")/100</f>
        <v>6.1341989999999999E-2</v>
      </c>
      <c r="L7" s="8">
        <f t="array" ref="L7">_xll.BDP($B7,"CHG_PCT_YTD")/100</f>
        <v>4.8473860000000001E-2</v>
      </c>
      <c r="N7" s="47" t="s">
        <v>95</v>
      </c>
      <c r="O7" s="295">
        <f ca="1">OFFSET('Historical NAV'!F1,COUNT('Historical NAV'!A:A),,,)</f>
        <v>150135.49271419644</v>
      </c>
      <c r="P7" s="296" t="s">
        <v>58</v>
      </c>
      <c r="Q7" s="297">
        <f ca="1">SUM(O7:P7)</f>
        <v>150135.49271419644</v>
      </c>
      <c r="S7" t="s">
        <v>292</v>
      </c>
      <c r="T7" s="286">
        <f>($T$3+T$4)*U7</f>
        <v>59698.67217454483</v>
      </c>
      <c r="U7" s="8">
        <f>VLOOKUP("Fixed Income", 'Email input'!F:G, 2, FALSE)/100</f>
        <v>9.0040505000000008E-4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1.6024754619314137E-2</v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1.1967719999999999E-2</v>
      </c>
      <c r="J8" s="8">
        <f t="array" ref="J8">_xll.BDP($B8,"CURRENT_TRR_MTD")/100</f>
        <v>1.5649360000000001E-2</v>
      </c>
      <c r="K8" s="8">
        <f>_xll.BDP(B8,"CHG_PCT_1M")/100</f>
        <v>5.7510209999999999E-2</v>
      </c>
      <c r="L8" s="8">
        <f t="array" ref="L8">_xll.BDP($B8,"CHG_PCT_YTD")/100</f>
        <v>5.0271570000000002E-2</v>
      </c>
      <c r="N8" t="s">
        <v>301</v>
      </c>
      <c r="O8" s="69">
        <f ca="1">OFFSET('Historical NAV'!J1,COUNT('Historical NAV'!A:A),,,)</f>
        <v>283514.76187100261</v>
      </c>
      <c r="P8" s="280">
        <f>SUM(P4:P5)*P9</f>
        <v>0</v>
      </c>
      <c r="Q8" s="280">
        <f ca="1">SUM(O8:P8)</f>
        <v>283514.76187100261</v>
      </c>
      <c r="S8" s="47" t="s">
        <v>293</v>
      </c>
      <c r="T8" s="287">
        <f>($T$3+T$4)*U8</f>
        <v>53587.038975920506</v>
      </c>
      <c r="U8" s="207">
        <f>VLOOKUP("Cash", 'Email input'!F:G, 2, FALSE)/100</f>
        <v>8.0822636000000008E-4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-1.3081097581856159E-4</v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7.2972810000000001E-3</v>
      </c>
      <c r="J9" s="8">
        <f t="array" ref="J9">_xll.BDP($B9,"CURRENT_TRR_MTD")/100</f>
        <v>4.7189979999999994E-3</v>
      </c>
      <c r="K9" s="8">
        <f>_xll.BDP(B9,"CHG_PCT_1M")/100</f>
        <v>2.5099450000000002E-2</v>
      </c>
      <c r="L9" s="8">
        <f t="array" ref="L9">_xll.BDP($B9,"CHG_PCT_YTD")/100</f>
        <v>9.3809489999999995E-3</v>
      </c>
      <c r="N9" t="s">
        <v>302</v>
      </c>
      <c r="O9" s="8">
        <f ca="1">OFFSET('Historical NAV'!K1,COUNT('Historical NAV'!A:A),,,)</f>
        <v>4.2761105736706106E-3</v>
      </c>
      <c r="P9" s="285">
        <f>J5</f>
        <v>0</v>
      </c>
      <c r="S9" t="s">
        <v>294</v>
      </c>
      <c r="T9" s="288">
        <f>SUM(T5:T8)</f>
        <v>133307.04899524647</v>
      </c>
      <c r="V9" s="312">
        <f>T9/(T3+T4)</f>
        <v>2.0106031800000003E-3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2.1616025545078049E-2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5.538767E-3</v>
      </c>
      <c r="J10" s="8">
        <f t="array" ref="J10">_xll.BDP($B10,"CURRENT_TRR_MTD")/100</f>
        <v>4.0904389999999999E-2</v>
      </c>
      <c r="K10" s="8">
        <f>_xll.BDP(B10,"CHG_PCT_1M")/100</f>
        <v>3.6485530000000002E-2</v>
      </c>
      <c r="L10" s="8">
        <f t="array" ref="L10">_xll.BDP($B10,"CHG_PCT_YTD")/100</f>
        <v>7.8121860000000001E-2</v>
      </c>
      <c r="N10" s="275" t="s">
        <v>297</v>
      </c>
      <c r="O10" s="281">
        <f ca="1">O4+O5+O8</f>
        <v>66585533.141871005</v>
      </c>
      <c r="P10" s="276">
        <f>P4+P5+P8</f>
        <v>2151287.66</v>
      </c>
      <c r="Q10" s="281">
        <f ca="1">SUM(O10:P10)</f>
        <v>68736820.801871002</v>
      </c>
      <c r="S10" t="s">
        <v>295</v>
      </c>
      <c r="T10" s="286">
        <f>SUM('Email input'!D5:D6)</f>
        <v>20782.456604200008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133182.60358244926</v>
      </c>
      <c r="U11" s="8"/>
    </row>
    <row r="12" spans="2:22" ht="15.75" collapsed="1" thickTop="1">
      <c r="S12" t="s">
        <v>296</v>
      </c>
      <c r="T12" s="280">
        <f>SUM('Email input'!D7:D9)</f>
        <v>-3757.3425014999998</v>
      </c>
      <c r="U12" s="8"/>
      <c r="V12" s="41"/>
    </row>
    <row r="13" spans="2:22" ht="15.75" thickBot="1">
      <c r="S13" s="275" t="s">
        <v>297</v>
      </c>
      <c r="T13" s="281">
        <f>T3+T4+T9+T10+T12+T11</f>
        <v>66585533.1466804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66585533.1466804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66585533.1466804</v>
      </c>
    </row>
    <row r="18" spans="2:21">
      <c r="B18" t="s">
        <v>326</v>
      </c>
      <c r="D18" s="298">
        <v>1.6999999999999999E-3</v>
      </c>
      <c r="E18" s="298">
        <f ca="1">Dashboard!$B$4</f>
        <v>2.5666088437021704E-3</v>
      </c>
      <c r="F18" s="298"/>
      <c r="G18" s="298"/>
      <c r="H18" s="298"/>
      <c r="I18" s="8">
        <f ca="1">Dashboard!B9</f>
        <v>2.2598719660893505E-3</v>
      </c>
      <c r="J18" s="8">
        <f ca="1">Dashboard!B5</f>
        <v>4.2761105736706106E-3</v>
      </c>
      <c r="K18" s="8"/>
      <c r="L18" s="69">
        <f ca="1">Dashboard!B6</f>
        <v>6.8176595094137094E-2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101886.34776824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346</v>
      </c>
      <c r="D4" s="282">
        <v>164603.29999999999</v>
      </c>
      <c r="F4" t="s">
        <v>292</v>
      </c>
      <c r="G4">
        <v>9.0040505000000007E-2</v>
      </c>
    </row>
    <row r="5" spans="1:7">
      <c r="A5" t="s">
        <v>337</v>
      </c>
      <c r="B5" s="282" t="s">
        <v>320</v>
      </c>
      <c r="C5" t="s">
        <v>347</v>
      </c>
      <c r="D5" s="282">
        <v>-472182.14569440001</v>
      </c>
      <c r="F5" t="s">
        <v>293</v>
      </c>
      <c r="G5">
        <v>8.0822636000000003E-2</v>
      </c>
    </row>
    <row r="6" spans="1:7">
      <c r="A6" t="s">
        <v>337</v>
      </c>
      <c r="B6" s="282" t="s">
        <v>320</v>
      </c>
      <c r="C6" t="s">
        <v>317</v>
      </c>
      <c r="D6" s="282">
        <v>492964.60229860002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-3444.8210347999998</v>
      </c>
    </row>
    <row r="9" spans="1:7">
      <c r="A9" t="s">
        <v>337</v>
      </c>
      <c r="B9" s="282" t="s">
        <v>320</v>
      </c>
      <c r="C9" t="s">
        <v>318</v>
      </c>
      <c r="D9" s="282">
        <v>-124.1814667</v>
      </c>
      <c r="F9" t="s">
        <v>321</v>
      </c>
      <c r="G9">
        <v>3.0197176999999999E-2</v>
      </c>
    </row>
    <row r="10" spans="1:7">
      <c r="A10" t="s">
        <v>337</v>
      </c>
      <c r="B10" s="282" t="s">
        <v>320</v>
      </c>
      <c r="C10" t="s">
        <v>297</v>
      </c>
      <c r="D10" s="282">
        <v>66585533.1466804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66585533.1466804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283514.76187100261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4.2761105736706106E-3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5.0752035926403316E-2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2.2598719660893505E-3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7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7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>
        <f>'Historical NAV'!A1197</f>
        <v>45699</v>
      </c>
      <c r="B1197" s="173">
        <f>'Historical NAV'!B1197</f>
        <v>66430092.593976997</v>
      </c>
      <c r="C1197" s="173">
        <f>'Historical NAV'!C1197</f>
        <v>0</v>
      </c>
      <c r="D1197" s="173" t="e">
        <f>'Historical NAV'!#REF!</f>
        <v>#REF!</v>
      </c>
      <c r="E1197" s="173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6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42">
        <f t="shared" si="192"/>
        <v>1.7857142857142857E-4</v>
      </c>
      <c r="Y1197" s="139">
        <f t="shared" ref="Y1197" si="1209">I1197-X1197</f>
        <v>-1.9448893251861743E-4</v>
      </c>
      <c r="Z1197" s="139">
        <f t="shared" ref="Z1197" si="1210">IF(Y1197&lt;0,Y1197,0)</f>
        <v>-1.9448893251861743E-4</v>
      </c>
      <c r="AA1197" s="139">
        <f t="shared" ref="AA1197" si="1211">Z1197^2</f>
        <v>3.7825944872231323E-8</v>
      </c>
      <c r="AB1197" s="144">
        <f t="shared" ref="AB1197" si="1212">AVERAGE(Y944:Y1197)/AVERAGE(AA944:AA1197)</f>
        <v>2.7788396856785682</v>
      </c>
      <c r="AC1197" s="144">
        <f t="shared" ref="AC1197" si="1213">AVERAGE(I1166:I1197)-_xlfn.NORM.S.INV(0.95)*_xlfn.STDEV.S(I1166:I1197)</f>
        <v>-4.6218896301420613E-2</v>
      </c>
      <c r="AD1197" s="144">
        <f t="shared" ref="AD1197" si="1214">AVERAGE(I1106:I1197)-_xlfn.NORM.S.INV(0.95)*_xlfn.STDEV.S(I1106:I1197)</f>
        <v>-3.910519564423761E-2</v>
      </c>
      <c r="AE1197" s="144">
        <f t="shared" ref="AE1197" si="1215">AVERAGE(I831:I1197)-_xlfn.NORM.S.INV(0.95)*_xlfn.STDEV.S(I831:I1197)</f>
        <v>-4.8681495417721612E-2</v>
      </c>
    </row>
    <row r="1198" spans="1:31">
      <c r="A1198" s="172"/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172"/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66585533.1466804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283514.76187100261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4.2761105736706106E-3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150135.49271419644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2.2598719660893505E-3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1.0426359999999999E-2</v>
      </c>
      <c r="D22" s="25">
        <f>_xll.BDP(D27,$A27)/100</f>
        <v>1.504788E-2</v>
      </c>
      <c r="E22" s="26">
        <f>_xll.BDP(E27,$A27)/100</f>
        <v>7.7277689999999998E-3</v>
      </c>
      <c r="F22" s="27">
        <f>_xll.BDP(F27,$A27)/100</f>
        <v>0</v>
      </c>
      <c r="G22" s="27">
        <f>_xll.BDP(G27,$A27)/100</f>
        <v>5.4632170000000002E-3</v>
      </c>
      <c r="H22" s="25">
        <f>_xll.BDP(H27,$A27)/100</f>
        <v>-1.9009812417881127E-3</v>
      </c>
    </row>
    <row r="23" spans="1:11">
      <c r="A23" s="355" t="s">
        <v>66</v>
      </c>
      <c r="B23" s="356"/>
      <c r="C23" s="28">
        <f>_xll.BDP(C27,$A28)/100</f>
        <v>1.2339979999999999E-2</v>
      </c>
      <c r="D23" s="28">
        <f>_xll.BDP(D27,$A28)/100</f>
        <v>1.621206E-2</v>
      </c>
      <c r="E23" s="29">
        <f>_xll.BDP(E27,$A28)/100</f>
        <v>3.743873E-3</v>
      </c>
      <c r="F23" s="30">
        <f>_xll.BDP(F27,$A28)/100</f>
        <v>-2.1809999999999998E-3</v>
      </c>
      <c r="G23" s="30">
        <f>_xll.BDP(G27,$A28)/100</f>
        <v>4.0826149999999999E-2</v>
      </c>
      <c r="H23" s="28">
        <f>_xll.BDP(H27,$A28)/100</f>
        <v>-1.1636061640675554E-2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2025-02-14T05:50:14Z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