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372A281E-DC1B-416A-BDD6-A3326F77215C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6" l="1" a="1"/>
  <c r="G6" i="16"/>
  <c r="G10" i="16" a="1"/>
  <c r="G10" i="16"/>
  <c r="G8" i="16" a="1"/>
  <c r="G8" i="16"/>
  <c r="G9" i="16" a="1"/>
  <c r="G9" i="16"/>
  <c r="G7" i="16" a="1"/>
  <c r="G7" i="16"/>
  <c r="F8" i="16" a="1"/>
  <c r="F8" i="16"/>
  <c r="F7" i="16" a="1"/>
  <c r="F7" i="16"/>
  <c r="F10" i="16" a="1"/>
  <c r="F10" i="16"/>
  <c r="F9" i="16" a="1"/>
  <c r="F9" i="16"/>
  <c r="F6" i="16" a="1"/>
  <c r="F6" i="16"/>
  <c r="H7" i="16" a="1"/>
  <c r="H7" i="16"/>
  <c r="H6" i="16" a="1"/>
  <c r="H6" i="16"/>
  <c r="H10" i="16" a="1"/>
  <c r="H10" i="16"/>
  <c r="H9" i="16" a="1"/>
  <c r="H9" i="16"/>
  <c r="H8" i="16" a="1"/>
  <c r="H8" i="16"/>
  <c r="E6" i="16" a="1"/>
  <c r="E6" i="16"/>
  <c r="E9" i="16" a="1"/>
  <c r="E9" i="16"/>
  <c r="E7" i="16" a="1"/>
  <c r="E7" i="16"/>
  <c r="E8" i="16" a="1"/>
  <c r="E8" i="16"/>
  <c r="E10" i="16" a="1"/>
  <c r="E10" i="16"/>
  <c r="D6" i="16" a="1"/>
  <c r="D6" i="16"/>
  <c r="D9" i="16" a="1"/>
  <c r="D9" i="16"/>
  <c r="D7" i="16" a="1"/>
  <c r="D7" i="16"/>
  <c r="D8" i="16" a="1"/>
  <c r="D8" i="16"/>
  <c r="D10" i="16" a="1"/>
  <c r="D10" i="16"/>
  <c r="K6" i="16"/>
  <c r="K9" i="16"/>
  <c r="L9" i="16" a="1"/>
  <c r="L9" i="16"/>
  <c r="K8" i="16"/>
  <c r="K10" i="16"/>
  <c r="L10" i="16" a="1"/>
  <c r="L10" i="16"/>
  <c r="K7" i="16"/>
  <c r="J9" i="16" a="1"/>
  <c r="J9" i="16"/>
  <c r="I6" i="16"/>
  <c r="J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I10" i="16"/>
  <c r="L6" i="16" a="1"/>
  <c r="L6" i="16"/>
  <c r="J19" i="16"/>
  <c r="E17" i="16"/>
  <c r="F17" i="16" s="1"/>
  <c r="G17" i="16" s="1"/>
  <c r="H17" i="16" s="1"/>
  <c r="T16" i="16"/>
  <c r="E16" i="16"/>
  <c r="F16" i="16" s="1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O5" i="16"/>
  <c r="Q5" i="16" s="1"/>
  <c r="H5" i="16"/>
  <c r="G5" i="16"/>
  <c r="F5" i="16"/>
  <c r="E5" i="16"/>
  <c r="D5" i="16"/>
  <c r="J5" i="16" s="1"/>
  <c r="V4" i="16"/>
  <c r="P4" i="16"/>
  <c r="H4" i="16"/>
  <c r="G4" i="16"/>
  <c r="F4" i="16"/>
  <c r="D4" i="16"/>
  <c r="T3" i="16"/>
  <c r="O4" i="16" s="1"/>
  <c r="C22" i="4"/>
  <c r="G23" i="4"/>
  <c r="D22" i="4"/>
  <c r="D23" i="4"/>
  <c r="E22" i="4"/>
  <c r="C23" i="4"/>
  <c r="H22" i="4"/>
  <c r="F22" i="4"/>
  <c r="H23" i="4"/>
  <c r="G22" i="4"/>
  <c r="F23" i="4"/>
  <c r="E23" i="4"/>
  <c r="C24" i="4"/>
  <c r="O10" i="16" l="1"/>
  <c r="O6" i="16"/>
  <c r="Q4" i="16"/>
  <c r="P9" i="16"/>
  <c r="P8" i="16" s="1"/>
  <c r="Q8" i="16" s="1"/>
  <c r="L5" i="16"/>
  <c r="K5" i="16"/>
  <c r="P10" i="16"/>
  <c r="P6" i="16"/>
  <c r="T8" i="16"/>
  <c r="T7" i="16"/>
  <c r="T6" i="16"/>
  <c r="T9" i="16" s="1"/>
  <c r="V9" i="16" s="1"/>
  <c r="X1198" i="14"/>
  <c r="E1198" i="14"/>
  <c r="D1198" i="14"/>
  <c r="C1198" i="14"/>
  <c r="B1198" i="14"/>
  <c r="A1198" i="14"/>
  <c r="L208" i="13"/>
  <c r="A208" i="13"/>
  <c r="X1200" i="3"/>
  <c r="D1200" i="3"/>
  <c r="Q6" i="16" l="1"/>
  <c r="T13" i="16"/>
  <c r="T17" i="16" s="1"/>
  <c r="T18" i="16" s="1"/>
  <c r="Q10" i="16"/>
  <c r="F1198" i="14"/>
  <c r="X1197" i="14" l="1"/>
  <c r="E1197" i="14"/>
  <c r="D1197" i="14"/>
  <c r="C1197" i="14"/>
  <c r="B1197" i="14"/>
  <c r="A1197" i="14"/>
  <c r="L207" i="13"/>
  <c r="A207" i="13"/>
  <c r="X1199" i="3"/>
  <c r="D1199" i="3"/>
  <c r="F1200" i="3" s="1"/>
  <c r="G1200" i="3" l="1"/>
  <c r="F1197" i="14"/>
  <c r="H1198" i="14" s="1"/>
  <c r="I1198" i="14" s="1"/>
  <c r="L1198" i="14" l="1"/>
  <c r="Y1198" i="14"/>
  <c r="Z1198" i="14" s="1"/>
  <c r="AA1198" i="14" s="1"/>
  <c r="L1200" i="3"/>
  <c r="Y1200" i="3"/>
  <c r="Z1200" i="3" s="1"/>
  <c r="AA1200" i="3" s="1"/>
  <c r="X1196" i="14"/>
  <c r="E1196" i="14"/>
  <c r="D1196" i="14"/>
  <c r="C1196" i="14"/>
  <c r="B1196" i="14"/>
  <c r="A1196" i="14"/>
  <c r="L206" i="13"/>
  <c r="A206" i="13"/>
  <c r="X1198" i="3"/>
  <c r="D1198" i="3"/>
  <c r="F1199" i="3" s="1"/>
  <c r="X1195" i="14"/>
  <c r="E1195" i="14"/>
  <c r="D1195" i="14"/>
  <c r="C1195" i="14"/>
  <c r="B1195" i="14"/>
  <c r="A1195" i="14"/>
  <c r="L205" i="13"/>
  <c r="A205" i="13"/>
  <c r="X1197" i="3"/>
  <c r="F1197" i="3"/>
  <c r="G1197" i="3" s="1"/>
  <c r="D1197" i="3"/>
  <c r="F1198" i="3" s="1"/>
  <c r="G1198" i="3" s="1"/>
  <c r="X1194" i="14"/>
  <c r="E1194" i="14"/>
  <c r="D1194" i="14"/>
  <c r="C1194" i="14"/>
  <c r="B1194" i="14"/>
  <c r="A1194" i="14"/>
  <c r="L204" i="13"/>
  <c r="A204" i="13"/>
  <c r="X1196" i="3"/>
  <c r="D1196" i="3"/>
  <c r="J51" i="8"/>
  <c r="G1199" i="3" l="1"/>
  <c r="F1196" i="14"/>
  <c r="H1197" i="14" s="1"/>
  <c r="I1197" i="14" s="1"/>
  <c r="L1198" i="3"/>
  <c r="Y1198" i="3"/>
  <c r="Z1198" i="3" s="1"/>
  <c r="AA1198" i="3" s="1"/>
  <c r="F1195" i="14"/>
  <c r="H1196" i="14" s="1"/>
  <c r="I1196" i="14" s="1"/>
  <c r="L1197" i="3"/>
  <c r="Y1197" i="3"/>
  <c r="Z1197" i="3" s="1"/>
  <c r="AA1197" i="3" s="1"/>
  <c r="F1194" i="14"/>
  <c r="H1195" i="14" s="1"/>
  <c r="I1195" i="14" s="1"/>
  <c r="X1193" i="14"/>
  <c r="E1193" i="14"/>
  <c r="D1193" i="14"/>
  <c r="C1193" i="14"/>
  <c r="B1193" i="14"/>
  <c r="A1193" i="14"/>
  <c r="L203" i="13"/>
  <c r="A203" i="13"/>
  <c r="X1195" i="3"/>
  <c r="D1195" i="3"/>
  <c r="F1196" i="3" s="1"/>
  <c r="G1196" i="3" s="1"/>
  <c r="X1192" i="14"/>
  <c r="E1192" i="14"/>
  <c r="D1192" i="14"/>
  <c r="C1192" i="14"/>
  <c r="B1192" i="14"/>
  <c r="A1192" i="14"/>
  <c r="L202" i="13"/>
  <c r="A202" i="13"/>
  <c r="X1194" i="3"/>
  <c r="D1194" i="3"/>
  <c r="F1195" i="3" s="1"/>
  <c r="G1195" i="3" s="1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L1197" i="14" l="1"/>
  <c r="Y1197" i="14"/>
  <c r="Z1197" i="14" s="1"/>
  <c r="AA1197" i="14" s="1"/>
  <c r="L1199" i="3"/>
  <c r="Y1199" i="3"/>
  <c r="Z1199" i="3" s="1"/>
  <c r="AA1199" i="3" s="1"/>
  <c r="L1196" i="14"/>
  <c r="Y1196" i="14"/>
  <c r="Z1196" i="14" s="1"/>
  <c r="AA1196" i="14" s="1"/>
  <c r="I1192" i="3"/>
  <c r="I1193" i="3" s="1"/>
  <c r="I1194" i="3" s="1"/>
  <c r="I1195" i="3" s="1"/>
  <c r="I1196" i="3" s="1"/>
  <c r="I1197" i="3" s="1"/>
  <c r="I1198" i="3" s="1"/>
  <c r="I1199" i="3" s="1"/>
  <c r="I1200" i="3" s="1"/>
  <c r="Y1195" i="14"/>
  <c r="Z1195" i="14" s="1"/>
  <c r="AA1195" i="14" s="1"/>
  <c r="L1195" i="14"/>
  <c r="L1196" i="3"/>
  <c r="Y1196" i="3"/>
  <c r="Z1196" i="3" s="1"/>
  <c r="AA1196" i="3" s="1"/>
  <c r="K1192" i="3"/>
  <c r="K1193" i="3" s="1"/>
  <c r="K1194" i="3" s="1"/>
  <c r="K1195" i="3" s="1"/>
  <c r="K1196" i="3" s="1"/>
  <c r="K1197" i="3" s="1"/>
  <c r="K1198" i="3" s="1"/>
  <c r="K1199" i="3" s="1"/>
  <c r="K1200" i="3" s="1"/>
  <c r="F1193" i="14"/>
  <c r="H1194" i="14" s="1"/>
  <c r="I1194" i="14" s="1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G1193" i="14" s="1"/>
  <c r="G1194" i="14" s="1"/>
  <c r="G1195" i="14" s="1"/>
  <c r="G1196" i="14" s="1"/>
  <c r="G1197" i="14" s="1"/>
  <c r="G1198" i="14" s="1"/>
  <c r="L1192" i="3"/>
  <c r="Y1192" i="3"/>
  <c r="Z1192" i="3" s="1"/>
  <c r="AA1192" i="3" s="1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4" i="14" l="1"/>
  <c r="Y1194" i="14"/>
  <c r="Z1194" i="14" s="1"/>
  <c r="AA1194" i="14" s="1"/>
  <c r="L1193" i="14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I1191" i="14" l="1"/>
  <c r="J1191" i="14"/>
  <c r="J1192" i="14" s="1"/>
  <c r="J1193" i="14" s="1"/>
  <c r="J1194" i="14" s="1"/>
  <c r="J1195" i="14" s="1"/>
  <c r="J1196" i="14" s="1"/>
  <c r="J1197" i="14" s="1"/>
  <c r="J1198" i="14" s="1"/>
  <c r="L1191" i="14" l="1"/>
  <c r="Y1191" i="14"/>
  <c r="Z1191" i="14" s="1"/>
  <c r="AA1191" i="14" s="1"/>
  <c r="X1185" i="14" l="1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AC1200" i="3" s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l="1"/>
  <c r="Q1200" i="3"/>
  <c r="R1200" i="3" s="1"/>
  <c r="G1170" i="3"/>
  <c r="L1170" i="3" l="1"/>
  <c r="AC1199" i="3"/>
  <c r="Y1170" i="3"/>
  <c r="Z1170" i="3" s="1"/>
  <c r="AA1170" i="3" s="1"/>
  <c r="X1167" i="14"/>
  <c r="E1167" i="14"/>
  <c r="D1167" i="14"/>
  <c r="C1167" i="14"/>
  <c r="B1167" i="14"/>
  <c r="F1167" i="14" s="1"/>
  <c r="A1167" i="14"/>
  <c r="L177" i="13"/>
  <c r="A177" i="13"/>
  <c r="H1168" i="14" l="1"/>
  <c r="I1168" i="14" s="1"/>
  <c r="Q1198" i="14"/>
  <c r="R1198" i="14" s="1"/>
  <c r="L1168" i="14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Q1199" i="3" s="1"/>
  <c r="R1199" i="3" s="1"/>
  <c r="X1165" i="14"/>
  <c r="E1165" i="14"/>
  <c r="D1165" i="14"/>
  <c r="C1165" i="14"/>
  <c r="B1165" i="14"/>
  <c r="A1165" i="14"/>
  <c r="L175" i="13"/>
  <c r="A175" i="13"/>
  <c r="X1167" i="3"/>
  <c r="D1167" i="3"/>
  <c r="F1168" i="3" l="1"/>
  <c r="Q1198" i="3"/>
  <c r="R1198" i="3" s="1"/>
  <c r="E1169" i="3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F1169" i="3"/>
  <c r="G1168" i="3"/>
  <c r="F1166" i="14"/>
  <c r="F1165" i="14"/>
  <c r="H1167" i="14" l="1"/>
  <c r="I1167" i="14" s="1"/>
  <c r="AC1198" i="14" s="1"/>
  <c r="Q1197" i="14"/>
  <c r="R1197" i="14" s="1"/>
  <c r="H1166" i="14"/>
  <c r="I1166" i="14" s="1"/>
  <c r="AC1197" i="14" s="1"/>
  <c r="Q1196" i="14"/>
  <c r="R1196" i="14" s="1"/>
  <c r="L1168" i="3"/>
  <c r="G1169" i="3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200" i="3" l="1"/>
  <c r="P1200" i="3"/>
  <c r="O1199" i="3"/>
  <c r="P1199" i="3"/>
  <c r="O1198" i="3"/>
  <c r="AC1198" i="3"/>
  <c r="P1198" i="3"/>
  <c r="O1197" i="3"/>
  <c r="P1197" i="3"/>
  <c r="AC1197" i="3"/>
  <c r="O1196" i="3"/>
  <c r="P1196" i="3"/>
  <c r="O1195" i="3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N1199" i="3" l="1"/>
  <c r="N1200" i="3"/>
  <c r="W1200" i="3"/>
  <c r="W1199" i="3"/>
  <c r="N1197" i="3"/>
  <c r="N1198" i="3"/>
  <c r="W1198" i="3"/>
  <c r="F1167" i="3"/>
  <c r="G1167" i="3" s="1"/>
  <c r="AC1196" i="3" s="1"/>
  <c r="Q1197" i="3"/>
  <c r="R1197" i="3" s="1"/>
  <c r="W1181" i="3"/>
  <c r="W1197" i="3"/>
  <c r="N1195" i="3"/>
  <c r="N1196" i="3"/>
  <c r="W1196" i="3"/>
  <c r="W1195" i="3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F1164" i="14"/>
  <c r="H1165" i="14" l="1"/>
  <c r="I1165" i="14" s="1"/>
  <c r="AC1196" i="14" s="1"/>
  <c r="Q1195" i="14"/>
  <c r="R1195" i="14" s="1"/>
  <c r="I1181" i="3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l="1"/>
  <c r="Q1196" i="3"/>
  <c r="R1196" i="3" s="1"/>
  <c r="J1189" i="3"/>
  <c r="J1190" i="3" s="1"/>
  <c r="J1191" i="3" s="1"/>
  <c r="J1192" i="3" s="1"/>
  <c r="J1193" i="3" s="1"/>
  <c r="J1194" i="3" s="1"/>
  <c r="J1195" i="3" s="1"/>
  <c r="J1196" i="3" s="1"/>
  <c r="J1197" i="3" s="1"/>
  <c r="J1198" i="3" s="1"/>
  <c r="J1199" i="3" s="1"/>
  <c r="J1200" i="3" s="1"/>
  <c r="K1176" i="3"/>
  <c r="K1177" i="3" s="1"/>
  <c r="K1178" i="3" s="1"/>
  <c r="K1179" i="3" s="1"/>
  <c r="G1166" i="3"/>
  <c r="AC1195" i="3" s="1"/>
  <c r="F1163" i="14"/>
  <c r="H1164" i="14" l="1"/>
  <c r="I1164" i="14" s="1"/>
  <c r="AC1195" i="14" s="1"/>
  <c r="Q1194" i="14"/>
  <c r="R1194" i="14" s="1"/>
  <c r="H1191" i="3"/>
  <c r="H1192" i="3" s="1"/>
  <c r="H1193" i="3" s="1"/>
  <c r="H1194" i="3" s="1"/>
  <c r="H1195" i="3" s="1"/>
  <c r="H1196" i="3" s="1"/>
  <c r="H1197" i="3" s="1"/>
  <c r="H1198" i="3" s="1"/>
  <c r="H1199" i="3" s="1"/>
  <c r="H1200" i="3" s="1"/>
  <c r="K1180" i="3"/>
  <c r="K1181" i="3" s="1"/>
  <c r="K1182" i="3" s="1"/>
  <c r="K1183" i="3" s="1"/>
  <c r="K1184" i="3" s="1"/>
  <c r="K1185" i="3" s="1"/>
  <c r="K1186" i="3" s="1"/>
  <c r="K1187" i="3" s="1"/>
  <c r="K1188" i="3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L1164" i="14" l="1"/>
  <c r="Y1164" i="14"/>
  <c r="Z1164" i="14" s="1"/>
  <c r="AA1164" i="14" s="1"/>
  <c r="F1165" i="3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AC1194" i="14" s="1"/>
  <c r="Q1193" i="14"/>
  <c r="R1193" i="14" s="1"/>
  <c r="L1162" i="14"/>
  <c r="AC1193" i="14"/>
  <c r="AC1193" i="3"/>
  <c r="AC1194" i="3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Y1159" i="14" l="1"/>
  <c r="Z1159" i="14" s="1"/>
  <c r="AA1159" i="14" s="1"/>
  <c r="L1159" i="14"/>
  <c r="H1158" i="14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G1154" i="3" s="1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S1200" i="3" s="1"/>
  <c r="T1200" i="3" s="1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S1199" i="3" s="1"/>
  <c r="T1199" i="3" s="1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S1198" i="3" s="1"/>
  <c r="T1198" i="3" s="1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S1197" i="3" s="1"/>
  <c r="T1197" i="3" s="1"/>
  <c r="X1107" i="14"/>
  <c r="E1107" i="14"/>
  <c r="D1107" i="14"/>
  <c r="C1107" i="14"/>
  <c r="B1107" i="14"/>
  <c r="A1107" i="14"/>
  <c r="A115" i="13"/>
  <c r="X1107" i="3"/>
  <c r="D1107" i="3"/>
  <c r="S1196" i="3" s="1"/>
  <c r="T1196" i="3" s="1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T1189" i="3" l="1"/>
  <c r="Q1134" i="14"/>
  <c r="R1134" i="14" s="1"/>
  <c r="S1194" i="14"/>
  <c r="T1194" i="14" s="1"/>
  <c r="Q1128" i="3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AD1200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S1198" i="14" s="1"/>
  <c r="T1198" i="14" s="1"/>
  <c r="Q1105" i="14"/>
  <c r="R1105" i="14" s="1"/>
  <c r="F1106" i="14"/>
  <c r="S1197" i="14" s="1"/>
  <c r="T1197" i="14" s="1"/>
  <c r="Q1106" i="3"/>
  <c r="R1106" i="3" s="1"/>
  <c r="F1105" i="14"/>
  <c r="S1196" i="14" s="1"/>
  <c r="T1196" i="14" s="1"/>
  <c r="H1104" i="14"/>
  <c r="I1104" i="14" s="1"/>
  <c r="F1104" i="14"/>
  <c r="S1195" i="14" s="1"/>
  <c r="T1195" i="14" s="1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AD1199" i="3" l="1"/>
  <c r="AD1198" i="3"/>
  <c r="L1108" i="3"/>
  <c r="AD1197" i="3"/>
  <c r="L1104" i="3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98" i="14" l="1"/>
  <c r="Y1106" i="14"/>
  <c r="Z1106" i="14" s="1"/>
  <c r="AA1106" i="14" s="1"/>
  <c r="AD1197" i="14"/>
  <c r="L1105" i="14"/>
  <c r="AD1196" i="14"/>
  <c r="AD1195" i="14"/>
  <c r="AD1194" i="14"/>
  <c r="AC1137" i="3"/>
  <c r="AD1196" i="3"/>
  <c r="L1102" i="14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E18" i="16" s="1"/>
  <c r="E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X831" i="14"/>
  <c r="F831" i="14"/>
  <c r="X830" i="14"/>
  <c r="F830" i="14"/>
  <c r="X829" i="14"/>
  <c r="F829" i="14"/>
  <c r="X828" i="14"/>
  <c r="F828" i="14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33" i="14" l="1"/>
  <c r="I833" i="14" s="1"/>
  <c r="U1198" i="14"/>
  <c r="V1198" i="14" s="1"/>
  <c r="S920" i="14"/>
  <c r="T920" i="14" s="1"/>
  <c r="U1197" i="14"/>
  <c r="V1197" i="14" s="1"/>
  <c r="S919" i="14"/>
  <c r="T919" i="14" s="1"/>
  <c r="U1196" i="14"/>
  <c r="V1196" i="14" s="1"/>
  <c r="S918" i="14"/>
  <c r="T918" i="14" s="1"/>
  <c r="U1195" i="14"/>
  <c r="V1195" i="14" s="1"/>
  <c r="S917" i="14"/>
  <c r="T917" i="14" s="1"/>
  <c r="U1194" i="14"/>
  <c r="V1194" i="14" s="1"/>
  <c r="S915" i="14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Y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Y832" i="14" l="1"/>
  <c r="Z944" i="14"/>
  <c r="AA944" i="14" s="1"/>
  <c r="Y831" i="14"/>
  <c r="L824" i="14"/>
  <c r="J824" i="14"/>
  <c r="L829" i="14"/>
  <c r="L827" i="14"/>
  <c r="Y805" i="14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5" i="14" l="1"/>
  <c r="AA945" i="14" s="1"/>
  <c r="Z943" i="14"/>
  <c r="AA943" i="14" s="1"/>
  <c r="Z942" i="14"/>
  <c r="AA942" i="14" s="1"/>
  <c r="Z941" i="14"/>
  <c r="AA941" i="14" s="1"/>
  <c r="Z940" i="14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51" i="8" s="1"/>
  <c r="B36" i="8"/>
  <c r="B38" i="8"/>
  <c r="B40" i="8"/>
  <c r="C42" i="8"/>
  <c r="C44" i="8"/>
  <c r="G40" i="8"/>
  <c r="I33" i="8"/>
  <c r="I50" i="8" s="1"/>
  <c r="H33" i="8"/>
  <c r="H50" i="8" s="1"/>
  <c r="C34" i="8"/>
  <c r="C51" i="8" s="1"/>
  <c r="C36" i="8"/>
  <c r="C38" i="8"/>
  <c r="C40" i="8"/>
  <c r="D42" i="8"/>
  <c r="D44" i="8"/>
  <c r="H42" i="8"/>
  <c r="B35" i="8"/>
  <c r="C33" i="8"/>
  <c r="C50" i="8" s="1"/>
  <c r="D34" i="8"/>
  <c r="D51" i="8" s="1"/>
  <c r="D36" i="8"/>
  <c r="D38" i="8"/>
  <c r="D40" i="8"/>
  <c r="E42" i="8"/>
  <c r="E44" i="8"/>
  <c r="G36" i="8"/>
  <c r="B41" i="8"/>
  <c r="E34" i="8"/>
  <c r="E51" i="8" s="1"/>
  <c r="E36" i="8"/>
  <c r="E38" i="8"/>
  <c r="E40" i="8"/>
  <c r="F42" i="8"/>
  <c r="F44" i="8"/>
  <c r="G38" i="8"/>
  <c r="C43" i="8"/>
  <c r="F34" i="8"/>
  <c r="F51" i="8" s="1"/>
  <c r="F36" i="8"/>
  <c r="F38" i="8"/>
  <c r="F40" i="8"/>
  <c r="G42" i="8"/>
  <c r="G44" i="8"/>
  <c r="H44" i="8"/>
  <c r="B37" i="8"/>
  <c r="G34" i="8"/>
  <c r="G51" i="8" s="1"/>
  <c r="F41" i="8"/>
  <c r="H34" i="8"/>
  <c r="H51" i="8" s="1"/>
  <c r="H36" i="8"/>
  <c r="H38" i="8"/>
  <c r="H40" i="8"/>
  <c r="I42" i="8"/>
  <c r="I44" i="8"/>
  <c r="B43" i="8"/>
  <c r="B39" i="8"/>
  <c r="B44" i="8"/>
  <c r="I34" i="8"/>
  <c r="I51" i="8" s="1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51" i="8" s="1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K1194" i="14" s="1"/>
  <c r="K1195" i="14" s="1"/>
  <c r="K1196" i="14" s="1"/>
  <c r="K1197" i="14" s="1"/>
  <c r="K1198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8" i="14" l="1"/>
  <c r="O1198" i="14"/>
  <c r="P1198" i="14"/>
  <c r="AE1197" i="14"/>
  <c r="O1197" i="14"/>
  <c r="P1197" i="14"/>
  <c r="AE1196" i="14"/>
  <c r="O1196" i="14"/>
  <c r="P1196" i="14"/>
  <c r="AE1195" i="14"/>
  <c r="O1195" i="14"/>
  <c r="P1195" i="14"/>
  <c r="AE1194" i="14"/>
  <c r="O1194" i="14"/>
  <c r="P1194" i="14"/>
  <c r="AE1193" i="14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98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98" i="14" l="1"/>
  <c r="W1198" i="14"/>
  <c r="N1197" i="14"/>
  <c r="W1197" i="14"/>
  <c r="M1197" i="14"/>
  <c r="M1196" i="14"/>
  <c r="N1196" i="14"/>
  <c r="W1196" i="14"/>
  <c r="M1194" i="14"/>
  <c r="M1195" i="14"/>
  <c r="N1195" i="14"/>
  <c r="W1195" i="14"/>
  <c r="N1194" i="14"/>
  <c r="W1194" i="14"/>
  <c r="M1192" i="14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8" i="14" l="1"/>
  <c r="AB1197" i="14"/>
  <c r="AB1196" i="14"/>
  <c r="AB1195" i="14"/>
  <c r="AB1194" i="14"/>
  <c r="AB1193" i="14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5" i="3" l="1"/>
  <c r="T925" i="3" s="1"/>
  <c r="U1200" i="3"/>
  <c r="V1200" i="3" s="1"/>
  <c r="S924" i="3"/>
  <c r="T924" i="3" s="1"/>
  <c r="U1199" i="3"/>
  <c r="V1199" i="3" s="1"/>
  <c r="S923" i="3"/>
  <c r="T923" i="3" s="1"/>
  <c r="U1198" i="3"/>
  <c r="V1198" i="3" s="1"/>
  <c r="S922" i="3"/>
  <c r="T922" i="3" s="1"/>
  <c r="U1197" i="3"/>
  <c r="V1197" i="3" s="1"/>
  <c r="S921" i="3"/>
  <c r="T921" i="3" s="1"/>
  <c r="U1196" i="3"/>
  <c r="V1196" i="3" s="1"/>
  <c r="S920" i="3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200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8" i="3" l="1"/>
  <c r="AE1199" i="3"/>
  <c r="AE1195" i="3"/>
  <c r="AE1197" i="3"/>
  <c r="AE1196" i="3"/>
  <c r="AE1193" i="3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L928" i="3"/>
  <c r="Y928" i="3"/>
  <c r="L955" i="3"/>
  <c r="Y955" i="3"/>
  <c r="Z955" i="3" s="1"/>
  <c r="AA955" i="3" s="1"/>
  <c r="L945" i="3"/>
  <c r="Y945" i="3"/>
  <c r="L931" i="3"/>
  <c r="Y931" i="3"/>
  <c r="L949" i="3"/>
  <c r="Y949" i="3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9" i="3" l="1"/>
  <c r="AA949" i="3" s="1"/>
  <c r="AB1200" i="3"/>
  <c r="Z948" i="3"/>
  <c r="AA948" i="3" s="1"/>
  <c r="AB1199" i="3" s="1"/>
  <c r="Z947" i="3"/>
  <c r="AA947" i="3" s="1"/>
  <c r="AB1198" i="3" s="1"/>
  <c r="Z946" i="3"/>
  <c r="AA946" i="3" s="1"/>
  <c r="Z945" i="3"/>
  <c r="AA945" i="3" s="1"/>
  <c r="AB1196" i="3" s="1"/>
  <c r="Z944" i="3"/>
  <c r="AA944" i="3" s="1"/>
  <c r="Z943" i="3"/>
  <c r="AA943" i="3" s="1"/>
  <c r="AB1194" i="3" s="1"/>
  <c r="Z942" i="3"/>
  <c r="AA942" i="3" s="1"/>
  <c r="AB1193" i="3"/>
  <c r="Z941" i="3"/>
  <c r="AA941" i="3" s="1"/>
  <c r="Z940" i="3"/>
  <c r="AA940" i="3" s="1"/>
  <c r="Z939" i="3"/>
  <c r="AA939" i="3" s="1"/>
  <c r="Z938" i="3"/>
  <c r="AA938" i="3" s="1"/>
  <c r="Z937" i="3"/>
  <c r="AA937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95" i="3" l="1"/>
  <c r="AB1197" i="3"/>
  <c r="AB1190" i="3"/>
  <c r="AB1192" i="3"/>
  <c r="AB1189" i="3"/>
  <c r="AB1191" i="3"/>
  <c r="AB1188" i="3"/>
  <c r="AB1186" i="3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200" i="3" l="1"/>
  <c r="M1199" i="3"/>
  <c r="M1198" i="3"/>
  <c r="M1197" i="3"/>
  <c r="M1196" i="3"/>
  <c r="M1195" i="3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<sst xmlns="http://schemas.openxmlformats.org/spreadsheetml/2006/main" count="766" uniqueCount="348">
  <si>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</si>
  <si>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</si>
  <si>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</si>
  <si>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</si>
  <si>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</si>
  <si>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</si>
  <si>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</si>
  <si>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</si>
  <si>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</si>
  <si>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</si>
  <si>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</si>
  <si>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</si>
  <si>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</si>
  <si>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</si>
  <si>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</si>
  <si>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</si>
  <si>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</si>
  <si>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</si>
  <si>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</si>
  <si>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</si>
  <si>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</si>
  <si>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</si>
  <si>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</si>
  <si>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</si>
  <si>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</si>
  <si>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</si>
  <si>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</si>
  <si>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</si>
  <si>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</si>
  <si>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</si>
  <si>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</si>
  <si>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</si>
  <si>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</si>
  <si>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</si>
  <si>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</si>
  <si>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</si>
  <si>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</si>
  <si>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</si>
  <si>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</si>
  <si>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</si>
  <si>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</si>
  <si>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</si>
  <si>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</si>
  <si>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</si>
  <si>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</si>
  <si>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</si>
  <si>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</si>
  <si>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</si>
  <si>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</si>
  <si>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</si>
  <si>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</si>
  <si>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</si>
  <si>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</si>
  <si>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</si>
  <si>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</si>
  <si>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</si>
  <si>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</si>
  <si>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</si>
  <si>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</si>
  <si>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</si>
  <si>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</si>
  <si>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</si>
  <si>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</si>
  <si>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</si>
  <si>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</si>
  <si>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</si>
  <si>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</si>
  <si>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</si>
  <si>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</si>
  <si>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</si>
  <si>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</si>
  <si>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</si>
  <si>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</si>
  <si>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</si>
  <si>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</si>
  <si>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</si>
  <si>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</si>
  <si>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</si>
  <si>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</si>
  <si>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</si>
  <si>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</si>
  <si>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</si>
  <si>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</si>
  <si>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</si>
  <si>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</si>
  <si>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</si>
  <si>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</si>
  <si>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</si>
  <si>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</si>
  <si>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</si>
  <si>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</si>
  <si>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</si>
  <si>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</si>
  <si>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</si>
  <si>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</si>
  <si>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</si>
  <si>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</si>
  <si>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</si>
  <si>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</si>
  <si>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</si>
  <si>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</si>
  <si>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</si>
  <si>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</si>
  <si>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</si>
  <si>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</si>
  <si>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</si>
  <si>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</si>
  <si>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</si>
  <si>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</si>
  <si>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</si>
  <si>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</si>
  <si>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</si>
  <si>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</si>
  <si>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</si>
  <si>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</si>
  <si>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</si>
  <si>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</si>
  <si>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</si>
  <si>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</si>
  <si>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</si>
  <si>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</si>
  <si>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</si>
  <si>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</si>
  <si>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</si>
  <si>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</si>
  <si>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</si>
  <si>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</si>
  <si>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</si>
  <si>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</si>
  <si>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</si>
  <si>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</si>
  <si>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</si>
  <si>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</si>
  <si>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</si>
  <si>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</si>
  <si>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</si>
  <si>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</si>
  <si>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</si>
  <si>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</si>
  <si>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</si>
  <si>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</si>
  <si>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</si>
  <si>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</si>
  <si>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</si>
  <si>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</si>
  <si>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</si>
  <si>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</si>
  <si>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</si>
  <si>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</si>
  <si>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</si>
  <si>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</si>
  <si>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</si>
  <si>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</si>
  <si>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</si>
  <si>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</si>
  <si>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</si>
  <si>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</si>
  <si>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</si>
  <si>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</si>
  <si>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</si>
  <si>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</si>
  <si>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</si>
  <si>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</si>
  <si>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</si>
  <si>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</si>
  <si>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</si>
  <si>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</si>
  <si>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</si>
  <si>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</si>
  <si>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</si>
  <si>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</si>
  <si>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</si>
  <si>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</si>
  <si>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</si>
  <si>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</si>
  <si>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</si>
  <si>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</si>
  <si>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</si>
  <si>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</si>
  <si>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</si>
  <si>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</si>
  <si>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</si>
  <si>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</si>
  <si>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</si>
  <si>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</si>
  <si>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</si>
  <si>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</si>
  <si>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</si>
  <si>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</si>
  <si>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</si>
  <si>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</si>
  <si>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</si>
  <si>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</si>
  <si>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</si>
  <si>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</si>
  <si>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</si>
  <si>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</si>
  <si>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</si>
  <si>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</si>
  <si>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</si>
  <si>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</si>
  <si>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</si>
  <si>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</si>
  <si>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</si>
  <si>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</si>
  <si>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</si>
  <si>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</si>
  <si>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</si>
  <si>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</si>
  <si>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</si>
  <si>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</si>
  <si>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</si>
  <si>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</si>
  <si>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</si>
  <si>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</si>
  <si>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</si>
  <si>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</si>
  <si>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</si>
  <si>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</si>
  <si>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</si>
  <si>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</si>
  <si>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</si>
  <si>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</si>
  <si>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</si>
  <si>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</si>
  <si>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</si>
  <si>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</si>
  <si>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</si>
  <si>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</si>
  <si>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</si>
  <si>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</si>
  <si>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</si>
  <si>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</si>
  <si>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</si>
  <si>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</si>
  <si>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</si>
  <si>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</si>
  <si>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</si>
  <si>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</si>
  <si>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</si>
  <si>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</si>
  <si>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</si>
  <si>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</si>
  <si>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</si>
  <si>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</si>
  <si>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</si>
  <si>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</si>
  <si>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</si>
  <si>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</si>
  <si>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</si>
  <si>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</si>
  <si>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</si>
  <si>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</si>
  <si>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</si>
  <si>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</si>
  <si>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</si>
  <si>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</si>
  <si>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</si>
  <si>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</si>
  <si>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</si>
  <si>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</si>
  <si>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</si>
  <si>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</si>
  <si>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</si>
  <si>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</si>
  <si>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</si>
  <si>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</si>
  <si>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</si>
  <si>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</si>
  <si>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</si>
  <si>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</si>
  <si>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</si>
  <si>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</si>
  <si>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</si>
  <si>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</si>
  <si>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</si>
  <si>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</si>
  <si>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</si>
  <si>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</si>
  <si>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</si>
  <si>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</si>
  <si>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</si>
  <si>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</si>
  <si>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</si>
  <si>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</si>
  <si>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</si>
  <si>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</si>
  <si>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</si>
  <si>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</si>
  <si>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</si>
  <si>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</si>
  <si>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</si>
  <si>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</si>
  <si>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</si>
  <si>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</si>
  <si>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</si>
  <si>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</si>
  <si>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</si>
  <si>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</si>
  <si>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</si>
  <si>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</si>
  <si>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</si>
  <si>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</si>
  <si>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</si>
  <si>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</si>
  <si>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</si>
  <si>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</si>
  <si>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</si>
  <si>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</si>
  <si>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</si>
  <si>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</si>
  <si>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</si>
  <si>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</si>
  <si>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</si>
  <si>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</si>
  <si>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</si>
  <si>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</si>
  <si>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</si>
  <si>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</si>
  <si>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</si>
  <si>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</si>
  <si>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</si>
  <si>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</si>
  <si>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</si>
  <si>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</si>
  <si>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</si>
  <si>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</si>
  <si>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</si>
  <si>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</si>
  <si>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</si>
  <si>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</si>
  <si>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</si>
  <si>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</si>
  <si>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</si>
  <si>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</si>
  <si>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</si>
  <si>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</si>
  <si>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</si>
  <si>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</si>
  <si>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</si>
  <si>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</si>
  <si>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</si>
  <si>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</si>
  <si>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</si>
  <si>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</si>
  <si>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SGOV</t>
  </si>
  <si>
    <t>Withholding Tax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</si>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</sst>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Data...2950098284</v>
        <stp/>
        <stp>BDP|13843568691370437419</stp>
        <tr r="G9" s="16"/>
      </tp>
      <tp t="s">
        <v>#N/A Requesting Data...1680277270</v>
        <stp/>
        <stp>BDP|17488990371770934291</stp>
        <tr r="L9" s="16"/>
      </tp>
      <tp t="s">
        <v>#N/A Requesting Data...3684455488</v>
        <stp/>
        <stp>BDP|13727818016546450707</stp>
        <tr r="H10" s="16"/>
      </tp>
      <tp t="s">
        <v>#N/A Requesting Data...3875794612</v>
        <stp/>
        <stp>BDP|11025807958107061305</stp>
        <tr r="D6" s="16"/>
      </tp>
      <tp t="s">
        <v>#N/A Requesting Data...2755512101</v>
        <stp/>
        <stp>BDP|12503804164161346560</stp>
        <tr r="H23" s="4"/>
      </tp>
      <tp t="s">
        <v>#N/A Requesting Data...2717749228</v>
        <stp/>
        <stp>BDP|16037198422009566377</stp>
        <tr r="H7" s="16"/>
      </tp>
      <tp t="s">
        <v>#N/A Requesting Data...4138825991</v>
        <stp/>
        <stp>BDP|14887355760439675744</stp>
        <tr r="G8" s="16"/>
      </tp>
      <tp t="s">
        <v>#N/A Requesting Data...1601261351</v>
        <stp/>
        <stp>BDP|15882609691144832149</stp>
        <tr r="G10" s="16"/>
      </tp>
      <tp t="s">
        <v>#N/A Requesting Data...3394394291</v>
        <stp/>
        <stp>BDP|11927491993173780392</stp>
        <tr r="E7" s="16"/>
      </tp>
      <tp t="s">
        <v>#N/A Requesting Data...1631977317</v>
        <stp/>
        <stp>BDP|18194437827130447215</stp>
        <tr r="K6" s="16"/>
      </tp>
      <tp t="s">
        <v>#N/A Requesting Data...1800941411</v>
        <stp/>
        <stp>BDP|15408295575394886937</stp>
        <tr r="H6" s="16"/>
      </tp>
      <tp t="s">
        <v>#N/A Requesting Data...2344048020</v>
        <stp/>
        <stp>BDP|12868917489186433836</stp>
        <tr r="D22" s="4"/>
      </tp>
      <tp t="s">
        <v>#N/A Requesting Data...3187656198</v>
        <stp/>
        <stp>BDP|11441239167720550763</stp>
        <tr r="G22" s="4"/>
      </tp>
      <tp t="s">
        <v>#N/A Requesting Data...1672161985</v>
        <stp/>
        <stp>BDP|16083383279081530134</stp>
        <tr r="G6" s="16"/>
      </tp>
      <tp t="s">
        <v>#N/A Requesting Data...2030976014</v>
        <stp/>
        <stp>BDP|15571183826414458091</stp>
        <tr r="F23" s="4"/>
      </tp>
      <tp t="s">
        <v>#N/A Requesting Data...3183339182</v>
        <stp/>
        <stp>BDP|16691583684581330968</stp>
        <tr r="F22" s="4"/>
      </tp>
      <tp t="s">
        <v>#N/A Requesting Data...2676652490</v>
        <stp/>
        <stp>BDP|10851542879122214334</stp>
        <tr r="K7" s="16"/>
      </tp>
      <tp t="s">
        <v>#N/A Requesting Data...1452146497</v>
        <stp/>
        <stp>BDP|13033893993631589338</stp>
        <tr r="C24" s="4"/>
      </tp>
      <tp t="s">
        <v>#N/A Requesting Data...2092834589</v>
        <stp/>
        <stp>BDP|17427418226980805092</stp>
        <tr r="E6" s="16"/>
      </tp>
      <tp t="s">
        <v>#N/A Requesting Data...3618001655</v>
        <stp/>
        <stp>BDP|12801142977284637660</stp>
        <tr r="F9" s="16"/>
      </tp>
      <tp t="s">
        <v>#N/A Requesting Data...3861097397</v>
        <stp/>
        <stp>BDP|11395363488884515847</stp>
        <tr r="E22" s="4"/>
      </tp>
      <tp t="s">
        <v>#N/A Requesting Data...2232609280</v>
        <stp/>
        <stp>BDP|11453968001806112847</stp>
        <tr r="L10" s="16"/>
      </tp>
      <tp t="s">
        <v>#N/A Requesting Data...2383546697</v>
        <stp/>
        <stp>BDP|13427178278194281624</stp>
        <tr r="H9" s="16"/>
      </tp>
      <tp t="s">
        <v>#N/A Requesting Data...2574601988</v>
        <stp/>
        <stp>BDP|14662245951000286439</stp>
        <tr r="C22" s="4"/>
      </tp>
      <tp t="s">
        <v>#N/A Requesting Data...1605851797</v>
        <stp/>
        <stp>BDP|16854102045504656375</stp>
        <tr r="K10" s="16"/>
      </tp>
      <tp t="s">
        <v>#N/A Requesting Data...3687713582</v>
        <stp/>
        <stp>BDP|17541570393706762923</stp>
        <tr r="K9" s="16"/>
      </tp>
      <tp t="s">
        <v>#N/A Requesting Data...4024233661</v>
        <stp/>
        <stp>BDP|14476774127851531505</stp>
        <tr r="E9" s="16"/>
      </tp>
      <tp t="s">
        <v>#N/A Requesting Data...3061497804</v>
        <stp/>
        <stp>BDP|16879443774998906816</stp>
        <tr r="K8" s="16"/>
      </tp>
    </main>
    <main first="bofaddin.rtdserver">
      <tp t="s">
        <v>#N/A Requesting Data...2437600933</v>
        <stp/>
        <stp>BDP|9184051814111053572</stp>
        <tr r="E8" s="16"/>
      </tp>
      <tp t="s">
        <v>#N/A Requesting Data...1348997015</v>
        <stp/>
        <stp>BDP|1413003601749412533</stp>
        <tr r="L6" s="16"/>
      </tp>
      <tp t="s">
        <v>#N/A Requesting Data...3876274810</v>
        <stp/>
        <stp>BDP|8485886604566386829</stp>
        <tr r="H22" s="4"/>
      </tp>
      <tp t="s">
        <v>#N/A Requesting Data...3478357161</v>
        <stp/>
        <stp>BDP|9958272376154164648</stp>
        <tr r="J9" s="16"/>
      </tp>
      <tp t="s">
        <v>#N/A Requesting Data...1971267677</v>
        <stp/>
        <stp>BDP|4155052320638790009</stp>
        <tr r="L7" s="16"/>
      </tp>
      <tp t="s">
        <v>#N/A Requesting Data...1338007121</v>
        <stp/>
        <stp>BDP|4020462511547452937</stp>
        <tr r="F7" s="16"/>
      </tp>
      <tp t="s">
        <v>#N/A Requesting Data...1867680776</v>
        <stp/>
        <stp>BDP|3599663092060873385</stp>
        <tr r="G23" s="4"/>
      </tp>
      <tp t="s">
        <v>#N/A Requesting Data...3454172270</v>
        <stp/>
        <stp>BDP|5197169271935733907</stp>
        <tr r="H8" s="16"/>
      </tp>
      <tp t="s">
        <v>#N/A Requesting Data...3919897095</v>
        <stp/>
        <stp>BDP|2715175043958188031</stp>
        <tr r="C23" s="4"/>
      </tp>
      <tp t="s">
        <v>#N/A Requesting Data...3331616828</v>
        <stp/>
        <stp>BDP|4938759477168674381</stp>
        <tr r="E23" s="4"/>
      </tp>
      <tp t="s">
        <v>#N/A Requesting Data...1992310478</v>
        <stp/>
        <stp>BDP|4120548091556971632</stp>
        <tr r="J8" s="16"/>
      </tp>
      <tp t="s">
        <v>#N/A Requesting Data...2362707980</v>
        <stp/>
        <stp>BDP|6229753396345444597</stp>
        <tr r="J10" s="16"/>
      </tp>
      <tp t="s">
        <v>#N/A Requesting Data...1543647102</v>
        <stp/>
        <stp>BDP|6992386206898388576</stp>
        <tr r="I6" s="16"/>
      </tp>
      <tp t="s">
        <v>#N/A Requesting Data...2953471412</v>
        <stp/>
        <stp>BDP|1440775866201456872</stp>
        <tr r="I10" s="16"/>
      </tp>
      <tp t="s">
        <v>#N/A Requesting Data...1725147620</v>
        <stp/>
        <stp>BDP|2558557980072118785</stp>
        <tr r="I9" s="16"/>
      </tp>
      <tp t="s">
        <v>#N/A Requesting Data...2577722789</v>
        <stp/>
        <stp>BDP|9567764807640019488</stp>
        <tr r="D23" s="4"/>
      </tp>
      <tp t="s">
        <v>#N/A Requesting Data...3198207822</v>
        <stp/>
        <stp>BDP|6919533648008043579</stp>
        <tr r="J6" s="16"/>
      </tp>
      <tp t="s">
        <v>#N/A Requesting Data...1749719484</v>
        <stp/>
        <stp>BDP|1309843736337904909</stp>
        <tr r="G7" s="16"/>
      </tp>
      <tp t="s">
        <v>#N/A Requesting Data...3513988541</v>
        <stp/>
        <stp>BDP|1008282973937479734</stp>
        <tr r="F10" s="16"/>
      </tp>
      <tp t="s">
        <v>#N/A Requesting Data...2364736110</v>
        <stp/>
        <stp>BDP|6402462776015551568</stp>
        <tr r="D7" s="16"/>
      </tp>
      <tp t="s">
        <v>#N/A Requesting Data...1411102141</v>
        <stp/>
        <stp>BDP|3917812088037969338</stp>
        <tr r="I8" s="16"/>
      </tp>
      <tp t="s">
        <v>#N/A Requesting Data...2470352922</v>
        <stp/>
        <stp>BDP|3783811399514793104</stp>
        <tr r="D9" s="16"/>
      </tp>
      <tp t="s">
        <v>#N/A Requesting Data...4275316885</v>
        <stp/>
        <stp>BDP|3813102979953158681</stp>
        <tr r="D8" s="16"/>
      </tp>
      <tp t="s">
        <v>#N/A Requesting Data...3141505652</v>
        <stp/>
        <stp>BDP|3016032546861645645</stp>
        <tr r="L8" s="16"/>
      </tp>
      <tp t="s">
        <v>#N/A Requesting Data...2570745850</v>
        <stp/>
        <stp>BDP|5342164155427751487</stp>
        <tr r="I7" s="16"/>
      </tp>
      <tp t="s">
        <v>#N/A Requesting Data...1689325172</v>
        <stp/>
        <stp>BDP|5398486785213771927</stp>
        <tr r="F8" s="16"/>
      </tp>
      <tp t="s">
        <v>#N/A Requesting Data...1817047240</v>
        <stp/>
        <stp>BDP|2470954931023095833</stp>
        <tr r="J7" s="16"/>
      </tp>
    </main>
    <main first="bofaddin.rtdserver">
      <tp t="s">
        <v>#N/A Requesting Data...2873035851</v>
        <stp/>
        <stp>BDP|684981373249800382</stp>
        <tr r="E10" s="16"/>
      </tp>
      <tp t="s">
        <v>#N/A Requesting Data...1574140547</v>
        <stp/>
        <stp>BDP|278915754941876425</stp>
        <tr r="D10" s="16"/>
      </tp>
      <tp t="s">
        <v>#N/A Requesting Data...2318167102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NAV'!$A$1169:$A$1500</c:f>
              <c:numCache>
                <c:formatCode>[$-409]d\-mmm\-yy;@</c:formatCode>
                <c:ptCount val="332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  <c:pt idx="27">
                  <c:v>45698</c:v>
                </c:pt>
                <c:pt idx="28">
                  <c:v>45699</c:v>
                </c:pt>
                <c:pt idx="29">
                  <c:v>45700</c:v>
                </c:pt>
                <c:pt idx="30">
                  <c:v>45701</c:v>
                </c:pt>
                <c:pt idx="31">
                  <c:v>45702</c:v>
                </c:pt>
              </c:numCache>
            </c:numRef>
          </c:cat>
          <c:val>
            <c:numRef>
              <c:f>'Historical NAV'!$N$1169:$N$1499</c:f>
              <c:numCache>
                <c:formatCode>0.00%;[Red]\(0.00%\)</c:formatCode>
                <c:ptCount val="331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  <c:pt idx="27">
                  <c:v>6.5708309145586341E-2</c:v>
                </c:pt>
                <c:pt idx="28">
                  <c:v>6.5682990966037691E-2</c:v>
                </c:pt>
                <c:pt idx="29">
                  <c:v>6.5768095652419811E-2</c:v>
                </c:pt>
                <c:pt idx="30">
                  <c:v>6.8176595094137094E-2</c:v>
                </c:pt>
                <c:pt idx="31">
                  <c:v>6.8651093749808378E-2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NAV'!$A$2:$A$1500</c:f>
              <c:numCache>
                <c:formatCode>[$-409]d\-mmm\-yy;@</c:formatCode>
                <c:ptCount val="1499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  <c:pt idx="1194">
                  <c:v>45698</c:v>
                </c:pt>
                <c:pt idx="1195">
                  <c:v>45699</c:v>
                </c:pt>
                <c:pt idx="1196">
                  <c:v>45700</c:v>
                </c:pt>
                <c:pt idx="1197">
                  <c:v>45701</c:v>
                </c:pt>
                <c:pt idx="1198">
                  <c:v>45702</c:v>
                </c:pt>
              </c:numCache>
            </c:numRef>
          </c:cat>
          <c:val>
            <c:numRef>
              <c:f>'Historical NAV'!$M$2:$M$1499</c:f>
              <c:numCache>
                <c:formatCode>0.00%;[Red]\(0.00%\)</c:formatCode>
                <c:ptCount val="1498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  <c:pt idx="1194">
                  <c:v>0.69995093739350711</c:v>
                </c:pt>
                <c:pt idx="1195">
                  <c:v>0.69991055142420633</c:v>
                </c:pt>
                <c:pt idx="1196">
                  <c:v>0.70004630507288335</c:v>
                </c:pt>
                <c:pt idx="1197">
                  <c:v>0.7038881920587714</c:v>
                </c:pt>
                <c:pt idx="1198">
                  <c:v>0.7046450825020365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5926.33</c:v>
                </c:pt>
                <c:pt idx="2">
                  <c:v>0</c:v>
                </c:pt>
                <c:pt idx="3">
                  <c:v>261856.76</c:v>
                </c:pt>
                <c:pt idx="4">
                  <c:v>0</c:v>
                </c:pt>
                <c:pt idx="5">
                  <c:v>0</c:v>
                </c:pt>
                <c:pt idx="6">
                  <c:v>19576.54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233764.9900000004</c:v>
                </c:pt>
                <c:pt idx="2">
                  <c:v>174582.74999999991</c:v>
                </c:pt>
                <c:pt idx="3">
                  <c:v>411101.38999999996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913703.85000000021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B5" sqref="B5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45702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3.0108225232103156E-3</v>
      </c>
      <c r="D4" s="91"/>
      <c r="E4" s="92"/>
    </row>
    <row r="5" spans="1:23">
      <c r="A5" t="s">
        <v>66</v>
      </c>
      <c r="B5" s="8">
        <f ca="1">OFFSET('Historical NAV'!K1,COUNT('Historical NAV'!A:A),,,)</f>
        <v>4.7222237599906514E-3</v>
      </c>
      <c r="E5" s="146"/>
    </row>
    <row r="6" spans="1:23">
      <c r="A6" t="s">
        <v>283</v>
      </c>
      <c r="B6" s="8">
        <f ca="1">OFFSET('Historical NAV'!N1,COUNT('Historical NAV'!A:A),,,)</f>
        <v>6.8651093749808378E-2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4.4421367950814512E-4</v>
      </c>
      <c r="D9" t="s">
        <v>188</v>
      </c>
      <c r="E9" s="146">
        <f ca="1">OFFSET('Historical NAV'!B1,COUNT('Historical NAV'!A:A),,,)</f>
        <v>66615111.351361498</v>
      </c>
    </row>
    <row r="10" spans="1:23">
      <c r="A10" t="s">
        <v>181</v>
      </c>
      <c r="B10" s="2">
        <f ca="1">E13/E9</f>
        <v>0.94292322456226307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5.3112323312974448E-2</v>
      </c>
      <c r="D11" t="s">
        <v>160</v>
      </c>
      <c r="E11" s="8">
        <f ca="1">E10/E9</f>
        <v>0.6240554842088446</v>
      </c>
    </row>
    <row r="12" spans="1:23">
      <c r="A12" t="s">
        <v>147</v>
      </c>
      <c r="B12" s="8">
        <f ca="1">OFFSET('Historical NAV'!T1,COUNT('Historical NAV'!A:A),,,)</f>
        <v>-7.1469331409724751E-2</v>
      </c>
    </row>
    <row r="13" spans="1:23">
      <c r="A13" t="s">
        <v>148</v>
      </c>
      <c r="B13" s="8">
        <f ca="1">OFFSET('Historical NAV'!V1,COUNT('Historical NAV'!A:A),,,)</f>
        <v>0.87495832072080826</v>
      </c>
      <c r="D13" s="99" t="s">
        <v>180</v>
      </c>
      <c r="E13" s="152">
        <f>K25</f>
        <v>62812935.600000001</v>
      </c>
    </row>
    <row r="14" spans="1:23">
      <c r="A14" t="s">
        <v>125</v>
      </c>
      <c r="B14" s="51">
        <f ca="1">OFFSET('Historical NAV'!W1,COUNT('Historical NAV'!A:A),,,)</f>
        <v>1.449642313551448</v>
      </c>
      <c r="D14" s="303">
        <v>5.0000000000000001E-3</v>
      </c>
      <c r="E14" s="123">
        <f>(D14*$E$13)/(1-D14)</f>
        <v>315642.89246231155</v>
      </c>
    </row>
    <row r="15" spans="1:23">
      <c r="A15" t="s">
        <v>144</v>
      </c>
      <c r="B15" s="51">
        <f ca="1">OFFSET('Historical NAV'!AB1,COUNT('Historical NAV'!A:A),,,)</f>
        <v>4.0441954761483982</v>
      </c>
      <c r="D15" s="303">
        <v>0.01</v>
      </c>
      <c r="E15" s="123">
        <f>(D15*$E$13)/(1-D15)</f>
        <v>634474.09696969704</v>
      </c>
      <c r="F15" s="133"/>
    </row>
    <row r="16" spans="1:23">
      <c r="A16" t="s">
        <v>145</v>
      </c>
      <c r="B16" s="51">
        <f ca="1">OFFSET('Historical NAV'!P1,COUNT('Historical NAV'!A:A),,,)</f>
        <v>0.42063758089541825</v>
      </c>
      <c r="D16" s="303">
        <v>1.4999999999999999E-2</v>
      </c>
      <c r="E16" s="123">
        <f>(D16*$E$13)/(1-D16)</f>
        <v>956542.16649746196</v>
      </c>
      <c r="F16" s="169"/>
    </row>
    <row r="17" spans="1:23">
      <c r="A17" t="s">
        <v>185</v>
      </c>
      <c r="B17" s="51">
        <f ca="1">OFFSET('Historical NAV'!AC1,COUNT('Historical NAV'!A:A),,,)</f>
        <v>-4.2016472197039044E-2</v>
      </c>
      <c r="D17" s="303">
        <v>0.05</v>
      </c>
      <c r="E17" s="123">
        <f>(D17*$E$13)/(1-D17)</f>
        <v>3305943.9789473689</v>
      </c>
    </row>
    <row r="18" spans="1:23">
      <c r="A18" t="s">
        <v>186</v>
      </c>
      <c r="B18" s="51">
        <f ca="1">OFFSET('Historical NAV'!AD1,COUNT('Historical NAV'!A:A),,,)</f>
        <v>-3.8925592889824223E-2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-4.8495437885645996E-2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0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1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2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62812500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435.6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62812935.600000001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</v>
      </c>
      <c r="D26" s="103">
        <f>D25/$K$25</f>
        <v>0</v>
      </c>
      <c r="E26" s="103">
        <f>E25/$K$25</f>
        <v>0.99999306512271968</v>
      </c>
      <c r="F26" s="103">
        <f t="shared" si="0"/>
        <v>0</v>
      </c>
      <c r="G26" s="103">
        <f t="shared" si="0"/>
        <v>0</v>
      </c>
      <c r="H26" s="103">
        <f t="shared" si="0"/>
        <v>6.9348772802779183E-6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0</v>
      </c>
      <c r="D27" s="165">
        <f ca="1">D25/$E$9</f>
        <v>0</v>
      </c>
      <c r="E27" s="165">
        <f t="shared" ref="E27:K27" ca="1" si="1">E25/$E$9</f>
        <v>0.94291668550541607</v>
      </c>
      <c r="F27" s="165">
        <f t="shared" ca="1" si="1"/>
        <v>0</v>
      </c>
      <c r="G27" s="165">
        <f t="shared" ca="1" si="1"/>
        <v>0</v>
      </c>
      <c r="H27" s="165">
        <f t="shared" ca="1" si="1"/>
        <v>6.5390568470632315E-6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0.94292322456226307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25000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2407.6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27407.599999999999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-4323241.3712688042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5926.33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261856.76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19576.54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287359.63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233764.9900000004</v>
      </c>
      <c r="D45" s="164">
        <f>SUM(D33:D44)</f>
        <v>174582.74999999991</v>
      </c>
      <c r="E45" s="164">
        <f t="shared" si="3"/>
        <v>411101.38999999996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913703.85000000021</v>
      </c>
      <c r="I45" s="164">
        <f t="shared" si="3"/>
        <v>0</v>
      </c>
      <c r="J45" s="164">
        <f>SUM(J33:J44)</f>
        <v>0</v>
      </c>
      <c r="K45" s="164">
        <f>SUM(K33:K44)</f>
        <v>4927453.1000000006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0</v>
      </c>
      <c r="C51" s="299">
        <f>C34/'Historical NAV'!$B$1191</f>
        <v>8.9380777892932687E-5</v>
      </c>
      <c r="D51" s="299">
        <f>D34/'Historical NAV'!$B$1191</f>
        <v>0</v>
      </c>
      <c r="E51" s="299">
        <f>E34/'Historical NAV'!$B$1191</f>
        <v>3.9493178586617658E-3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2.9525294299374361E-4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4.3339515795484422E-3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5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H1202" sqref="H1202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200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1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>
        <v>45698</v>
      </c>
      <c r="B1196" s="78">
        <v>66431670.820359498</v>
      </c>
      <c r="D1196" s="67">
        <f t="shared" ref="D1196" si="1204">B1196</f>
        <v>66431670.820359498</v>
      </c>
      <c r="E1196" s="67">
        <f t="shared" ref="E1196" si="1205">IF(MONTH(A1196)=MONTH(A1195),E1195,D1195)</f>
        <v>66302018.384809397</v>
      </c>
      <c r="F1196" s="67">
        <f t="shared" ref="F1196" si="1206">B1196-C1196-D1195</f>
        <v>16645.911595799029</v>
      </c>
      <c r="G1196" s="70">
        <f t="shared" ref="G1196" si="1207">F1196/B1195</f>
        <v>2.5063472638406765E-4</v>
      </c>
      <c r="H1196" s="67">
        <f t="shared" ref="H1196" si="1208">IF(WEEKNUM(A1196)=WEEKNUM(A1195),H1195+F1196,F1196)</f>
        <v>16645.911595799029</v>
      </c>
      <c r="I1196" s="70">
        <f t="shared" ref="I1196" si="1209">IF(WEEKNUM(A1196)=WEEKNUM(A1195),I1195+G1196,G1196)</f>
        <v>2.5063472638406765E-4</v>
      </c>
      <c r="J1196" s="67">
        <f t="shared" ref="J1196" si="1210">IF(MONTH(A1196)=MONTH(A1195),J1195+F1196,F1196)</f>
        <v>129652.4355501011</v>
      </c>
      <c r="K1196" s="70">
        <f t="shared" ref="K1196" si="1211">(1+K1195)*(1+G1196)-1</f>
        <v>1.9554824831666817E-3</v>
      </c>
      <c r="L1196" s="70">
        <f t="shared" ref="L1196" si="1212">1+G1196</f>
        <v>1.000250634726384</v>
      </c>
      <c r="M1196" s="70">
        <f>PRODUCT($L$2:L1196)-1</f>
        <v>0.69995093739350711</v>
      </c>
      <c r="N1196" s="70">
        <f>PRODUCT($L$1169:L1196)-1</f>
        <v>6.5708309145586341E-2</v>
      </c>
      <c r="O1196" s="70">
        <f>AVERAGE($G$1169:G1196)*252</f>
        <v>0.67204292232675633</v>
      </c>
      <c r="P1196" s="70">
        <f>STDEV($G$1169:G1196)*252^0.5</f>
        <v>0.45054329948442851</v>
      </c>
      <c r="Q1196" s="67">
        <f t="shared" ref="Q1196" si="1213">B1196-C1196-D1165</f>
        <v>-9277557.9846142083</v>
      </c>
      <c r="R1196" s="70">
        <f t="shared" ref="R1196" si="1214">Q1196/B1165</f>
        <v>-0.12254196920316167</v>
      </c>
      <c r="S1196" s="67">
        <f t="shared" ref="S1196" si="1215">B1196-C1196-D1107</f>
        <v>-1213585.6261035949</v>
      </c>
      <c r="T1196" s="70">
        <f t="shared" ref="T1196" si="1216">S1196/B1105</f>
        <v>-1.8452386321936798E-2</v>
      </c>
      <c r="U1196" s="67">
        <f t="shared" ref="U1196" si="1217">B1196-C1196-D832</f>
        <v>28951787.870359495</v>
      </c>
      <c r="V1196" s="70">
        <f t="shared" ref="V1196" si="1218">U1196/B830</f>
        <v>0.79150976375932536</v>
      </c>
      <c r="W1196" s="87">
        <f t="shared" ref="W1196" si="1219">O1196/P1196</f>
        <v>1.4916278259954086</v>
      </c>
      <c r="X1196" s="142">
        <f t="shared" si="656"/>
        <v>1.7857142857142857E-4</v>
      </c>
      <c r="Y1196" s="139">
        <f t="shared" ref="Y1196" si="1220">G1196-X1196</f>
        <v>7.2063297812639083E-5</v>
      </c>
      <c r="Z1196" s="139">
        <f t="shared" ref="Z1196" si="1221">IF(Y1196&lt;0,Y1196,0)</f>
        <v>0</v>
      </c>
      <c r="AA1196" s="139">
        <f t="shared" ref="AA1196" si="1222">Z1196^2</f>
        <v>0</v>
      </c>
      <c r="AB1196" s="144">
        <f t="shared" ref="AB1196" si="1223">AVERAGE(Y945:Y1196)/AVERAGE(AA945:AA1196)</f>
        <v>4.0086117845120306</v>
      </c>
      <c r="AC1196" s="144">
        <f t="shared" ref="AC1196" si="1224">AVERAGE(G1167:G1196)-_xlfn.NORM.S.INV(0.95)*_xlfn.STDEV.S(G1167:G1196)</f>
        <v>-4.4399589547322683E-2</v>
      </c>
      <c r="AD1196" s="144">
        <f t="shared" ref="AD1196" si="1225">AVERAGE(G1107:G1196)-_xlfn.NORM.S.INV(0.95)*_xlfn.STDEV.S(G1107:G1196)</f>
        <v>-3.8782543860872355E-2</v>
      </c>
      <c r="AE1196" s="144">
        <f t="shared" ref="AE1196" si="1226">AVERAGE(G832:G1196)-_xlfn.NORM.S.INV(0.95)*_xlfn.STDEV.S(G832:G1196)</f>
        <v>-4.8680582859847332E-2</v>
      </c>
    </row>
    <row r="1197" spans="1:31">
      <c r="A1197" s="88">
        <v>45699</v>
      </c>
      <c r="B1197" s="78">
        <v>66430092.593976997</v>
      </c>
      <c r="D1197" s="67">
        <f t="shared" ref="D1197" si="1227">B1197</f>
        <v>66430092.593976997</v>
      </c>
      <c r="E1197" s="67">
        <f t="shared" ref="E1197" si="1228">IF(MONTH(A1197)=MONTH(A1196),E1196,D1196)</f>
        <v>66302018.384809397</v>
      </c>
      <c r="F1197" s="67">
        <f t="shared" ref="F1197" si="1229">B1197-C1197-D1196</f>
        <v>-1578.2263825014234</v>
      </c>
      <c r="G1197" s="70">
        <f t="shared" ref="G1197" si="1230">F1197/B1196</f>
        <v>-2.3757138169370564E-5</v>
      </c>
      <c r="H1197" s="67">
        <f t="shared" ref="H1197" si="1231">IF(WEEKNUM(A1197)=WEEKNUM(A1196),H1196+F1197,F1197)</f>
        <v>15067.685213297606</v>
      </c>
      <c r="I1197" s="70">
        <f t="shared" ref="I1197" si="1232">IF(WEEKNUM(A1197)=WEEKNUM(A1196),I1196+G1197,G1197)</f>
        <v>2.2687758821469709E-4</v>
      </c>
      <c r="J1197" s="67">
        <f t="shared" ref="J1197" si="1233">IF(MONTH(A1197)=MONTH(A1196),J1196+F1197,F1197)</f>
        <v>128074.20916759968</v>
      </c>
      <c r="K1197" s="70">
        <f t="shared" ref="K1197" si="1234">(1+K1196)*(1+G1197)-1</f>
        <v>1.9316788883296798E-3</v>
      </c>
      <c r="L1197" s="70">
        <f t="shared" ref="L1197" si="1235">1+G1197</f>
        <v>0.99997624286183062</v>
      </c>
      <c r="M1197" s="70">
        <f>PRODUCT($L$2:L1197)-1</f>
        <v>0.69991055142420633</v>
      </c>
      <c r="N1197" s="70">
        <f>PRODUCT($L$1169:L1197)-1</f>
        <v>6.5682990966037691E-2</v>
      </c>
      <c r="O1197" s="70">
        <f>AVERAGE($G$1169:G1197)*252</f>
        <v>0.64866258711484481</v>
      </c>
      <c r="P1197" s="70">
        <f>STDEV($G$1169:G1197)*252^0.5</f>
        <v>0.44249582495909812</v>
      </c>
      <c r="Q1197" s="67">
        <f t="shared" ref="Q1197" si="1236">B1197-C1197-D1166</f>
        <v>-7217949.9227906093</v>
      </c>
      <c r="R1197" s="70">
        <f t="shared" ref="R1197" si="1237">Q1197/B1166</f>
        <v>-9.8005998206229086E-2</v>
      </c>
      <c r="S1197" s="67">
        <f t="shared" ref="S1197" si="1238">B1197-C1197-D1108</f>
        <v>-2212566.5902142003</v>
      </c>
      <c r="T1197" s="70">
        <f t="shared" ref="T1197" si="1239">S1197/B1106</f>
        <v>-3.251223369215088E-2</v>
      </c>
      <c r="U1197" s="67">
        <f t="shared" ref="U1197" si="1240">B1197-C1197-D833</f>
        <v>30182986.243976995</v>
      </c>
      <c r="V1197" s="70">
        <f t="shared" ref="V1197" si="1241">U1197/B831</f>
        <v>0.82061820651312534</v>
      </c>
      <c r="W1197" s="87">
        <f t="shared" ref="W1197" si="1242">O1197/P1197</f>
        <v>1.4659179827850435</v>
      </c>
      <c r="X1197" s="142">
        <f t="shared" si="656"/>
        <v>1.7857142857142857E-4</v>
      </c>
      <c r="Y1197" s="139">
        <f t="shared" ref="Y1197" si="1243">G1197-X1197</f>
        <v>-2.0232856674079914E-4</v>
      </c>
      <c r="Z1197" s="139">
        <f t="shared" ref="Z1197" si="1244">IF(Y1197&lt;0,Y1197,0)</f>
        <v>-2.0232856674079914E-4</v>
      </c>
      <c r="AA1197" s="139">
        <f t="shared" ref="AA1197" si="1245">Z1197^2</f>
        <v>4.0936848919386014E-8</v>
      </c>
      <c r="AB1197" s="144">
        <f t="shared" ref="AB1197" si="1246">AVERAGE(Y946:Y1197)/AVERAGE(AA946:AA1197)</f>
        <v>4.0947183256749851</v>
      </c>
      <c r="AC1197" s="144">
        <f t="shared" ref="AC1197" si="1247">AVERAGE(G1168:G1197)-_xlfn.NORM.S.INV(0.95)*_xlfn.STDEV.S(G1168:G1197)</f>
        <v>-4.3358888109575805E-2</v>
      </c>
      <c r="AD1197" s="144">
        <f t="shared" ref="AD1197" si="1248">AVERAGE(G1108:G1197)-_xlfn.NORM.S.INV(0.95)*_xlfn.STDEV.S(G1108:G1197)</f>
        <v>-3.8694733308125319E-2</v>
      </c>
      <c r="AE1197" s="144">
        <f t="shared" ref="AE1197" si="1249">AVERAGE(G833:G1197)-_xlfn.NORM.S.INV(0.95)*_xlfn.STDEV.S(G833:G1197)</f>
        <v>-4.8712536832055148E-2</v>
      </c>
    </row>
    <row r="1198" spans="1:31">
      <c r="A1198" s="88">
        <v>45700</v>
      </c>
      <c r="B1198" s="78">
        <v>66435397.653966203</v>
      </c>
      <c r="D1198" s="67">
        <f t="shared" ref="D1198" si="1250">B1198</f>
        <v>66435397.653966203</v>
      </c>
      <c r="E1198" s="67">
        <f t="shared" ref="E1198" si="1251">IF(MONTH(A1198)=MONTH(A1197),E1197,D1197)</f>
        <v>66302018.384809397</v>
      </c>
      <c r="F1198" s="67">
        <f t="shared" ref="F1198" si="1252">B1198-C1198-D1197</f>
        <v>5305.0599892064929</v>
      </c>
      <c r="G1198" s="70">
        <f t="shared" ref="G1198" si="1253">F1198/B1197</f>
        <v>7.9859289398122649E-5</v>
      </c>
      <c r="H1198" s="67">
        <f t="shared" ref="H1198" si="1254">IF(WEEKNUM(A1198)=WEEKNUM(A1197),H1197+F1198,F1198)</f>
        <v>20372.745202504098</v>
      </c>
      <c r="I1198" s="70">
        <f t="shared" ref="I1198" si="1255">IF(WEEKNUM(A1198)=WEEKNUM(A1197),I1197+G1198,G1198)</f>
        <v>3.0673687761281971E-4</v>
      </c>
      <c r="J1198" s="67">
        <f t="shared" ref="J1198" si="1256">IF(MONTH(A1198)=MONTH(A1197),J1197+F1198,F1198)</f>
        <v>133379.26915680617</v>
      </c>
      <c r="K1198" s="70">
        <f t="shared" ref="K1198" si="1257">(1+K1197)*(1+G1198)-1</f>
        <v>2.0116924402311387E-3</v>
      </c>
      <c r="L1198" s="70">
        <f t="shared" ref="L1198" si="1258">1+G1198</f>
        <v>1.000079859289398</v>
      </c>
      <c r="M1198" s="70">
        <f>PRODUCT($L$2:L1198)-1</f>
        <v>0.70004630507288335</v>
      </c>
      <c r="N1198" s="70">
        <f>PRODUCT($L$1169:L1198)-1</f>
        <v>6.5768095652419811E-2</v>
      </c>
      <c r="O1198" s="70">
        <f>AVERAGE($G$1169:G1198)*252</f>
        <v>0.62771131890862752</v>
      </c>
      <c r="P1198" s="70">
        <f>STDEV($G$1169:G1198)*252^0.5</f>
        <v>0.43485974691265022</v>
      </c>
      <c r="Q1198" s="67">
        <f t="shared" ref="Q1198" si="1259">B1198-C1198-D1167</f>
        <v>-5839607.1395113021</v>
      </c>
      <c r="R1198" s="70">
        <f t="shared" ref="R1198" si="1260">Q1198/B1167</f>
        <v>-8.0797049494465076E-2</v>
      </c>
      <c r="S1198" s="67">
        <f t="shared" ref="S1198" si="1261">B1198-C1198-D1109</f>
        <v>-2867744.6688140035</v>
      </c>
      <c r="T1198" s="70">
        <f t="shared" ref="T1198" si="1262">S1198/B1107</f>
        <v>-4.2393876813574365E-2</v>
      </c>
      <c r="U1198" s="67">
        <f t="shared" ref="U1198" si="1263">B1198-C1198-D834</f>
        <v>30323001.573966205</v>
      </c>
      <c r="V1198" s="70">
        <f t="shared" ref="V1198" si="1264">U1198/B832</f>
        <v>0.80904739255505609</v>
      </c>
      <c r="W1198" s="87">
        <f t="shared" ref="W1198" si="1265">O1198/P1198</f>
        <v>1.4434799343125111</v>
      </c>
      <c r="X1198" s="142">
        <f t="shared" si="656"/>
        <v>1.7857142857142857E-4</v>
      </c>
      <c r="Y1198" s="139">
        <f t="shared" ref="Y1198" si="1266">G1198-X1198</f>
        <v>-9.8712139173305922E-5</v>
      </c>
      <c r="Z1198" s="139">
        <f t="shared" ref="Z1198" si="1267">IF(Y1198&lt;0,Y1198,0)</f>
        <v>-9.8712139173305922E-5</v>
      </c>
      <c r="AA1198" s="139">
        <f t="shared" ref="AA1198" si="1268">Z1198^2</f>
        <v>9.7440864201701182E-9</v>
      </c>
      <c r="AB1198" s="144">
        <f t="shared" ref="AB1198" si="1269">AVERAGE(Y947:Y1198)/AVERAGE(AA947:AA1198)</f>
        <v>3.9331435465655478</v>
      </c>
      <c r="AC1198" s="144">
        <f t="shared" ref="AC1198" si="1270">AVERAGE(G1169:G1198)-_xlfn.NORM.S.INV(0.95)*_xlfn.STDEV.S(G1169:G1198)</f>
        <v>-4.2567526584329565E-2</v>
      </c>
      <c r="AD1198" s="144">
        <f t="shared" ref="AD1198" si="1271">AVERAGE(G1109:G1198)-_xlfn.NORM.S.INV(0.95)*_xlfn.STDEV.S(G1109:G1198)</f>
        <v>-3.8795039781722856E-2</v>
      </c>
      <c r="AE1198" s="144">
        <f t="shared" ref="AE1198" si="1272">AVERAGE(G834:G1198)-_xlfn.NORM.S.INV(0.95)*_xlfn.STDEV.S(G834:G1198)</f>
        <v>-4.8532349008135169E-2</v>
      </c>
    </row>
    <row r="1199" spans="1:31">
      <c r="A1199" s="88">
        <v>45701</v>
      </c>
      <c r="B1199" s="78">
        <v>66585533.1466804</v>
      </c>
      <c r="D1199" s="67">
        <f t="shared" ref="D1199" si="1273">B1199</f>
        <v>66585533.1466804</v>
      </c>
      <c r="E1199" s="67">
        <f t="shared" ref="E1199" si="1274">IF(MONTH(A1199)=MONTH(A1198),E1198,D1198)</f>
        <v>66302018.384809397</v>
      </c>
      <c r="F1199" s="67">
        <f t="shared" ref="F1199" si="1275">B1199-C1199-D1198</f>
        <v>150135.49271419644</v>
      </c>
      <c r="G1199" s="70">
        <f t="shared" ref="G1199" si="1276">F1199/B1198</f>
        <v>2.2598719660893505E-3</v>
      </c>
      <c r="H1199" s="67">
        <f t="shared" ref="H1199" si="1277">IF(WEEKNUM(A1199)=WEEKNUM(A1198),H1198+F1199,F1199)</f>
        <v>170508.23791670054</v>
      </c>
      <c r="I1199" s="70">
        <f t="shared" ref="I1199" si="1278">IF(WEEKNUM(A1199)=WEEKNUM(A1198),I1198+G1199,G1199)</f>
        <v>2.5666088437021704E-3</v>
      </c>
      <c r="J1199" s="67">
        <f t="shared" ref="J1199" si="1279">IF(MONTH(A1199)=MONTH(A1198),J1198+F1199,F1199)</f>
        <v>283514.76187100261</v>
      </c>
      <c r="K1199" s="70">
        <f t="shared" ref="K1199" si="1280">(1+K1198)*(1+G1199)-1</f>
        <v>4.2761105736706106E-3</v>
      </c>
      <c r="L1199" s="70">
        <f t="shared" ref="L1199" si="1281">1+G1199</f>
        <v>1.0022598719660893</v>
      </c>
      <c r="M1199" s="70">
        <f>PRODUCT($L$2:L1199)-1</f>
        <v>0.7038881920587714</v>
      </c>
      <c r="N1199" s="70">
        <f>PRODUCT($L$1169:L1199)-1</f>
        <v>6.8176595094137094E-2</v>
      </c>
      <c r="O1199" s="70">
        <f>AVERAGE($G$1169:G1199)*252</f>
        <v>0.62583313879720459</v>
      </c>
      <c r="P1199" s="70">
        <f>STDEV($G$1169:G1199)*252^0.5</f>
        <v>0.42755116666278442</v>
      </c>
      <c r="Q1199" s="67">
        <f t="shared" ref="Q1199" si="1282">B1199-C1199-D1168</f>
        <v>-4619299.4747637063</v>
      </c>
      <c r="R1199" s="70">
        <f t="shared" ref="R1199" si="1283">Q1199/B1168</f>
        <v>-6.4873398401508978E-2</v>
      </c>
      <c r="S1199" s="67">
        <f t="shared" ref="S1199" si="1284">B1199-C1199-D1110</f>
        <v>-3320642.4387637973</v>
      </c>
      <c r="T1199" s="70">
        <f t="shared" ref="T1199" si="1285">S1199/B1108</f>
        <v>-4.837578377978341E-2</v>
      </c>
      <c r="U1199" s="67">
        <f t="shared" ref="U1199" si="1286">B1199-C1199-D835</f>
        <v>30647244.366680399</v>
      </c>
      <c r="V1199" s="70">
        <f t="shared" ref="V1199" si="1287">U1199/B833</f>
        <v>0.84550871649594173</v>
      </c>
      <c r="W1199" s="87">
        <f t="shared" ref="W1199" si="1288">O1199/P1199</f>
        <v>1.4637619718877015</v>
      </c>
      <c r="X1199" s="142">
        <f t="shared" si="656"/>
        <v>1.7857142857142857E-4</v>
      </c>
      <c r="Y1199" s="139">
        <f t="shared" ref="Y1199" si="1289">G1199-X1199</f>
        <v>2.081300537517922E-3</v>
      </c>
      <c r="Z1199" s="139">
        <f t="shared" ref="Z1199" si="1290">IF(Y1199&lt;0,Y1199,0)</f>
        <v>0</v>
      </c>
      <c r="AA1199" s="139">
        <f t="shared" ref="AA1199" si="1291">Z1199^2</f>
        <v>0</v>
      </c>
      <c r="AB1199" s="144">
        <f t="shared" ref="AB1199" si="1292">AVERAGE(Y948:Y1199)/AVERAGE(AA948:AA1199)</f>
        <v>3.956980006308906</v>
      </c>
      <c r="AC1199" s="144">
        <f t="shared" ref="AC1199" si="1293">AVERAGE(G1170:G1199)-_xlfn.NORM.S.INV(0.95)*_xlfn.STDEV.S(G1170:G1199)</f>
        <v>-4.2822698747535963E-2</v>
      </c>
      <c r="AD1199" s="144">
        <f t="shared" ref="AD1199" si="1294">AVERAGE(G1110:G1199)-_xlfn.NORM.S.INV(0.95)*_xlfn.STDEV.S(G1110:G1199)</f>
        <v>-3.8852830641806516E-2</v>
      </c>
      <c r="AE1199" s="144">
        <f t="shared" ref="AE1199" si="1295">AVERAGE(G835:G1199)-_xlfn.NORM.S.INV(0.95)*_xlfn.STDEV.S(G835:G1199)</f>
        <v>-4.8513330708592275E-2</v>
      </c>
    </row>
    <row r="1200" spans="1:31">
      <c r="A1200" s="88">
        <v>45702</v>
      </c>
      <c r="B1200" s="78">
        <v>66615111.351361498</v>
      </c>
      <c r="D1200" s="67">
        <f t="shared" ref="D1200" si="1296">B1200</f>
        <v>66615111.351361498</v>
      </c>
      <c r="E1200" s="67">
        <f t="shared" ref="E1200" si="1297">IF(MONTH(A1200)=MONTH(A1199),E1199,D1199)</f>
        <v>66302018.384809397</v>
      </c>
      <c r="F1200" s="67">
        <f t="shared" ref="F1200" si="1298">B1200-C1200-D1199</f>
        <v>29578.204681098461</v>
      </c>
      <c r="G1200" s="70">
        <f t="shared" ref="G1200" si="1299">F1200/B1199</f>
        <v>4.4421367950814512E-4</v>
      </c>
      <c r="H1200" s="67">
        <f t="shared" ref="H1200" si="1300">IF(WEEKNUM(A1200)=WEEKNUM(A1199),H1199+F1200,F1200)</f>
        <v>200086.442597799</v>
      </c>
      <c r="I1200" s="70">
        <f t="shared" ref="I1200" si="1301">IF(WEEKNUM(A1200)=WEEKNUM(A1199),I1199+G1200,G1200)</f>
        <v>3.0108225232103156E-3</v>
      </c>
      <c r="J1200" s="67">
        <f t="shared" ref="J1200" si="1302">IF(MONTH(A1200)=MONTH(A1199),J1199+F1200,F1200)</f>
        <v>313092.96655210108</v>
      </c>
      <c r="K1200" s="70">
        <f t="shared" ref="K1200" si="1303">(1+K1199)*(1+G1200)-1</f>
        <v>4.7222237599906514E-3</v>
      </c>
      <c r="L1200" s="70">
        <f t="shared" ref="L1200" si="1304">1+G1200</f>
        <v>1.0004442136795082</v>
      </c>
      <c r="M1200" s="70">
        <f>PRODUCT($L$2:L1200)-1</f>
        <v>0.7046450825020365</v>
      </c>
      <c r="N1200" s="70">
        <f>PRODUCT($L$1169:L1200)-1</f>
        <v>6.8651093749808378E-2</v>
      </c>
      <c r="O1200" s="70">
        <f>AVERAGE($G$1169:G1200)*252</f>
        <v>0.6097740359359185</v>
      </c>
      <c r="P1200" s="70">
        <f>STDEV($G$1169:G1200)*252^0.5</f>
        <v>0.42063758089541825</v>
      </c>
      <c r="Q1200" s="67">
        <f t="shared" ref="Q1200" si="1305">B1200-C1200-D1169</f>
        <v>3359644.7912534997</v>
      </c>
      <c r="R1200" s="70">
        <f t="shared" ref="R1200" si="1306">Q1200/B1169</f>
        <v>5.3112323312974448E-2</v>
      </c>
      <c r="S1200" s="67">
        <f t="shared" ref="S1200" si="1307">B1200-C1200-D1111</f>
        <v>-4953049.2464020997</v>
      </c>
      <c r="T1200" s="70">
        <f t="shared" ref="T1200" si="1308">S1200/B1109</f>
        <v>-7.1469331409724751E-2</v>
      </c>
      <c r="U1200" s="67">
        <f t="shared" ref="U1200" si="1309">B1200-C1200-D836</f>
        <v>31596841.431361496</v>
      </c>
      <c r="V1200" s="70">
        <f t="shared" ref="V1200" si="1310">U1200/B834</f>
        <v>0.87495832072080826</v>
      </c>
      <c r="W1200" s="87">
        <f t="shared" ref="W1200" si="1311">O1200/P1200</f>
        <v>1.449642313551448</v>
      </c>
      <c r="X1200" s="142">
        <f t="shared" si="656"/>
        <v>1.7857142857142857E-4</v>
      </c>
      <c r="Y1200" s="139">
        <f t="shared" ref="Y1200" si="1312">G1200-X1200</f>
        <v>2.6564225093671657E-4</v>
      </c>
      <c r="Z1200" s="139">
        <f t="shared" ref="Z1200" si="1313">IF(Y1200&lt;0,Y1200,0)</f>
        <v>0</v>
      </c>
      <c r="AA1200" s="139">
        <f t="shared" ref="AA1200" si="1314">Z1200^2</f>
        <v>0</v>
      </c>
      <c r="AB1200" s="144">
        <f t="shared" ref="AB1200" si="1315">AVERAGE(Y949:Y1200)/AVERAGE(AA949:AA1200)</f>
        <v>4.0441954761483982</v>
      </c>
      <c r="AC1200" s="144">
        <f t="shared" ref="AC1200" si="1316">AVERAGE(G1171:G1200)-_xlfn.NORM.S.INV(0.95)*_xlfn.STDEV.S(G1171:G1200)</f>
        <v>-4.2016472197039044E-2</v>
      </c>
      <c r="AD1200" s="144">
        <f t="shared" ref="AD1200" si="1317">AVERAGE(G1111:G1200)-_xlfn.NORM.S.INV(0.95)*_xlfn.STDEV.S(G1111:G1200)</f>
        <v>-3.8925592889824223E-2</v>
      </c>
      <c r="AE1200" s="144">
        <f t="shared" ref="AE1200" si="1318">AVERAGE(G836:G1200)-_xlfn.NORM.S.INV(0.95)*_xlfn.STDEV.S(G836:G1200)</f>
        <v>-4.8495437885645996E-2</v>
      </c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B1217" s="7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B1218" s="7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A1219" s="88"/>
      <c r="B1219" s="78"/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A1220" s="88"/>
      <c r="B1220" s="78"/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A1221" s="88"/>
      <c r="B1221" s="78"/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A1222" s="88"/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A1223" s="88"/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4:31">
      <c r="D1241" s="67"/>
      <c r="E1241" s="67"/>
      <c r="F1241" s="67"/>
      <c r="G1241" s="70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4:31">
      <c r="D1242" s="67"/>
      <c r="E1242" s="67"/>
      <c r="F1242" s="67"/>
      <c r="G1242" s="70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4:31">
      <c r="D1243" s="67"/>
      <c r="E1243" s="67"/>
      <c r="F1243" s="67"/>
      <c r="G1243" s="70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4:31">
      <c r="D1244" s="67"/>
      <c r="E1244" s="67"/>
      <c r="F1244" s="67"/>
      <c r="G1244" s="70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4:31">
      <c r="D1245" s="67"/>
      <c r="E1245" s="67"/>
      <c r="F1245" s="67"/>
      <c r="G1245" s="70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344</v>
      </c>
      <c r="B3" s="153" t="s">
        <v>140</v>
      </c>
      <c r="C3" s="153" t="s">
        <v>38</v>
      </c>
      <c r="D3" s="153">
        <v>10</v>
      </c>
      <c r="E3" s="153">
        <v>43.56</v>
      </c>
      <c r="F3" s="153">
        <v>435.6</v>
      </c>
      <c r="G3" s="153">
        <v>1</v>
      </c>
      <c r="H3" s="153">
        <v>435.6</v>
      </c>
      <c r="I3" s="218">
        <v>0</v>
      </c>
      <c r="J3"/>
      <c r="K3"/>
    </row>
    <row r="4" spans="1:11">
      <c r="A4" s="221" t="s">
        <v>345</v>
      </c>
      <c r="B4" s="153" t="s">
        <v>42</v>
      </c>
      <c r="C4" s="153" t="s">
        <v>38</v>
      </c>
      <c r="D4" s="153">
        <v>625000</v>
      </c>
      <c r="E4" s="153">
        <v>100.5</v>
      </c>
      <c r="F4" s="153">
        <v>62812500</v>
      </c>
      <c r="G4" s="153">
        <v>1</v>
      </c>
      <c r="H4" s="153">
        <v>62812500</v>
      </c>
      <c r="I4" s="218">
        <v>100</v>
      </c>
      <c r="J4"/>
      <c r="K4"/>
    </row>
    <row r="5" spans="1:11">
      <c r="A5" s="221"/>
      <c r="B5" s="153"/>
      <c r="C5" s="153"/>
      <c r="D5" s="153"/>
      <c r="E5" s="153"/>
      <c r="F5" s="153"/>
      <c r="G5" s="153"/>
      <c r="H5" s="153"/>
      <c r="I5" s="218"/>
      <c r="J5"/>
      <c r="K5"/>
    </row>
    <row r="6" spans="1:11">
      <c r="A6" s="221"/>
      <c r="B6" s="153"/>
      <c r="C6" s="153"/>
      <c r="D6" s="153"/>
      <c r="E6" s="153"/>
      <c r="F6" s="153"/>
      <c r="G6" s="153"/>
      <c r="H6" s="153"/>
      <c r="I6" s="218"/>
      <c r="J6"/>
      <c r="K6"/>
    </row>
    <row r="7" spans="1:11">
      <c r="A7" s="221"/>
      <c r="B7" s="153"/>
      <c r="C7" s="153"/>
      <c r="D7" s="153"/>
      <c r="E7" s="153"/>
      <c r="F7" s="153"/>
      <c r="G7" s="153"/>
      <c r="H7" s="153"/>
      <c r="I7" s="218"/>
      <c r="J7"/>
      <c r="K7"/>
    </row>
    <row r="8" spans="1:11">
      <c r="A8" s="221"/>
      <c r="B8" s="153"/>
      <c r="C8" s="153"/>
      <c r="D8" s="153"/>
      <c r="E8" s="153"/>
      <c r="F8" s="153"/>
      <c r="G8" s="153"/>
      <c r="H8" s="153"/>
      <c r="I8" s="218"/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8"/>
  <sheetViews>
    <sheetView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B213" sqref="B213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  <row r="204" spans="1:12">
      <c r="A204" s="170">
        <f>'Historical NAV'!A1196</f>
        <v>45698</v>
      </c>
      <c r="B204" s="159">
        <v>0</v>
      </c>
      <c r="C204" s="159">
        <v>0</v>
      </c>
      <c r="D204" s="159">
        <v>-3843.67</v>
      </c>
      <c r="E204" s="159">
        <v>12543.56</v>
      </c>
      <c r="F204" s="159">
        <v>0</v>
      </c>
      <c r="G204" s="159">
        <v>0</v>
      </c>
      <c r="H204" s="159">
        <v>6675.5</v>
      </c>
      <c r="I204" s="159"/>
      <c r="J204" s="159"/>
      <c r="K204" s="159"/>
      <c r="L204" s="159">
        <f t="shared" ref="L204" si="47">SUM(B204:K204)</f>
        <v>15375.39</v>
      </c>
    </row>
    <row r="205" spans="1:12">
      <c r="A205" s="170">
        <f>'Historical NAV'!A1197</f>
        <v>45699</v>
      </c>
      <c r="B205" s="159">
        <v>0</v>
      </c>
      <c r="C205" s="159">
        <v>0</v>
      </c>
      <c r="D205" s="159">
        <v>0</v>
      </c>
      <c r="E205" s="159">
        <v>0</v>
      </c>
      <c r="F205" s="159">
        <v>0</v>
      </c>
      <c r="G205" s="159">
        <v>0</v>
      </c>
      <c r="H205" s="159">
        <v>-520.79999999999995</v>
      </c>
      <c r="I205" s="159"/>
      <c r="J205" s="159"/>
      <c r="K205" s="159"/>
      <c r="L205" s="159">
        <f t="shared" ref="L205" si="48">SUM(B205:K205)</f>
        <v>-520.79999999999995</v>
      </c>
    </row>
    <row r="206" spans="1:12">
      <c r="A206" s="170">
        <f>'Historical NAV'!A1198</f>
        <v>45700</v>
      </c>
      <c r="B206" s="159">
        <v>0</v>
      </c>
      <c r="C206" s="159">
        <v>0</v>
      </c>
      <c r="D206" s="159">
        <v>0</v>
      </c>
      <c r="E206" s="159">
        <v>6250</v>
      </c>
      <c r="F206" s="159">
        <v>0</v>
      </c>
      <c r="G206" s="159">
        <v>0</v>
      </c>
      <c r="H206" s="159">
        <v>-1289</v>
      </c>
      <c r="I206" s="159"/>
      <c r="J206" s="159"/>
      <c r="K206" s="159"/>
      <c r="L206" s="159">
        <f t="shared" ref="L206" si="49">SUM(B206:K206)</f>
        <v>4961</v>
      </c>
    </row>
    <row r="207" spans="1:12">
      <c r="A207" s="170">
        <f>'Historical NAV'!A1199</f>
        <v>45701</v>
      </c>
      <c r="B207" s="159">
        <v>0</v>
      </c>
      <c r="C207" s="159">
        <v>0</v>
      </c>
      <c r="D207" s="159">
        <v>0</v>
      </c>
      <c r="E207" s="159">
        <v>145241.37</v>
      </c>
      <c r="F207" s="159">
        <v>0</v>
      </c>
      <c r="G207" s="159">
        <v>0</v>
      </c>
      <c r="H207" s="159">
        <v>3058.3</v>
      </c>
      <c r="I207" s="159"/>
      <c r="J207" s="159"/>
      <c r="K207" s="159"/>
      <c r="L207" s="159">
        <f t="shared" ref="L207" si="50">SUM(B207:K207)</f>
        <v>148299.66999999998</v>
      </c>
    </row>
    <row r="208" spans="1:12">
      <c r="A208" s="170">
        <f>'Historical NAV'!A1200</f>
        <v>45702</v>
      </c>
      <c r="B208" s="159">
        <v>0</v>
      </c>
      <c r="C208" s="159">
        <v>0</v>
      </c>
      <c r="D208" s="159">
        <v>0</v>
      </c>
      <c r="E208" s="159">
        <v>25000</v>
      </c>
      <c r="F208" s="159">
        <v>0</v>
      </c>
      <c r="G208" s="159">
        <v>0</v>
      </c>
      <c r="H208" s="159">
        <v>2407.6</v>
      </c>
      <c r="I208" s="159"/>
      <c r="J208" s="159"/>
      <c r="K208" s="159"/>
      <c r="L208" s="159">
        <f t="shared" ref="L208" si="51">SUM(B208:K208)</f>
        <v>27407.599999999999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L31" sqref="L31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>IF(D18=0, "", D18)</f>
        <v>1.6999999999999999E-3</v>
      </c>
      <c r="E4" s="8">
        <f t="shared" ref="E4:L5" ca="1" si="0">IF(E18=0, "", E18)</f>
        <v>3.0108225232103156E-3</v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4.4421367950814512E-4</v>
      </c>
      <c r="J4" s="8">
        <f t="shared" ca="1" si="0"/>
        <v>4.7222237599906514E-3</v>
      </c>
      <c r="K4" s="8">
        <f ca="1">J4</f>
        <v>4.7222237599906514E-3</v>
      </c>
      <c r="L4" s="8">
        <f t="shared" ca="1" si="0"/>
        <v>6.8651093749808378E-2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>
        <f t="shared" si="0"/>
        <v>0.01</v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0.01</v>
      </c>
      <c r="K5" s="8">
        <f>J5</f>
        <v>0.01</v>
      </c>
      <c r="L5" s="8">
        <f>L19+J5</f>
        <v>8.299999999999999E-2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>
        <f t="array" ref="E6">IFERROR(_xll.BDP($B6,"INTERVAL_PERCENT_CHANGE", "END_DATE_OVERRIDE="&amp;TEXT(E$17,"yyyymmdd"), "START_DATE_OVERRIDE="&amp;TEXT(E$16,"yyyymmdd"))/100, "")</f>
        <v>1.4709616179250269E-2</v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-7.1953390000000007E-5</v>
      </c>
      <c r="J6" s="8">
        <f>_xll.BDP($B6,"CURRENT_TRR_MTD")/100</f>
        <v>1.2937829999999999E-2</v>
      </c>
      <c r="K6" s="8">
        <f>_xll.BDP(B6,"CHG_PCT_1M")/100</f>
        <v>1.967257E-2</v>
      </c>
      <c r="L6" s="8">
        <f t="array" ref="L6">_xll.BDP($B6,"CHG_PCT_YTD")/100</f>
        <v>3.9614869999999996E-2</v>
      </c>
      <c r="N6" t="s">
        <v>300</v>
      </c>
      <c r="O6" s="278">
        <f>SUM(O4:O5)/SUM(O4:P5)</f>
        <v>0.96857291803053425</v>
      </c>
      <c r="P6" s="278">
        <f>SUM(P4:P5)/SUM(O4:P5)</f>
        <v>3.1427081969465677E-2</v>
      </c>
      <c r="Q6" s="278">
        <f>SUM(O6:P6)</f>
        <v>0.99999999999999989</v>
      </c>
      <c r="S6" t="s">
        <v>291</v>
      </c>
      <c r="T6" s="286">
        <f>($T$3+T$4)*U6</f>
        <v>25472.594984098447</v>
      </c>
      <c r="U6" s="8">
        <f>VLOOKUP("new_equity", 'Email input'!F:G, 2, FALSE)/100</f>
        <v>3.8419033999999996E-4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>
        <f t="array" ref="E7">IFERROR(_xll.BDP($B7,"INTERVAL_PERCENT_CHANGE", "END_DATE_OVERRIDE="&amp;TEXT(E$17,"yyyymmdd"), "START_DATE_OVERRIDE="&amp;TEXT(E$16,"yyyymmdd"))/100, "")</f>
        <v>2.9006142482705676E-2</v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3.811952E-3</v>
      </c>
      <c r="J7" s="8">
        <f t="array" ref="J7">_xll.BDP($B7,"CURRENT_TRR_MTD")/100</f>
        <v>2.9991650000000002E-2</v>
      </c>
      <c r="K7" s="8">
        <f>_xll.BDP(B7,"CHG_PCT_1M")/100</f>
        <v>3.1413380000000005E-2</v>
      </c>
      <c r="L7" s="8">
        <f t="array" ref="L7">_xll.BDP($B7,"CHG_PCT_YTD")/100</f>
        <v>5.247052E-2</v>
      </c>
      <c r="N7" s="47" t="s">
        <v>95</v>
      </c>
      <c r="O7" s="295">
        <f ca="1">OFFSET('Historical NAV'!F1,COUNT('Historical NAV'!A:A),,,)</f>
        <v>29578.204681098461</v>
      </c>
      <c r="P7" s="296" t="s">
        <v>58</v>
      </c>
      <c r="Q7" s="297">
        <f ca="1">SUM(O7:P7)</f>
        <v>29578.204681098461</v>
      </c>
      <c r="S7" t="s">
        <v>292</v>
      </c>
      <c r="T7" s="286">
        <f>($T$3+T$4)*U7</f>
        <v>97105.41299642298</v>
      </c>
      <c r="U7" s="8">
        <f>VLOOKUP("Fixed Income", 'Email input'!F:G, 2, FALSE)/100</f>
        <v>1.46459211E-3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>
        <f t="array" ref="E8">IFERROR(_xll.BDP($B8,"INTERVAL_PERCENT_CHANGE", "END_DATE_OVERRIDE="&amp;TEXT(E$17,"yyyymmdd"), "START_DATE_OVERRIDE="&amp;TEXT(E$16,"yyyymmdd"))/100, "")</f>
        <v>1.7232742471600473E-2</v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1.188679E-3</v>
      </c>
      <c r="J8" s="8">
        <f t="array" ref="J8">_xll.BDP($B8,"CURRENT_TRR_MTD")/100</f>
        <v>1.6870650000000001E-2</v>
      </c>
      <c r="K8" s="8">
        <f>_xll.BDP(B8,"CHG_PCT_1M")/100</f>
        <v>3.2033520000000003E-2</v>
      </c>
      <c r="L8" s="8">
        <f t="array" ref="L8">_xll.BDP($B8,"CHG_PCT_YTD")/100</f>
        <v>5.151998E-2</v>
      </c>
      <c r="N8" t="s">
        <v>301</v>
      </c>
      <c r="O8" s="69">
        <f ca="1">OFFSET('Historical NAV'!J1,COUNT('Historical NAV'!A:A),,,)</f>
        <v>313092.96655210108</v>
      </c>
      <c r="P8" s="280">
        <f>SUM(P4:P5)*P9</f>
        <v>21512.876600000003</v>
      </c>
      <c r="Q8" s="280">
        <f ca="1">SUM(O8:P8)</f>
        <v>334605.84315210109</v>
      </c>
      <c r="S8" s="47" t="s">
        <v>293</v>
      </c>
      <c r="T8" s="287">
        <f>($T$3+T$4)*U8</f>
        <v>190170.7609033341</v>
      </c>
      <c r="U8" s="207">
        <f>VLOOKUP("Cash", 'Email input'!F:G, 2, FALSE)/100</f>
        <v>2.8682499500000003E-3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>
        <f t="array" ref="E9">IFERROR(_xll.BDP($B9,"INTERVAL_PERCENT_CHANGE", "END_DATE_OVERRIDE="&amp;TEXT(E$17,"yyyymmdd"), "START_DATE_OVERRIDE="&amp;TEXT(E$16,"yyyymmdd"))/100, "")</f>
        <v>4.4993404317922783E-3</v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4.6307570000000001E-3</v>
      </c>
      <c r="J9" s="8">
        <f t="array" ref="J9">_xll.BDP($B9,"CURRENT_TRR_MTD")/100</f>
        <v>9.3716489999999993E-3</v>
      </c>
      <c r="K9" s="8">
        <f>_xll.BDP(B9,"CHG_PCT_1M")/100</f>
        <v>1.978572E-2</v>
      </c>
      <c r="L9" s="8">
        <f t="array" ref="L9">_xll.BDP($B9,"CHG_PCT_YTD")/100</f>
        <v>1.405519E-2</v>
      </c>
      <c r="N9" t="s">
        <v>302</v>
      </c>
      <c r="O9" s="8">
        <f ca="1">OFFSET('Historical NAV'!K1,COUNT('Historical NAV'!A:A),,,)</f>
        <v>4.7222237599906514E-3</v>
      </c>
      <c r="P9" s="285">
        <f>J5</f>
        <v>0.01</v>
      </c>
      <c r="S9" t="s">
        <v>294</v>
      </c>
      <c r="T9" s="288">
        <f>SUM(T5:T8)</f>
        <v>312748.76888385555</v>
      </c>
      <c r="V9" s="312">
        <f>T9/(T3+T4)</f>
        <v>4.7170324000000005E-3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1.5933051631300418E-2</v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-5.4773820000000002E-5</v>
      </c>
      <c r="J10" s="8">
        <f t="array" ref="J10">_xll.BDP($B10,"CURRENT_TRR_MTD")/100</f>
        <v>3.5114119999999999E-2</v>
      </c>
      <c r="K10" s="8">
        <f>_xll.BDP(B10,"CHG_PCT_1M")/100</f>
        <v>2.1105019999999999E-2</v>
      </c>
      <c r="L10" s="8">
        <f t="array" ref="L10">_xll.BDP($B10,"CHG_PCT_YTD")/100</f>
        <v>7.2124560000000004E-2</v>
      </c>
      <c r="N10" s="275" t="s">
        <v>297</v>
      </c>
      <c r="O10" s="281">
        <f ca="1">O4+O5+O8</f>
        <v>66615111.346552104</v>
      </c>
      <c r="P10" s="276">
        <f>P4+P5+P8</f>
        <v>2172800.5366000002</v>
      </c>
      <c r="Q10" s="281">
        <f ca="1">SUM(O10:P10)</f>
        <v>68787911.883152097</v>
      </c>
      <c r="S10" t="s">
        <v>295</v>
      </c>
      <c r="T10" s="286">
        <f>SUM('Email input'!D5:D6)</f>
        <v>21240.635460999969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-17137.305613659322</v>
      </c>
      <c r="U11" s="8"/>
    </row>
    <row r="12" spans="2:22" ht="15.75" collapsed="1" thickTop="1">
      <c r="S12" t="s">
        <v>296</v>
      </c>
      <c r="T12" s="280">
        <f>SUM('Email input'!D7:D9)</f>
        <v>-3759.1273697000001</v>
      </c>
      <c r="U12" s="8"/>
      <c r="V12" s="41"/>
    </row>
    <row r="13" spans="2:22" ht="15.75" thickBot="1">
      <c r="S13" s="275" t="s">
        <v>297</v>
      </c>
      <c r="T13" s="281">
        <f>T3+T4+T9+T10+T12+T11</f>
        <v>66615111.351361498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66615111.351361498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>
        <f>T13</f>
        <v>66615111.351361498</v>
      </c>
    </row>
    <row r="18" spans="2:21">
      <c r="B18" t="s">
        <v>326</v>
      </c>
      <c r="D18" s="298">
        <v>1.6999999999999999E-3</v>
      </c>
      <c r="E18" s="298">
        <f ca="1">Dashboard!$B$4</f>
        <v>3.0108225232103156E-3</v>
      </c>
      <c r="F18" s="298"/>
      <c r="G18" s="298"/>
      <c r="H18" s="298"/>
      <c r="I18" s="8">
        <f ca="1">Dashboard!B9</f>
        <v>4.4421367950814512E-4</v>
      </c>
      <c r="J18" s="8">
        <f ca="1">Dashboard!B5</f>
        <v>4.7222237599906514E-3</v>
      </c>
      <c r="K18" s="8"/>
      <c r="L18" s="69">
        <f ca="1">Dashboard!B6</f>
        <v>6.8651093749808378E-2</v>
      </c>
      <c r="O18" s="69"/>
      <c r="T18" s="284">
        <f ca="1">T16-T17</f>
        <v>0</v>
      </c>
    </row>
    <row r="19" spans="2:21">
      <c r="B19" t="s">
        <v>327</v>
      </c>
      <c r="D19" s="298">
        <v>0</v>
      </c>
      <c r="E19" s="298">
        <v>0.01</v>
      </c>
      <c r="F19" s="298"/>
      <c r="G19" s="298"/>
      <c r="H19" s="298"/>
      <c r="J19">
        <f>SUM(D19:H19)</f>
        <v>0.01</v>
      </c>
      <c r="L19" s="41">
        <v>7.2999999999999995E-2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131008.15846070999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346</v>
      </c>
      <c r="D4" s="282">
        <v>164603.29999999999</v>
      </c>
      <c r="F4" t="s">
        <v>292</v>
      </c>
      <c r="G4">
        <v>0.14645921100000001</v>
      </c>
    </row>
    <row r="5" spans="1:7">
      <c r="A5" t="s">
        <v>337</v>
      </c>
      <c r="B5" s="282" t="s">
        <v>320</v>
      </c>
      <c r="C5" t="s">
        <v>347</v>
      </c>
      <c r="D5" s="282">
        <v>-472182.14569440001</v>
      </c>
      <c r="F5" t="s">
        <v>293</v>
      </c>
      <c r="G5">
        <v>0.28682499500000003</v>
      </c>
    </row>
    <row r="6" spans="1:7">
      <c r="A6" t="s">
        <v>337</v>
      </c>
      <c r="B6" s="282" t="s">
        <v>320</v>
      </c>
      <c r="C6" t="s">
        <v>317</v>
      </c>
      <c r="D6" s="282">
        <v>493422.78115539998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-3444.8210347999998</v>
      </c>
    </row>
    <row r="9" spans="1:7">
      <c r="A9" t="s">
        <v>337</v>
      </c>
      <c r="B9" s="282" t="s">
        <v>320</v>
      </c>
      <c r="C9" t="s">
        <v>318</v>
      </c>
      <c r="D9" s="282">
        <v>-125.96633490000001</v>
      </c>
      <c r="F9" t="s">
        <v>321</v>
      </c>
      <c r="G9">
        <v>3.8419033999999998E-2</v>
      </c>
    </row>
    <row r="10" spans="1:7">
      <c r="A10" t="s">
        <v>337</v>
      </c>
      <c r="B10" s="282" t="s">
        <v>320</v>
      </c>
      <c r="C10" t="s">
        <v>297</v>
      </c>
      <c r="D10" s="282">
        <v>66615111.351361498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66615111.351361498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313092.96655210108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4.7222237599906514E-3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5.1218794354532804E-2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4.4421367950814512E-4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8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8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>
        <f>'Historical NAV'!A1194</f>
        <v>45694</v>
      </c>
      <c r="B1194" s="173">
        <f>'Historical NAV'!B1194</f>
        <v>66395828.245891698</v>
      </c>
      <c r="C1194" s="173">
        <f>'Historical NAV'!C1194</f>
        <v>0</v>
      </c>
      <c r="D1194" s="173" t="e">
        <f>'Historical NAV'!#REF!</f>
        <v>#REF!</v>
      </c>
      <c r="E1194" s="173" t="e">
        <f>'Historical NAV'!#REF!</f>
        <v>#REF!</v>
      </c>
      <c r="F1194" s="67">
        <f t="shared" ref="F1194" si="1136">B1194</f>
        <v>66395828.245891698</v>
      </c>
      <c r="G1194" s="67">
        <f t="shared" ref="G1194" si="1137">IF(MONTH(A1194)=MONTH(A1193),G1193,F1193)</f>
        <v>66302018.384809397</v>
      </c>
      <c r="H1194" s="176">
        <f>B1194-C1194-F1193-'Daily P&amp;L breakdown'!H202</f>
        <v>17097.058332294226</v>
      </c>
      <c r="I1194" s="70">
        <f t="shared" ref="I1194" si="1138">H1194/B1193</f>
        <v>2.5757463228881402E-4</v>
      </c>
      <c r="J1194" s="67">
        <f t="shared" ref="J1194" si="1139">IF(MONTH(A1194)=MONTH(A1193),J1193+H1194,H1194)</f>
        <v>85172.521082300547</v>
      </c>
      <c r="K1194" s="70">
        <f t="shared" ref="K1194" si="1140">(1+K1193)*(1+I1194)-1</f>
        <v>0.13289797992996122</v>
      </c>
      <c r="L1194" s="70">
        <f t="shared" ref="L1194" si="1141">1+I1194</f>
        <v>1.0002575746322888</v>
      </c>
      <c r="M1194" s="70">
        <f>PRODUCT($L$2:L1194)-1</f>
        <v>0.46283365769379259</v>
      </c>
      <c r="N1194" s="70">
        <f>PRODUCT($L$909:L1194)-1</f>
        <v>0.15595138377559037</v>
      </c>
      <c r="O1194" s="70">
        <f>AVERAGE($I$909:I1194)*252</f>
        <v>0.25008586829866147</v>
      </c>
      <c r="P1194" s="70">
        <f>STDEV($I$909:I1194)*252^0.5</f>
        <v>0.49370327157395122</v>
      </c>
      <c r="Q1194" s="67">
        <f t="shared" ref="Q1194" si="1142">B1194-C1194-F1163</f>
        <v>-9529808.3918275014</v>
      </c>
      <c r="R1194" s="70">
        <f t="shared" ref="R1194" si="1143">Q1194/B1163</f>
        <v>-0.125515027780395</v>
      </c>
      <c r="S1194" s="67">
        <f t="shared" ref="S1194" si="1144">B1194-C1194-F1103</f>
        <v>3161898.886089094</v>
      </c>
      <c r="T1194" s="70">
        <f t="shared" ref="T1194" si="1145">S1194/B1103</f>
        <v>5.0003201099489039E-2</v>
      </c>
      <c r="U1194" s="67">
        <f t="shared" ref="U1194" si="1146">B1194-C1194-F828</f>
        <v>29808380.075891696</v>
      </c>
      <c r="V1194" s="70">
        <f t="shared" ref="V1194" si="1147">U1194/B828</f>
        <v>0.81471601783731873</v>
      </c>
      <c r="W1194" s="87">
        <f t="shared" ref="W1194" si="1148">O1194/P1194</f>
        <v>0.50655096430974611</v>
      </c>
      <c r="X1194" s="142">
        <f t="shared" si="192"/>
        <v>1.7857142857142857E-4</v>
      </c>
      <c r="Y1194" s="139">
        <f t="shared" ref="Y1194" si="1149">I1194-X1194</f>
        <v>7.9003203717385452E-5</v>
      </c>
      <c r="Z1194" s="139">
        <f t="shared" ref="Z1194" si="1150">IF(Y1194&lt;0,Y1194,0)</f>
        <v>0</v>
      </c>
      <c r="AA1194" s="139">
        <f t="shared" ref="AA1194" si="1151">Z1194^2</f>
        <v>0</v>
      </c>
      <c r="AB1194" s="144">
        <f t="shared" ref="AB1194" si="1152">AVERAGE(Y941:Y1194)/AVERAGE(AA941:AA1194)</f>
        <v>3.0260445652119783</v>
      </c>
      <c r="AC1194" s="144">
        <f t="shared" ref="AC1194" si="1153">AVERAGE(I1163:I1194)-_xlfn.NORM.S.INV(0.95)*_xlfn.STDEV.S(I1163:I1194)</f>
        <v>-4.6112852105102825E-2</v>
      </c>
      <c r="AD1194" s="144">
        <f t="shared" ref="AD1194" si="1154">AVERAGE(I1103:I1194)-_xlfn.NORM.S.INV(0.95)*_xlfn.STDEV.S(I1103:I1194)</f>
        <v>-3.9731280653561546E-2</v>
      </c>
      <c r="AE1194" s="144">
        <f t="shared" ref="AE1194" si="1155">AVERAGE(I828:I1194)-_xlfn.NORM.S.INV(0.95)*_xlfn.STDEV.S(I828:I1194)</f>
        <v>-4.872465810870881E-2</v>
      </c>
    </row>
    <row r="1195" spans="1:31">
      <c r="A1195" s="172">
        <f>'Historical NAV'!A1195</f>
        <v>45695</v>
      </c>
      <c r="B1195" s="173">
        <f>'Historical NAV'!B1195</f>
        <v>66415024.908763699</v>
      </c>
      <c r="C1195" s="173">
        <f>'Historical NAV'!C1195</f>
        <v>0</v>
      </c>
      <c r="D1195" s="173" t="e">
        <f>'Historical NAV'!#REF!</f>
        <v>#REF!</v>
      </c>
      <c r="E1195" s="173" t="e">
        <f>'Historical NAV'!#REF!</f>
        <v>#REF!</v>
      </c>
      <c r="F1195" s="67">
        <f t="shared" ref="F1195" si="1156">B1195</f>
        <v>66415024.908763699</v>
      </c>
      <c r="G1195" s="67">
        <f t="shared" ref="G1195" si="1157">IF(MONTH(A1195)=MONTH(A1194),G1194,F1194)</f>
        <v>66302018.384809397</v>
      </c>
      <c r="H1195" s="176">
        <f>B1195-C1195-F1194-'Daily P&amp;L breakdown'!H203</f>
        <v>18589.06287200153</v>
      </c>
      <c r="I1195" s="70">
        <f t="shared" ref="I1195" si="1158">H1195/B1194</f>
        <v>2.7997335620482669E-4</v>
      </c>
      <c r="J1195" s="67">
        <f t="shared" ref="J1195" si="1159">IF(MONTH(A1195)=MONTH(A1194),J1194+H1195,H1195)</f>
        <v>103761.58395430207</v>
      </c>
      <c r="K1195" s="70">
        <f t="shared" ref="K1195" si="1160">(1+K1194)*(1+I1195)-1</f>
        <v>0.13321516117963994</v>
      </c>
      <c r="L1195" s="70">
        <f t="shared" ref="L1195" si="1161">1+I1195</f>
        <v>1.0002799733562049</v>
      </c>
      <c r="M1195" s="70">
        <f>PRODUCT($L$2:L1195)-1</f>
        <v>0.46324321214250652</v>
      </c>
      <c r="N1195" s="70">
        <f>PRODUCT($L$909:L1195)-1</f>
        <v>0.15627501936411581</v>
      </c>
      <c r="O1195" s="70">
        <f>AVERAGE($I$909:I1195)*252</f>
        <v>0.24946031923059514</v>
      </c>
      <c r="P1195" s="70">
        <f>STDEV($I$909:I1195)*252^0.5</f>
        <v>0.49283985030636573</v>
      </c>
      <c r="Q1195" s="67">
        <f t="shared" ref="Q1195" si="1162">B1195-C1195-F1164</f>
        <v>-9513525.7708637938</v>
      </c>
      <c r="R1195" s="70">
        <f t="shared" ref="R1195" si="1163">Q1195/B1164</f>
        <v>-0.12529576405330206</v>
      </c>
      <c r="S1195" s="67">
        <f t="shared" ref="S1195" si="1164">B1195-C1195-F1104</f>
        <v>1420775.3078961</v>
      </c>
      <c r="T1195" s="70">
        <f t="shared" ref="T1195" si="1165">S1195/B1104</f>
        <v>2.1860015564779046E-2</v>
      </c>
      <c r="U1195" s="67">
        <f t="shared" ref="U1195" si="1166">B1195-C1195-F829</f>
        <v>29119660.768763699</v>
      </c>
      <c r="V1195" s="70">
        <f t="shared" ref="V1195" si="1167">U1195/B829</f>
        <v>0.78078499674795498</v>
      </c>
      <c r="W1195" s="87">
        <f t="shared" ref="W1195" si="1168">O1195/P1195</f>
        <v>0.50616913197161773</v>
      </c>
      <c r="X1195" s="142">
        <f t="shared" si="192"/>
        <v>1.7857142857142857E-4</v>
      </c>
      <c r="Y1195" s="139">
        <f t="shared" ref="Y1195" si="1169">I1195-X1195</f>
        <v>1.0140192763339812E-4</v>
      </c>
      <c r="Z1195" s="139">
        <f t="shared" ref="Z1195" si="1170">IF(Y1195&lt;0,Y1195,0)</f>
        <v>0</v>
      </c>
      <c r="AA1195" s="139">
        <f t="shared" ref="AA1195" si="1171">Z1195^2</f>
        <v>0</v>
      </c>
      <c r="AB1195" s="144">
        <f t="shared" ref="AB1195" si="1172">AVERAGE(Y942:Y1195)/AVERAGE(AA942:AA1195)</f>
        <v>2.8733437021885266</v>
      </c>
      <c r="AC1195" s="144">
        <f t="shared" ref="AC1195" si="1173">AVERAGE(I1164:I1195)-_xlfn.NORM.S.INV(0.95)*_xlfn.STDEV.S(I1164:I1195)</f>
        <v>-4.633483538559946E-2</v>
      </c>
      <c r="AD1195" s="144">
        <f t="shared" ref="AD1195" si="1174">AVERAGE(I1104:I1195)-_xlfn.NORM.S.INV(0.95)*_xlfn.STDEV.S(I1104:I1195)</f>
        <v>-3.8960326575057394E-2</v>
      </c>
      <c r="AE1195" s="144">
        <f t="shared" ref="AE1195" si="1175">AVERAGE(I829:I1195)-_xlfn.NORM.S.INV(0.95)*_xlfn.STDEV.S(I829:I1195)</f>
        <v>-4.8735991211494946E-2</v>
      </c>
    </row>
    <row r="1196" spans="1:31">
      <c r="A1196" s="172">
        <f>'Historical NAV'!A1196</f>
        <v>45698</v>
      </c>
      <c r="B1196" s="173">
        <f>'Historical NAV'!B1196</f>
        <v>66431670.820359498</v>
      </c>
      <c r="C1196" s="173">
        <f>'Historical NAV'!C1196</f>
        <v>0</v>
      </c>
      <c r="D1196" s="173" t="e">
        <f>'Historical NAV'!#REF!</f>
        <v>#REF!</v>
      </c>
      <c r="E1196" s="173" t="e">
        <f>'Historical NAV'!#REF!</f>
        <v>#REF!</v>
      </c>
      <c r="F1196" s="67">
        <f t="shared" ref="F1196" si="1176">B1196</f>
        <v>66431670.820359498</v>
      </c>
      <c r="G1196" s="67">
        <f t="shared" ref="G1196" si="1177">IF(MONTH(A1196)=MONTH(A1195),G1195,F1195)</f>
        <v>66302018.384809397</v>
      </c>
      <c r="H1196" s="176">
        <f>B1196-C1196-F1195-'Daily P&amp;L breakdown'!H204</f>
        <v>9970.4115957990289</v>
      </c>
      <c r="I1196" s="70">
        <f t="shared" ref="I1196" si="1178">H1196/B1195</f>
        <v>1.5012283153541961E-4</v>
      </c>
      <c r="J1196" s="67">
        <f t="shared" ref="J1196" si="1179">IF(MONTH(A1196)=MONTH(A1195),J1195+H1196,H1196)</f>
        <v>113731.9955501011</v>
      </c>
      <c r="K1196" s="70">
        <f t="shared" ref="K1196" si="1180">(1+K1195)*(1+I1196)-1</f>
        <v>0.13338528264837524</v>
      </c>
      <c r="L1196" s="70">
        <f t="shared" ref="L1196" si="1181">1+I1196</f>
        <v>1.0001501228315355</v>
      </c>
      <c r="M1196" s="70">
        <f>PRODUCT($L$2:L1196)-1</f>
        <v>0.46346287835673849</v>
      </c>
      <c r="N1196" s="70">
        <f>PRODUCT($L$909:L1196)-1</f>
        <v>0.15644860264405658</v>
      </c>
      <c r="O1196" s="70">
        <f>AVERAGE($I$909:I1196)*252</f>
        <v>0.2487254950441935</v>
      </c>
      <c r="P1196" s="70">
        <f>STDEV($I$909:I1196)*252^0.5</f>
        <v>0.49198112223825807</v>
      </c>
      <c r="Q1196" s="67">
        <f t="shared" ref="Q1196" si="1182">B1196-C1196-F1165</f>
        <v>-9277557.9846142083</v>
      </c>
      <c r="R1196" s="70">
        <f t="shared" ref="R1196" si="1183">Q1196/B1165</f>
        <v>-0.12254196920316167</v>
      </c>
      <c r="S1196" s="67">
        <f t="shared" ref="S1196" si="1184">B1196-C1196-F1105</f>
        <v>663178.60855029523</v>
      </c>
      <c r="T1196" s="70">
        <f t="shared" ref="T1196" si="1185">S1196/B1105</f>
        <v>1.0083530673236519E-2</v>
      </c>
      <c r="U1196" s="67">
        <f t="shared" ref="U1196" si="1186">B1196-C1196-F830</f>
        <v>29853741.910359502</v>
      </c>
      <c r="V1196" s="70">
        <f t="shared" ref="V1196" si="1187">U1196/B830</f>
        <v>0.81616818666290925</v>
      </c>
      <c r="W1196" s="87">
        <f t="shared" ref="W1196" si="1188">O1196/P1196</f>
        <v>0.50555902208731496</v>
      </c>
      <c r="X1196" s="142">
        <f t="shared" si="192"/>
        <v>1.7857142857142857E-4</v>
      </c>
      <c r="Y1196" s="139">
        <f t="shared" ref="Y1196" si="1189">I1196-X1196</f>
        <v>-2.8448597036008966E-5</v>
      </c>
      <c r="Z1196" s="139">
        <f t="shared" ref="Z1196" si="1190">IF(Y1196&lt;0,Y1196,0)</f>
        <v>-2.8448597036008966E-5</v>
      </c>
      <c r="AA1196" s="139">
        <f t="shared" ref="AA1196" si="1191">Z1196^2</f>
        <v>8.0932267331721807E-10</v>
      </c>
      <c r="AB1196" s="144">
        <f t="shared" ref="AB1196" si="1192">AVERAGE(Y943:Y1196)/AVERAGE(AA943:AA1196)</f>
        <v>2.7882423984225029</v>
      </c>
      <c r="AC1196" s="144">
        <f t="shared" ref="AC1196" si="1193">AVERAGE(I1165:I1196)-_xlfn.NORM.S.INV(0.95)*_xlfn.STDEV.S(I1165:I1196)</f>
        <v>-4.6331484009556952E-2</v>
      </c>
      <c r="AD1196" s="144">
        <f t="shared" ref="AD1196" si="1194">AVERAGE(I1105:I1196)-_xlfn.NORM.S.INV(0.95)*_xlfn.STDEV.S(I1105:I1196)</f>
        <v>-3.9017573939783522E-2</v>
      </c>
      <c r="AE1196" s="144">
        <f t="shared" ref="AE1196" si="1195">AVERAGE(I830:I1196)-_xlfn.NORM.S.INV(0.95)*_xlfn.STDEV.S(I830:I1196)</f>
        <v>-4.876603108483852E-2</v>
      </c>
    </row>
    <row r="1197" spans="1:31">
      <c r="A1197" s="172">
        <f>'Historical NAV'!A1197</f>
        <v>45699</v>
      </c>
      <c r="B1197" s="173">
        <f>'Historical NAV'!B1197</f>
        <v>66430092.593976997</v>
      </c>
      <c r="C1197" s="173">
        <f>'Historical NAV'!C1197</f>
        <v>0</v>
      </c>
      <c r="D1197" s="173" t="e">
        <f>'Historical NAV'!#REF!</f>
        <v>#REF!</v>
      </c>
      <c r="E1197" s="173" t="e">
        <f>'Historical NAV'!#REF!</f>
        <v>#REF!</v>
      </c>
      <c r="F1197" s="67">
        <f t="shared" ref="F1197" si="1196">B1197</f>
        <v>66430092.593976997</v>
      </c>
      <c r="G1197" s="67">
        <f t="shared" ref="G1197" si="1197">IF(MONTH(A1197)=MONTH(A1196),G1196,F1196)</f>
        <v>66302018.384809397</v>
      </c>
      <c r="H1197" s="176">
        <f>B1197-C1197-F1196-'Daily P&amp;L breakdown'!H205</f>
        <v>-1057.4263825014234</v>
      </c>
      <c r="I1197" s="70">
        <f t="shared" ref="I1197" si="1198">H1197/B1196</f>
        <v>-1.591750394718886E-5</v>
      </c>
      <c r="J1197" s="67">
        <f t="shared" ref="J1197" si="1199">IF(MONTH(A1197)=MONTH(A1196),J1196+H1197,H1197)</f>
        <v>112674.56916759968</v>
      </c>
      <c r="K1197" s="70">
        <f t="shared" ref="K1197" si="1200">(1+K1196)*(1+I1197)-1</f>
        <v>0.13336724198366512</v>
      </c>
      <c r="L1197" s="70">
        <f t="shared" ref="L1197" si="1201">1+I1197</f>
        <v>0.99998408249605286</v>
      </c>
      <c r="M1197" s="70">
        <f>PRODUCT($L$2:L1197)-1</f>
        <v>0.46343958368059579</v>
      </c>
      <c r="N1197" s="70">
        <f>PRODUCT($L$909:L1197)-1</f>
        <v>0.15643019486885934</v>
      </c>
      <c r="O1197" s="70">
        <f>AVERAGE($I$909:I1197)*252</f>
        <v>0.24785097357001049</v>
      </c>
      <c r="P1197" s="70">
        <f>STDEV($I$909:I1197)*252^0.5</f>
        <v>0.49112713854426748</v>
      </c>
      <c r="Q1197" s="67">
        <f t="shared" ref="Q1197" si="1202">B1197-C1197-F1166</f>
        <v>-7217949.9227906093</v>
      </c>
      <c r="R1197" s="70">
        <f t="shared" ref="R1197" si="1203">Q1197/B1166</f>
        <v>-9.8005998206229086E-2</v>
      </c>
      <c r="S1197" s="67">
        <f t="shared" ref="S1197" si="1204">B1197-C1197-F1106</f>
        <v>-1623262.6803596094</v>
      </c>
      <c r="T1197" s="70">
        <f t="shared" ref="T1197" si="1205">S1197/B1106</f>
        <v>-2.3852794234992748E-2</v>
      </c>
      <c r="U1197" s="67">
        <f t="shared" ref="U1197" si="1206">B1197-C1197-F831</f>
        <v>29649302.203976996</v>
      </c>
      <c r="V1197" s="70">
        <f t="shared" ref="V1197" si="1207">U1197/B831</f>
        <v>0.80610834866773495</v>
      </c>
      <c r="W1197" s="87">
        <f t="shared" ref="W1197" si="1208">O1197/P1197</f>
        <v>0.50465745856491817</v>
      </c>
      <c r="X1197" s="142">
        <f t="shared" si="192"/>
        <v>1.7857142857142857E-4</v>
      </c>
      <c r="Y1197" s="139">
        <f t="shared" ref="Y1197" si="1209">I1197-X1197</f>
        <v>-1.9448893251861743E-4</v>
      </c>
      <c r="Z1197" s="139">
        <f t="shared" ref="Z1197" si="1210">IF(Y1197&lt;0,Y1197,0)</f>
        <v>-1.9448893251861743E-4</v>
      </c>
      <c r="AA1197" s="139">
        <f t="shared" ref="AA1197" si="1211">Z1197^2</f>
        <v>3.7825944872231323E-8</v>
      </c>
      <c r="AB1197" s="144">
        <f t="shared" ref="AB1197" si="1212">AVERAGE(Y944:Y1197)/AVERAGE(AA944:AA1197)</f>
        <v>2.7788396856785682</v>
      </c>
      <c r="AC1197" s="144">
        <f t="shared" ref="AC1197" si="1213">AVERAGE(I1166:I1197)-_xlfn.NORM.S.INV(0.95)*_xlfn.STDEV.S(I1166:I1197)</f>
        <v>-4.6218896301420613E-2</v>
      </c>
      <c r="AD1197" s="144">
        <f t="shared" ref="AD1197" si="1214">AVERAGE(I1106:I1197)-_xlfn.NORM.S.INV(0.95)*_xlfn.STDEV.S(I1106:I1197)</f>
        <v>-3.910519564423761E-2</v>
      </c>
      <c r="AE1197" s="144">
        <f t="shared" ref="AE1197" si="1215">AVERAGE(I831:I1197)-_xlfn.NORM.S.INV(0.95)*_xlfn.STDEV.S(I831:I1197)</f>
        <v>-4.8681495417721612E-2</v>
      </c>
    </row>
    <row r="1198" spans="1:31">
      <c r="A1198" s="172">
        <f>'Historical NAV'!A1198</f>
        <v>45700</v>
      </c>
      <c r="B1198" s="173">
        <f>'Historical NAV'!B1198</f>
        <v>66435397.653966203</v>
      </c>
      <c r="C1198" s="173">
        <f>'Historical NAV'!C1198</f>
        <v>0</v>
      </c>
      <c r="D1198" s="173" t="e">
        <f>'Historical NAV'!#REF!</f>
        <v>#REF!</v>
      </c>
      <c r="E1198" s="173" t="e">
        <f>'Historical NAV'!#REF!</f>
        <v>#REF!</v>
      </c>
      <c r="F1198" s="67">
        <f t="shared" ref="F1198" si="1216">B1198</f>
        <v>66435397.653966203</v>
      </c>
      <c r="G1198" s="67">
        <f t="shared" ref="G1198" si="1217">IF(MONTH(A1198)=MONTH(A1197),G1197,F1197)</f>
        <v>66302018.384809397</v>
      </c>
      <c r="H1198" s="176">
        <f>B1198-C1198-F1197-'Daily P&amp;L breakdown'!H206</f>
        <v>6594.0599892064929</v>
      </c>
      <c r="I1198" s="70">
        <f t="shared" ref="I1198" si="1218">H1198/B1197</f>
        <v>9.9263146139350026E-5</v>
      </c>
      <c r="J1198" s="67">
        <f t="shared" ref="J1198" si="1219">IF(MONTH(A1198)=MONTH(A1197),J1197+H1198,H1198)</f>
        <v>119268.62915680617</v>
      </c>
      <c r="K1198" s="70">
        <f t="shared" ref="K1198" si="1220">(1+K1197)*(1+I1198)-1</f>
        <v>0.13347974358183579</v>
      </c>
      <c r="L1198" s="70">
        <f t="shared" ref="L1198" si="1221">1+I1198</f>
        <v>1.0000992631461394</v>
      </c>
      <c r="M1198" s="70">
        <f>PRODUCT($L$2:L1198)-1</f>
        <v>0.46358484929785693</v>
      </c>
      <c r="N1198" s="70">
        <f>PRODUCT($L$909:L1198)-1</f>
        <v>0.15654498576829257</v>
      </c>
      <c r="O1198" s="70">
        <f>AVERAGE($I$909:I1198)*252</f>
        <v>0.24708257129158676</v>
      </c>
      <c r="P1198" s="70">
        <f>STDEV($I$909:I1198)*252^0.5</f>
        <v>0.49027739425473238</v>
      </c>
      <c r="Q1198" s="67">
        <f t="shared" ref="Q1198" si="1222">B1198-C1198-F1167</f>
        <v>-5839607.1395113021</v>
      </c>
      <c r="R1198" s="70">
        <f t="shared" ref="R1198" si="1223">Q1198/B1167</f>
        <v>-8.0797049494465076E-2</v>
      </c>
      <c r="S1198" s="67">
        <f t="shared" ref="S1198" si="1224">B1198-C1198-F1107</f>
        <v>-1209858.7924968898</v>
      </c>
      <c r="T1198" s="70">
        <f t="shared" ref="T1198" si="1225">S1198/B1107</f>
        <v>-1.7885345640672023E-2</v>
      </c>
      <c r="U1198" s="67">
        <f t="shared" ref="U1198" si="1226">B1198-C1198-F832</f>
        <v>28955514.7039662</v>
      </c>
      <c r="V1198" s="70">
        <f t="shared" ref="V1198" si="1227">U1198/B832</f>
        <v>0.77256150299600113</v>
      </c>
      <c r="W1198" s="87">
        <f t="shared" ref="W1198" si="1228">O1198/P1198</f>
        <v>0.50396484558945542</v>
      </c>
      <c r="X1198" s="142">
        <f t="shared" si="192"/>
        <v>1.7857142857142857E-4</v>
      </c>
      <c r="Y1198" s="139">
        <f t="shared" ref="Y1198" si="1229">I1198-X1198</f>
        <v>-7.9308282432078545E-5</v>
      </c>
      <c r="Z1198" s="139">
        <f t="shared" ref="Z1198" si="1230">IF(Y1198&lt;0,Y1198,0)</f>
        <v>-7.9308282432078545E-5</v>
      </c>
      <c r="AA1198" s="139">
        <f t="shared" ref="AA1198" si="1231">Z1198^2</f>
        <v>6.2898036623263385E-9</v>
      </c>
      <c r="AB1198" s="144">
        <f t="shared" ref="AB1198" si="1232">AVERAGE(Y945:Y1198)/AVERAGE(AA945:AA1198)</f>
        <v>2.8259714838529155</v>
      </c>
      <c r="AC1198" s="144">
        <f t="shared" ref="AC1198" si="1233">AVERAGE(I1167:I1198)-_xlfn.NORM.S.INV(0.95)*_xlfn.STDEV.S(I1167:I1198)</f>
        <v>-4.4757785035203966E-2</v>
      </c>
      <c r="AD1198" s="144">
        <f t="shared" ref="AD1198" si="1234">AVERAGE(I1107:I1198)-_xlfn.NORM.S.INV(0.95)*_xlfn.STDEV.S(I1107:I1198)</f>
        <v>-3.9104010750582605E-2</v>
      </c>
      <c r="AE1198" s="144">
        <f t="shared" ref="AE1198" si="1235">AVERAGE(I832:I1198)-_xlfn.NORM.S.INV(0.95)*_xlfn.STDEV.S(I832:I1198)</f>
        <v>-4.8695547778249741E-2</v>
      </c>
    </row>
    <row r="1199" spans="1:31">
      <c r="A1199" s="172"/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172"/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  <row r="1244" spans="6:31">
      <c r="F1244" s="67"/>
      <c r="G1244" s="67"/>
      <c r="H1244" s="67"/>
      <c r="I1244" s="70"/>
      <c r="J1244" s="67"/>
      <c r="K1244" s="70"/>
      <c r="L1244" s="70"/>
      <c r="M1244" s="70"/>
      <c r="N1244" s="70"/>
      <c r="O1244" s="70"/>
      <c r="P1244" s="70"/>
      <c r="Q1244" s="67"/>
      <c r="R1244" s="70"/>
      <c r="S1244" s="67"/>
      <c r="T1244" s="70"/>
      <c r="U1244" s="67"/>
      <c r="V1244" s="70"/>
      <c r="W1244" s="87"/>
      <c r="X1244" s="142"/>
      <c r="Y1244" s="139"/>
      <c r="Z1244" s="139"/>
      <c r="AA1244" s="139"/>
      <c r="AB1244" s="144"/>
      <c r="AC1244" s="144"/>
      <c r="AD1244" s="144"/>
      <c r="AE1244" s="144"/>
    </row>
    <row r="1245" spans="6:31">
      <c r="F1245" s="67"/>
      <c r="G1245" s="67"/>
      <c r="H1245" s="67"/>
      <c r="I1245" s="70"/>
      <c r="J1245" s="67"/>
      <c r="K1245" s="70"/>
      <c r="L1245" s="70"/>
      <c r="M1245" s="70"/>
      <c r="N1245" s="70"/>
      <c r="O1245" s="70"/>
      <c r="P1245" s="70"/>
      <c r="Q1245" s="67"/>
      <c r="R1245" s="70"/>
      <c r="S1245" s="67"/>
      <c r="T1245" s="70"/>
      <c r="U1245" s="67"/>
      <c r="V1245" s="70"/>
      <c r="W1245" s="87"/>
      <c r="X1245" s="142"/>
      <c r="Y1245" s="139"/>
      <c r="Z1245" s="139"/>
      <c r="AA1245" s="139"/>
      <c r="AB1245" s="144"/>
      <c r="AC1245" s="144"/>
      <c r="AD1245" s="144"/>
      <c r="AE1245" s="144"/>
    </row>
    <row r="1246" spans="6:31">
      <c r="F1246" s="67"/>
      <c r="G1246" s="67"/>
      <c r="H1246" s="67"/>
      <c r="I1246" s="70"/>
      <c r="J1246" s="67"/>
      <c r="K1246" s="70"/>
      <c r="L1246" s="70"/>
      <c r="M1246" s="70"/>
      <c r="N1246" s="70"/>
      <c r="O1246" s="70"/>
      <c r="P1246" s="70"/>
      <c r="Q1246" s="67"/>
      <c r="R1246" s="70"/>
      <c r="S1246" s="67"/>
      <c r="T1246" s="70"/>
      <c r="U1246" s="67"/>
      <c r="V1246" s="70"/>
      <c r="W1246" s="87"/>
      <c r="X1246" s="142"/>
      <c r="Y1246" s="139"/>
      <c r="Z1246" s="139"/>
      <c r="AA1246" s="139"/>
      <c r="AB1246" s="144"/>
      <c r="AC1246" s="144"/>
      <c r="AD1246" s="144"/>
      <c r="AE1246" s="144"/>
    </row>
    <row r="1247" spans="6:31">
      <c r="F1247" s="67"/>
      <c r="G1247" s="67"/>
      <c r="H1247" s="67"/>
      <c r="I1247" s="70"/>
      <c r="J1247" s="67"/>
      <c r="K1247" s="70"/>
      <c r="L1247" s="70"/>
      <c r="M1247" s="70"/>
      <c r="N1247" s="70"/>
      <c r="O1247" s="70"/>
      <c r="P1247" s="70"/>
      <c r="Q1247" s="67"/>
      <c r="R1247" s="70"/>
      <c r="S1247" s="67"/>
      <c r="T1247" s="70"/>
      <c r="U1247" s="67"/>
      <c r="V1247" s="70"/>
      <c r="W1247" s="87"/>
      <c r="X1247" s="142"/>
      <c r="Y1247" s="139"/>
      <c r="Z1247" s="139"/>
      <c r="AA1247" s="139"/>
      <c r="AB1247" s="144"/>
      <c r="AC1247" s="144"/>
      <c r="AD1247" s="144"/>
      <c r="AE1247" s="144"/>
    </row>
    <row r="1248" spans="6:31">
      <c r="F1248" s="67"/>
      <c r="G1248" s="67"/>
      <c r="H1248" s="67"/>
      <c r="I1248" s="70"/>
      <c r="J1248" s="67"/>
      <c r="K1248" s="70"/>
      <c r="L1248" s="70"/>
      <c r="M1248" s="70"/>
      <c r="N1248" s="70"/>
      <c r="O1248" s="70"/>
      <c r="P1248" s="70"/>
      <c r="Q1248" s="67"/>
      <c r="R1248" s="70"/>
      <c r="S1248" s="67"/>
      <c r="T1248" s="70"/>
      <c r="U1248" s="67"/>
      <c r="V1248" s="70"/>
      <c r="W1248" s="87"/>
      <c r="X1248" s="142"/>
      <c r="Y1248" s="139"/>
      <c r="Z1248" s="139"/>
      <c r="AA1248" s="139"/>
      <c r="AB1248" s="144"/>
      <c r="AC1248" s="144"/>
      <c r="AD1248" s="144"/>
      <c r="AE1248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66615111.351361498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313092.96655210108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4.7222237599906514E-3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29578.204681098461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4.4421367950814512E-4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2025-02-18T02:18:38Z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