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B3FB0747-D7DF-41E0-9771-D816B0414AA0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16" l="1" a="1"/>
  <c r="D9" i="16"/>
  <c r="D7" i="16" a="1"/>
  <c r="D7" i="16"/>
  <c r="D8" i="16" a="1"/>
  <c r="D8" i="16"/>
  <c r="D6" i="16" a="1"/>
  <c r="D6" i="16"/>
  <c r="D10" i="16" a="1"/>
  <c r="D10" i="16"/>
  <c r="G8" i="16" a="1"/>
  <c r="G8" i="16"/>
  <c r="G10" i="16" a="1"/>
  <c r="G10" i="16"/>
  <c r="G6" i="16" a="1"/>
  <c r="G6" i="16"/>
  <c r="G9" i="16" a="1"/>
  <c r="G9" i="16"/>
  <c r="G7" i="16" a="1"/>
  <c r="G7" i="16"/>
  <c r="H6" i="16" a="1"/>
  <c r="H6" i="16"/>
  <c r="H7" i="16" a="1"/>
  <c r="H7" i="16"/>
  <c r="H9" i="16" a="1"/>
  <c r="H9" i="16"/>
  <c r="H10" i="16" a="1"/>
  <c r="H10" i="16"/>
  <c r="H8" i="16" a="1"/>
  <c r="H8" i="16"/>
  <c r="E9" i="16" a="1"/>
  <c r="E9" i="16"/>
  <c r="E7" i="16" a="1"/>
  <c r="E7" i="16"/>
  <c r="E6" i="16" a="1"/>
  <c r="E6" i="16"/>
  <c r="E8" i="16" a="1"/>
  <c r="E8" i="16"/>
  <c r="E10" i="16" a="1"/>
  <c r="E10" i="16"/>
  <c r="K6" i="16"/>
  <c r="K9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F8" i="16" a="1"/>
  <c r="F8" i="16"/>
  <c r="F9" i="16" a="1"/>
  <c r="F9" i="16"/>
  <c r="F10" i="16" a="1"/>
  <c r="F10" i="16"/>
  <c r="F7" i="16" a="1"/>
  <c r="F7" i="16"/>
  <c r="F6" i="16" a="1"/>
  <c r="F6" i="16"/>
  <c r="J19" i="16"/>
  <c r="E17" i="16"/>
  <c r="F17" i="16" s="1"/>
  <c r="G17" i="16" s="1"/>
  <c r="H17" i="16" s="1"/>
  <c r="T16" i="16"/>
  <c r="E16" i="16"/>
  <c r="F16" i="16" s="1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E4" i="16"/>
  <c r="D4" i="16"/>
  <c r="T3" i="16"/>
  <c r="O4" i="16" s="1"/>
  <c r="C22" i="4"/>
  <c r="G22" i="4"/>
  <c r="C23" i="4"/>
  <c r="G23" i="4"/>
  <c r="D23" i="4"/>
  <c r="F22" i="4"/>
  <c r="F23" i="4"/>
  <c r="H23" i="4"/>
  <c r="E22" i="4"/>
  <c r="D22" i="4"/>
  <c r="E23" i="4"/>
  <c r="H22" i="4"/>
  <c r="C24" i="4"/>
  <c r="O10" i="16" l="1"/>
  <c r="O6" i="16"/>
  <c r="Q4" i="16"/>
  <c r="P9" i="16"/>
  <c r="P8" i="16" s="1"/>
  <c r="Q8" i="16" s="1"/>
  <c r="L5" i="16"/>
  <c r="K5" i="16"/>
  <c r="P10" i="16"/>
  <c r="P6" i="16"/>
  <c r="T8" i="16"/>
  <c r="T7" i="16"/>
  <c r="T6" i="16"/>
  <c r="T9" i="16" s="1"/>
  <c r="V9" i="16" s="1"/>
  <c r="X1199" i="14"/>
  <c r="E1199" i="14"/>
  <c r="D1199" i="14"/>
  <c r="C1199" i="14"/>
  <c r="B1199" i="14"/>
  <c r="A1199" i="14"/>
  <c r="L209" i="13"/>
  <c r="A209" i="13"/>
  <c r="X1201" i="3"/>
  <c r="D1201" i="3"/>
  <c r="Q6" i="16" l="1"/>
  <c r="T13" i="16"/>
  <c r="T17" i="16" s="1"/>
  <c r="T18" i="16" s="1"/>
  <c r="Q10" i="16"/>
  <c r="F1199" i="14"/>
  <c r="X1198" i="14" l="1"/>
  <c r="E1198" i="14"/>
  <c r="D1198" i="14"/>
  <c r="C1198" i="14"/>
  <c r="B1198" i="14"/>
  <c r="A1198" i="14"/>
  <c r="L208" i="13"/>
  <c r="A208" i="13"/>
  <c r="X1200" i="3"/>
  <c r="D1200" i="3"/>
  <c r="F1201" i="3" s="1"/>
  <c r="G1201" i="3" l="1"/>
  <c r="F1198" i="14"/>
  <c r="H1199" i="14" s="1"/>
  <c r="I1199" i="14" s="1"/>
  <c r="L1199" i="14" l="1"/>
  <c r="Y1199" i="14"/>
  <c r="Z1199" i="14" s="1"/>
  <c r="AA1199" i="14" s="1"/>
  <c r="L1201" i="3"/>
  <c r="Y1201" i="3"/>
  <c r="Z1201" i="3" s="1"/>
  <c r="AA1201" i="3" s="1"/>
  <c r="X1197" i="14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F1197" i="3" s="1"/>
  <c r="G1197" i="3" s="1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I1201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K1201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J1199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AC1201" i="3" s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X1168" i="14"/>
  <c r="E1168" i="14"/>
  <c r="D1168" i="14"/>
  <c r="C1168" i="14"/>
  <c r="B1168" i="14"/>
  <c r="A1168" i="14"/>
  <c r="L178" i="13"/>
  <c r="A178" i="13"/>
  <c r="X1170" i="3"/>
  <c r="A650" i="18"/>
  <c r="F1171" i="3" l="1"/>
  <c r="Q1201" i="3"/>
  <c r="R1201" i="3" s="1"/>
  <c r="G1171" i="3"/>
  <c r="AC1200" i="3" s="1"/>
  <c r="F1168" i="14"/>
  <c r="H1169" i="14" l="1"/>
  <c r="I1169" i="14" s="1"/>
  <c r="Q1199" i="14"/>
  <c r="R1199" i="14" s="1"/>
  <c r="J1169" i="14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AC1199" i="14" s="1"/>
  <c r="Q1198" i="14"/>
  <c r="R1198" i="14" s="1"/>
  <c r="L1168" i="14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201" i="3" l="1"/>
  <c r="P1201" i="3"/>
  <c r="O1200" i="3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201" i="3" s="1"/>
  <c r="X1164" i="14"/>
  <c r="E1164" i="14"/>
  <c r="D1164" i="14"/>
  <c r="C1164" i="14"/>
  <c r="B1164" i="14"/>
  <c r="A1164" i="14"/>
  <c r="L174" i="13"/>
  <c r="A174" i="13"/>
  <c r="X1166" i="3"/>
  <c r="D1166" i="3"/>
  <c r="W1201" i="3" l="1"/>
  <c r="N1199" i="3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S1201" i="3" s="1"/>
  <c r="T1201" i="3" s="1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T1189" i="3" l="1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S1199" i="14" s="1"/>
  <c r="T1199" i="14" s="1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12" i="3" l="1"/>
  <c r="AD1201" i="3"/>
  <c r="AD1199" i="3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AD1199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98" i="14" l="1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2" i="14" l="1"/>
  <c r="T922" i="14" s="1"/>
  <c r="U1199" i="14"/>
  <c r="V1199" i="14" s="1"/>
  <c r="H833" i="14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8" i="14" l="1"/>
  <c r="Y832" i="14"/>
  <c r="Z944" i="14"/>
  <c r="AA944" i="14" s="1"/>
  <c r="Y831" i="14"/>
  <c r="L824" i="14"/>
  <c r="J824" i="14"/>
  <c r="L829" i="14"/>
  <c r="L827" i="14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6" i="14" l="1"/>
  <c r="AA946" i="14" s="1"/>
  <c r="Z945" i="14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9" i="14" l="1"/>
  <c r="O1199" i="14"/>
  <c r="P1199" i="14"/>
  <c r="AE1198" i="14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98" i="14" l="1"/>
  <c r="M1199" i="14"/>
  <c r="N1199" i="14"/>
  <c r="W1199" i="14"/>
  <c r="N1198" i="14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9" i="14" l="1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6" i="3" l="1"/>
  <c r="T926" i="3" s="1"/>
  <c r="U1201" i="3"/>
  <c r="V1201" i="3" s="1"/>
  <c r="S925" i="3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200" i="3" l="1"/>
  <c r="AE1201" i="3"/>
  <c r="AE1198" i="3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50" i="3" l="1"/>
  <c r="AA950" i="3" s="1"/>
  <c r="AB1201" i="3"/>
  <c r="Z949" i="3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AB1196" i="3" s="1"/>
  <c r="Z944" i="3"/>
  <c r="AA944" i="3" s="1"/>
  <c r="Z943" i="3"/>
  <c r="AA943" i="3" s="1"/>
  <c r="AB1194" i="3" s="1"/>
  <c r="Z942" i="3"/>
  <c r="AA942" i="3" s="1"/>
  <c r="AB1193" i="3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5" i="3" l="1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1" i="3" l="1"/>
  <c r="M1200" i="3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<sst xmlns="http://schemas.openxmlformats.org/spreadsheetml/2006/main" count="770" uniqueCount="350">
  <si>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</si>
  <si>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</si>
  <si>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</si>
  <si>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</si>
  <si>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</si>
  <si>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</si>
  <si>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</si>
  <si>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</si>
  <si>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</si>
  <si>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</si>
  <si>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</si>
  <si>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</si>
  <si>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</si>
  <si>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</si>
  <si>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</si>
  <si>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</si>
  <si>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</si>
  <si>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</si>
  <si>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</si>
  <si>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</si>
  <si>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</si>
  <si>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</si>
  <si>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</si>
  <si>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</si>
  <si>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</si>
  <si>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</si>
  <si>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</si>
  <si>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</si>
  <si>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</si>
  <si>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</si>
  <si>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</si>
  <si>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</si>
  <si>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</si>
  <si>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</si>
  <si>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</si>
  <si>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</si>
  <si>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</si>
  <si>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</si>
  <si>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</si>
  <si>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</si>
  <si>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</si>
  <si>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</si>
  <si>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</si>
  <si>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</si>
  <si>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</si>
  <si>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</si>
  <si>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</si>
  <si>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</si>
  <si>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</si>
  <si>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</si>
  <si>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</si>
  <si>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</si>
  <si>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</si>
  <si>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</si>
  <si>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</si>
  <si>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</si>
  <si>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</si>
  <si>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</si>
  <si>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</si>
  <si>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</si>
  <si>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</si>
  <si>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</si>
  <si>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</si>
  <si>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</si>
  <si>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</si>
  <si>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</si>
  <si>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</si>
  <si>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</si>
  <si>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</si>
  <si>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</si>
  <si>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</si>
  <si>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</si>
  <si>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</si>
  <si>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</si>
  <si>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</si>
  <si>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</si>
  <si>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</si>
  <si>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</si>
  <si>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</si>
  <si>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</si>
  <si>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</si>
  <si>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</si>
  <si>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</si>
  <si>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</si>
  <si>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</si>
  <si>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</si>
  <si>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</si>
  <si>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</si>
  <si>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</si>
  <si>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</si>
  <si>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</si>
  <si>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</si>
  <si>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</si>
  <si>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</si>
  <si>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</si>
  <si>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</si>
  <si>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</si>
  <si>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</si>
  <si>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</si>
  <si>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</si>
  <si>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</si>
  <si>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</si>
  <si>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</si>
  <si>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</si>
  <si>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</si>
  <si>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</si>
  <si>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</si>
  <si>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</si>
  <si>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</si>
  <si>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</si>
  <si>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</si>
  <si>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</si>
  <si>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</si>
  <si>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</si>
  <si>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</si>
  <si>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</si>
  <si>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</si>
  <si>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</si>
  <si>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</si>
  <si>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</si>
  <si>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</si>
  <si>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</si>
  <si>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</si>
  <si>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</si>
  <si>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</si>
  <si>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</si>
  <si>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</si>
  <si>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</si>
  <si>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</si>
  <si>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</si>
  <si>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</si>
  <si>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</si>
  <si>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</si>
  <si>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</si>
  <si>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</si>
  <si>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</si>
  <si>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</si>
  <si>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</si>
  <si>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</si>
  <si>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</si>
  <si>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</si>
  <si>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</si>
  <si>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</si>
  <si>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</si>
  <si>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</si>
  <si>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</si>
  <si>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</si>
  <si>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</si>
  <si>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</si>
  <si>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</si>
  <si>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</si>
  <si>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</si>
  <si>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</si>
  <si>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</si>
  <si>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</si>
  <si>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</si>
  <si>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</si>
  <si>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</si>
  <si>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</si>
  <si>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</si>
  <si>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</si>
  <si>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</si>
  <si>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</si>
  <si>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</si>
  <si>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</si>
  <si>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</si>
  <si>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</si>
  <si>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</si>
  <si>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</si>
  <si>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</si>
  <si>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</si>
  <si>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</si>
  <si>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</si>
  <si>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</si>
  <si>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</si>
  <si>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</si>
  <si>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</si>
  <si>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</si>
  <si>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</si>
  <si>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</si>
  <si>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</si>
  <si>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</si>
  <si>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</si>
  <si>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</si>
  <si>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</si>
  <si>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</si>
  <si>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</si>
  <si>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</si>
  <si>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</si>
  <si>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</si>
  <si>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</si>
  <si>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</si>
  <si>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</si>
  <si>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</si>
  <si>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</si>
  <si>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</si>
  <si>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</si>
  <si>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</si>
  <si>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</si>
  <si>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</si>
  <si>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</si>
  <si>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</si>
  <si>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</si>
  <si>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</si>
  <si>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</si>
  <si>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</si>
  <si>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</si>
  <si>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</si>
  <si>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</si>
  <si>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</si>
  <si>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</si>
  <si>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</si>
  <si>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</si>
  <si>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</si>
  <si>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</si>
  <si>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</si>
  <si>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</si>
  <si>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</si>
  <si>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</si>
  <si>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</si>
  <si>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</si>
  <si>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</si>
  <si>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</si>
  <si>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</si>
  <si>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</si>
  <si>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</si>
  <si>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</si>
  <si>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</si>
  <si>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</si>
  <si>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</si>
  <si>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</si>
  <si>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</si>
  <si>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</si>
  <si>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</si>
  <si>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</si>
  <si>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</si>
  <si>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</si>
  <si>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</si>
  <si>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</si>
  <si>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</si>
  <si>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</si>
  <si>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</si>
  <si>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</si>
  <si>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</si>
  <si>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</si>
  <si>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</si>
  <si>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</si>
  <si>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</si>
  <si>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</si>
  <si>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</si>
  <si>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</si>
  <si>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</si>
  <si>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</si>
  <si>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</si>
  <si>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</si>
  <si>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</si>
  <si>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</si>
  <si>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</si>
  <si>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</si>
  <si>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</si>
  <si>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</si>
  <si>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</si>
  <si>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</si>
  <si>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</si>
  <si>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</si>
  <si>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</si>
  <si>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</si>
  <si>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</si>
  <si>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</si>
  <si>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</si>
  <si>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</si>
  <si>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</si>
  <si>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</si>
  <si>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</si>
  <si>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</si>
  <si>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</si>
  <si>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</si>
  <si>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</si>
  <si>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</si>
  <si>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</si>
  <si>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</si>
  <si>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</si>
  <si>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</si>
  <si>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</si>
  <si>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</si>
  <si>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</si>
  <si>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</si>
  <si>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</si>
  <si>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</si>
  <si>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</si>
  <si>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</si>
  <si>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</si>
  <si>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</si>
  <si>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</si>
  <si>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</si>
  <si>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</si>
  <si>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</si>
  <si>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</si>
  <si>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</si>
  <si>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</si>
  <si>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</si>
  <si>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</si>
  <si>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</si>
  <si>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</si>
  <si>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</si>
  <si>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</si>
  <si>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</si>
  <si>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</si>
  <si>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</si>
  <si>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</si>
  <si>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</si>
  <si>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</si>
  <si>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</si>
  <si>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</si>
  <si>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</si>
  <si>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</si>
  <si>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</si>
  <si>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</si>
  <si>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</si>
  <si>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</si>
  <si>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</si>
  <si>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</si>
  <si>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</si>
  <si>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</si>
  <si>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</si>
  <si>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</si>
  <si>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</si>
  <si>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</si>
  <si>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</si>
  <si>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</si>
  <si>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</si>
  <si>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</si>
  <si>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</si>
  <si>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</si>
  <si>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</si>
  <si>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</si>
  <si>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</si>
  <si>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</si>
  <si>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</si>
  <si>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</si>
  <si>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</si>
  <si>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</si>
  <si>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</si>
  <si>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</si>
  <si>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</si>
  <si>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</si>
  <si>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</si>
  <si>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</si>
  <si>
    <t>Change in Dividend Accruals</t>
  </si>
  <si>
    <t>jan qe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</si>
</sst>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Data...4101924990</v>
        <stp/>
        <stp>BDP|13843568691370437419</stp>
        <tr r="G9" s="16"/>
      </tp>
      <tp t="s">
        <v>#N/A Requesting Data...3798474936</v>
        <stp/>
        <stp>BDP|17488990371770934291</stp>
        <tr r="L9" s="16"/>
      </tp>
      <tp t="s">
        <v>#N/A Requesting Data...3913052250</v>
        <stp/>
        <stp>BDP|13727818016546450707</stp>
        <tr r="H10" s="16"/>
      </tp>
      <tp t="s">
        <v>#N/A Requesting Data...3764213534</v>
        <stp/>
        <stp>BDP|11025807958107061305</stp>
        <tr r="D6" s="16"/>
      </tp>
      <tp t="s">
        <v>#N/A Requesting Data...3818115570</v>
        <stp/>
        <stp>BDP|12503804164161346560</stp>
        <tr r="H23" s="4"/>
      </tp>
      <tp t="s">
        <v>#N/A Requesting Data...3675258772</v>
        <stp/>
        <stp>BDP|16037198422009566377</stp>
        <tr r="H7" s="16"/>
      </tp>
      <tp t="s">
        <v>#N/A Requesting Data...2111556948</v>
        <stp/>
        <stp>BDP|14887355760439675744</stp>
        <tr r="G8" s="16"/>
      </tp>
      <tp t="s">
        <v>#N/A Requesting Data...2203438730</v>
        <stp/>
        <stp>BDP|15882609691144832149</stp>
        <tr r="G10" s="16"/>
      </tp>
      <tp t="s">
        <v>#N/A Requesting Data...1804166998</v>
        <stp/>
        <stp>BDP|11927491993173780392</stp>
        <tr r="E7" s="16"/>
      </tp>
      <tp t="s">
        <v>#N/A Requesting Data...1934598160</v>
        <stp/>
        <stp>BDP|18194437827130447215</stp>
        <tr r="K6" s="16"/>
      </tp>
      <tp t="s">
        <v>#N/A Requesting Data...2600242908</v>
        <stp/>
        <stp>BDP|15408295575394886937</stp>
        <tr r="H6" s="16"/>
      </tp>
      <tp t="s">
        <v>#N/A Requesting Data...3023591934</v>
        <stp/>
        <stp>BDP|12868917489186433836</stp>
        <tr r="D22" s="4"/>
      </tp>
      <tp t="s">
        <v>#N/A Requesting Data...3272405300</v>
        <stp/>
        <stp>BDP|11441239167720550763</stp>
        <tr r="G22" s="4"/>
      </tp>
      <tp t="s">
        <v>#N/A Requesting Data...2595796414</v>
        <stp/>
        <stp>BDP|16083383279081530134</stp>
        <tr r="G6" s="16"/>
      </tp>
      <tp t="s">
        <v>#N/A Requesting Data...3960550376</v>
        <stp/>
        <stp>BDP|15571183826414458091</stp>
        <tr r="F23" s="4"/>
      </tp>
      <tp t="s">
        <v>#N/A Requesting Data...2016974451</v>
        <stp/>
        <stp>BDP|16691583684581330968</stp>
        <tr r="F22" s="4"/>
      </tp>
      <tp t="s">
        <v>#N/A Requesting Data...3106174710</v>
        <stp/>
        <stp>BDP|10851542879122214334</stp>
        <tr r="K7" s="16"/>
      </tp>
      <tp t="s">
        <v>#N/A Requesting Data...2188707370</v>
        <stp/>
        <stp>BDP|13033893993631589338</stp>
        <tr r="C24" s="4"/>
      </tp>
      <tp t="s">
        <v>#N/A Requesting Data...4099714386</v>
        <stp/>
        <stp>BDP|17427418226980805092</stp>
        <tr r="E6" s="16"/>
      </tp>
      <tp t="s">
        <v>#N/A Requesting Data...2229618160</v>
        <stp/>
        <stp>BDP|12801142977284637660</stp>
        <tr r="F9" s="16"/>
      </tp>
      <tp t="s">
        <v>#N/A Requesting Data...2734214281</v>
        <stp/>
        <stp>BDP|11395363488884515847</stp>
        <tr r="E22" s="4"/>
      </tp>
      <tp t="s">
        <v>#N/A Requesting Data...2422444056</v>
        <stp/>
        <stp>BDP|11453968001806112847</stp>
        <tr r="L10" s="16"/>
      </tp>
      <tp t="s">
        <v>#N/A Requesting Data...4153046702</v>
        <stp/>
        <stp>BDP|13427178278194281624</stp>
        <tr r="H9" s="16"/>
      </tp>
      <tp t="s">
        <v>#N/A Requesting Data...1730240945</v>
        <stp/>
        <stp>BDP|14662245951000286439</stp>
        <tr r="C22" s="4"/>
      </tp>
      <tp t="s">
        <v>#N/A Requesting Data...2487452262</v>
        <stp/>
        <stp>BDP|16854102045504656375</stp>
        <tr r="K10" s="16"/>
      </tp>
      <tp t="s">
        <v>#N/A Requesting Data...3041036348</v>
        <stp/>
        <stp>BDP|17541570393706762923</stp>
        <tr r="K9" s="16"/>
      </tp>
      <tp t="s">
        <v>#N/A Requesting Data...4282764558</v>
        <stp/>
        <stp>BDP|14476774127851531505</stp>
        <tr r="E9" s="16"/>
      </tp>
      <tp t="s">
        <v>#N/A Requesting Data...1969548625</v>
        <stp/>
        <stp>BDP|16879443774998906816</stp>
        <tr r="K8" s="16"/>
      </tp>
    </main>
    <main first="bofaddin.rtdserver">
      <tp t="s">
        <v>#N/A Requesting Data...1800994729</v>
        <stp/>
        <stp>BDP|9184051814111053572</stp>
        <tr r="E8" s="16"/>
      </tp>
      <tp t="s">
        <v>#N/A Requesting Data...2914606697</v>
        <stp/>
        <stp>BDP|1413003601749412533</stp>
        <tr r="L6" s="16"/>
      </tp>
      <tp t="s">
        <v>#N/A Requesting Data...3740279967</v>
        <stp/>
        <stp>BDP|8485886604566386829</stp>
        <tr r="H22" s="4"/>
      </tp>
      <tp t="s">
        <v>#N/A Requesting Data...2767512670</v>
        <stp/>
        <stp>BDP|9958272376154164648</stp>
        <tr r="J9" s="16"/>
      </tp>
      <tp t="s">
        <v>#N/A Requesting Data...2539183541</v>
        <stp/>
        <stp>BDP|4155052320638790009</stp>
        <tr r="L7" s="16"/>
      </tp>
      <tp t="s">
        <v>#N/A Requesting Data...2579509809</v>
        <stp/>
        <stp>BDP|4020462511547452937</stp>
        <tr r="F7" s="16"/>
      </tp>
      <tp t="s">
        <v>#N/A Requesting Data...2231127378</v>
        <stp/>
        <stp>BDP|3599663092060873385</stp>
        <tr r="G23" s="4"/>
      </tp>
      <tp t="s">
        <v>#N/A Requesting Data...2885015300</v>
        <stp/>
        <stp>BDP|5197169271935733907</stp>
        <tr r="H8" s="16"/>
      </tp>
      <tp t="s">
        <v>#N/A Requesting Data...4063649315</v>
        <stp/>
        <stp>BDP|2715175043958188031</stp>
        <tr r="C23" s="4"/>
      </tp>
      <tp t="s">
        <v>#N/A Requesting Data...3692650026</v>
        <stp/>
        <stp>BDP|4938759477168674381</stp>
        <tr r="E23" s="4"/>
      </tp>
      <tp t="s">
        <v>#N/A Requesting Data...3353108213</v>
        <stp/>
        <stp>BDP|4120548091556971632</stp>
        <tr r="J8" s="16"/>
      </tp>
      <tp t="s">
        <v>#N/A Requesting Data...4085472187</v>
        <stp/>
        <stp>BDP|6229753396345444597</stp>
        <tr r="J10" s="16"/>
      </tp>
      <tp t="s">
        <v>#N/A Requesting Data...2811350910</v>
        <stp/>
        <stp>BDP|6992386206898388576</stp>
        <tr r="I6" s="16"/>
      </tp>
      <tp t="s">
        <v>#N/A Requesting Data...4166849207</v>
        <stp/>
        <stp>BDP|1440775866201456872</stp>
        <tr r="I10" s="16"/>
      </tp>
      <tp t="s">
        <v>#N/A Requesting Data...2141558962</v>
        <stp/>
        <stp>BDP|2558557980072118785</stp>
        <tr r="I9" s="16"/>
      </tp>
      <tp t="s">
        <v>#N/A Requesting Data...2753126135</v>
        <stp/>
        <stp>BDP|9567764807640019488</stp>
        <tr r="D23" s="4"/>
      </tp>
      <tp t="s">
        <v>#N/A Requesting Data...2264780174</v>
        <stp/>
        <stp>BDP|6919533648008043579</stp>
        <tr r="J6" s="16"/>
      </tp>
      <tp t="s">
        <v>#N/A Requesting Data...4276858493</v>
        <stp/>
        <stp>BDP|1309843736337904909</stp>
        <tr r="G7" s="16"/>
      </tp>
      <tp t="s">
        <v>#N/A Requesting Data...2979037959</v>
        <stp/>
        <stp>BDP|1008282973937479734</stp>
        <tr r="F10" s="16"/>
      </tp>
      <tp t="s">
        <v>#N/A Requesting Data...2615898375</v>
        <stp/>
        <stp>BDP|6402462776015551568</stp>
        <tr r="D7" s="16"/>
      </tp>
      <tp t="s">
        <v>#N/A Requesting Data...1817807653</v>
        <stp/>
        <stp>BDP|3917812088037969338</stp>
        <tr r="I8" s="16"/>
      </tp>
      <tp t="s">
        <v>#N/A Requesting Data...2142686554</v>
        <stp/>
        <stp>BDP|3783811399514793104</stp>
        <tr r="D9" s="16"/>
      </tp>
      <tp t="s">
        <v>#N/A Requesting Data...4127506985</v>
        <stp/>
        <stp>BDP|3813102979953158681</stp>
        <tr r="D8" s="16"/>
      </tp>
      <tp t="s">
        <v>#N/A Requesting Data...2388520706</v>
        <stp/>
        <stp>BDP|3016032546861645645</stp>
        <tr r="L8" s="16"/>
      </tp>
      <tp t="s">
        <v>#N/A Requesting Data...1997321802</v>
        <stp/>
        <stp>BDP|5342164155427751487</stp>
        <tr r="I7" s="16"/>
      </tp>
      <tp t="s">
        <v>#N/A Requesting Data...3123457432</v>
        <stp/>
        <stp>BDP|5398486785213771927</stp>
        <tr r="F8" s="16"/>
      </tp>
      <tp t="s">
        <v>#N/A Requesting Data...2999231879</v>
        <stp/>
        <stp>BDP|2470954931023095833</stp>
        <tr r="J7" s="16"/>
      </tp>
    </main>
    <main first="bofaddin.rtdserver">
      <tp t="s">
        <v>#N/A Requesting Data...1604175655</v>
        <stp/>
        <stp>BDP|684981373249800382</stp>
        <tr r="E10" s="16"/>
      </tp>
      <tp t="s">
        <v>#N/A Requesting Data...3809766334</v>
        <stp/>
        <stp>BDP|278915754941876425</stp>
        <tr r="D10" s="16"/>
      </tp>
      <tp t="s">
        <v>#N/A Requesting Data...4057249857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NAV'!$A$1169:$A$1501</c:f>
              <c:numCache>
                <c:formatCode>[$-409]d\-mmm\-yy;@</c:formatCode>
                <c:ptCount val="333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  <c:pt idx="32">
                  <c:v>45705</c:v>
                </c:pt>
              </c:numCache>
            </c:numRef>
          </c:cat>
          <c:val>
            <c:numRef>
              <c:f>'Historical NAV'!$N$1169:$N$1500</c:f>
              <c:numCache>
                <c:formatCode>0.00%;[Red]\(0.00%\)</c:formatCode>
                <c:ptCount val="332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  <c:pt idx="32">
                  <c:v>6.8681654278559989E-2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NAV'!$A$2:$A$1501</c:f>
              <c:numCache>
                <c:formatCode>[$-409]d\-mmm\-yy;@</c:formatCode>
                <c:ptCount val="1500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  <c:pt idx="1199">
                  <c:v>45705</c:v>
                </c:pt>
              </c:numCache>
            </c:numRef>
          </c:cat>
          <c:val>
            <c:numRef>
              <c:f>'Historical NAV'!$M$2:$M$1500</c:f>
              <c:numCache>
                <c:formatCode>0.00%;[Red]\(0.00%\)</c:formatCode>
                <c:ptCount val="1499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  <c:pt idx="1199">
                  <c:v>0.70469383073741443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261856.76</c:v>
                </c:pt>
                <c:pt idx="4">
                  <c:v>0</c:v>
                </c:pt>
                <c:pt idx="5">
                  <c:v>0</c:v>
                </c:pt>
                <c:pt idx="6">
                  <c:v>19576.54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411101.38999999996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913703.85000000021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topLeftCell="A22" zoomScale="85" zoomScaleNormal="85" workbookViewId="0">
      <selection activeCell="B5" sqref="B5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45705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2.859729328907338E-5</v>
      </c>
      <c r="D4" s="91"/>
      <c r="E4" s="92"/>
    </row>
    <row r="5" spans="1:23">
      <c r="A5" t="s">
        <v>66</v>
      </c>
      <c r="B5" s="8">
        <f ca="1">OFFSET('Historical NAV'!K1,COUNT('Historical NAV'!A:A),,,)</f>
        <v>4.7509560960974362E-3</v>
      </c>
      <c r="E5" s="146"/>
    </row>
    <row r="6" spans="1:23">
      <c r="A6" t="s">
        <v>283</v>
      </c>
      <c r="B6" s="8">
        <f ca="1">OFFSET('Historical NAV'!N1,COUNT('Historical NAV'!A:A),,,)</f>
        <v>6.8681654278559989E-2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2.859729328907338E-5</v>
      </c>
      <c r="D9" t="s">
        <v>188</v>
      </c>
      <c r="E9" s="146">
        <f ca="1">OFFSET('Historical NAV'!B1,COUNT('Historical NAV'!A:A),,,)</f>
        <v>66617016.363238297</v>
      </c>
    </row>
    <row r="10" spans="1:23">
      <c r="A10" t="s">
        <v>181</v>
      </c>
      <c r="B10" s="2">
        <f ca="1">E13/E9</f>
        <v>0.94289626028136664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4.052167758938457E-3</v>
      </c>
      <c r="D11" t="s">
        <v>160</v>
      </c>
      <c r="E11" s="8">
        <f ca="1">E10/E9</f>
        <v>0.62403763842147519</v>
      </c>
    </row>
    <row r="12" spans="1:23">
      <c r="A12" t="s">
        <v>147</v>
      </c>
      <c r="B12" s="8">
        <f ca="1">OFFSET('Historical NAV'!T1,COUNT('Historical NAV'!A:A),,,)</f>
        <v>-9.58592604527891E-2</v>
      </c>
    </row>
    <row r="13" spans="1:23">
      <c r="A13" t="s">
        <v>148</v>
      </c>
      <c r="B13" s="8">
        <f ca="1">OFFSET('Historical NAV'!V1,COUNT('Historical NAV'!A:A),,,)</f>
        <v>0.91697799316415585</v>
      </c>
      <c r="D13" s="99" t="s">
        <v>180</v>
      </c>
      <c r="E13" s="152">
        <f>K25</f>
        <v>62812935.600000001</v>
      </c>
    </row>
    <row r="14" spans="1:23">
      <c r="A14" t="s">
        <v>125</v>
      </c>
      <c r="B14" s="51">
        <f ca="1">OFFSET('Historical NAV'!W1,COUNT('Historical NAV'!A:A),,,)</f>
        <v>1.4285521453920103</v>
      </c>
      <c r="D14" s="303">
        <v>5.0000000000000001E-3</v>
      </c>
      <c r="E14" s="123">
        <f>(D14*$E$13)/(1-D14)</f>
        <v>315642.89246231155</v>
      </c>
    </row>
    <row r="15" spans="1:23">
      <c r="A15" t="s">
        <v>144</v>
      </c>
      <c r="B15" s="51">
        <f ca="1">OFFSET('Historical NAV'!AB1,COUNT('Historical NAV'!A:A),,,)</f>
        <v>4.061152050022609</v>
      </c>
      <c r="D15" s="303">
        <v>0.01</v>
      </c>
      <c r="E15" s="123">
        <f>(D15*$E$13)/(1-D15)</f>
        <v>634474.09696969704</v>
      </c>
      <c r="F15" s="133"/>
    </row>
    <row r="16" spans="1:23">
      <c r="A16" t="s">
        <v>145</v>
      </c>
      <c r="B16" s="51">
        <f ca="1">OFFSET('Historical NAV'!P1,COUNT('Historical NAV'!A:A),,,)</f>
        <v>0.41406567907621206</v>
      </c>
      <c r="D16" s="303">
        <v>1.4999999999999999E-2</v>
      </c>
      <c r="E16" s="123">
        <f>(D16*$E$13)/(1-D16)</f>
        <v>956542.16649746196</v>
      </c>
      <c r="F16" s="169"/>
    </row>
    <row r="17" spans="1:23">
      <c r="A17" t="s">
        <v>185</v>
      </c>
      <c r="B17" s="51">
        <f ca="1">OFFSET('Historical NAV'!AC1,COUNT('Historical NAV'!A:A),,,)</f>
        <v>-4.195222572171161E-2</v>
      </c>
      <c r="D17" s="303">
        <v>0.05</v>
      </c>
      <c r="E17" s="123">
        <f>(D17*$E$13)/(1-D17)</f>
        <v>3305943.9789473689</v>
      </c>
    </row>
    <row r="18" spans="1:23">
      <c r="A18" t="s">
        <v>186</v>
      </c>
      <c r="B18" s="51">
        <f ca="1">OFFSET('Historical NAV'!AD1,COUNT('Historical NAV'!A:A),,,)</f>
        <v>-3.9000249139654511E-2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-4.8368431982559815E-2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2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62812500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435.6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62812935.600000001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0.99999306512271968</v>
      </c>
      <c r="F26" s="103">
        <f t="shared" si="0"/>
        <v>0</v>
      </c>
      <c r="G26" s="103">
        <f t="shared" si="0"/>
        <v>0</v>
      </c>
      <c r="H26" s="103">
        <f t="shared" si="0"/>
        <v>6.9348772802779183E-6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0.94288972141151361</v>
      </c>
      <c r="F27" s="165">
        <f t="shared" ca="1" si="1"/>
        <v>0</v>
      </c>
      <c r="G27" s="165">
        <f t="shared" ca="1" si="1"/>
        <v>0</v>
      </c>
      <c r="H27" s="165">
        <f t="shared" ca="1" si="1"/>
        <v>6.5388698530842637E-6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0.94289626028136664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0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0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-4814877.0068823015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261856.76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19576.54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287359.63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411101.38999999996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913703.85000000021</v>
      </c>
      <c r="I45" s="164">
        <f t="shared" si="3"/>
        <v>0</v>
      </c>
      <c r="J45" s="164">
        <f>SUM(J33:J44)</f>
        <v>0</v>
      </c>
      <c r="K45" s="164">
        <f>SUM(K33:K44)</f>
        <v>4927453.1000000006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3.9493178586617658E-3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2.9525294299374361E-4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4.3339515795484422E-3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6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I1200" sqref="I1200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201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42">
        <f t="shared" si="656"/>
        <v>1.7857142857142857E-4</v>
      </c>
      <c r="Y1200" s="139">
        <f t="shared" ref="Y1200" si="1312">G1200-X1200</f>
        <v>2.6564225093671657E-4</v>
      </c>
      <c r="Z1200" s="139">
        <f t="shared" ref="Z1200" si="1313">IF(Y1200&lt;0,Y1200,0)</f>
        <v>0</v>
      </c>
      <c r="AA1200" s="139">
        <f t="shared" ref="AA1200" si="1314">Z1200^2</f>
        <v>0</v>
      </c>
      <c r="AB1200" s="144">
        <f t="shared" ref="AB1200" si="1315">AVERAGE(Y949:Y1200)/AVERAGE(AA949:AA1200)</f>
        <v>4.0441954761483982</v>
      </c>
      <c r="AC1200" s="144">
        <f t="shared" ref="AC1200" si="1316">AVERAGE(G1171:G1200)-_xlfn.NORM.S.INV(0.95)*_xlfn.STDEV.S(G1171:G1200)</f>
        <v>-4.2016472197039044E-2</v>
      </c>
      <c r="AD1200" s="144">
        <f t="shared" ref="AD1200" si="1317">AVERAGE(G1111:G1200)-_xlfn.NORM.S.INV(0.95)*_xlfn.STDEV.S(G1111:G1200)</f>
        <v>-3.8925592889824223E-2</v>
      </c>
      <c r="AE1200" s="144">
        <f t="shared" ref="AE1200" si="1318">AVERAGE(G836:G1200)-_xlfn.NORM.S.INV(0.95)*_xlfn.STDEV.S(G836:G1200)</f>
        <v>-4.8495437885645996E-2</v>
      </c>
    </row>
    <row r="1201" spans="1:31">
      <c r="A1201" s="88">
        <v>45705</v>
      </c>
      <c r="B1201" s="78">
        <v>66617016.363238297</v>
      </c>
      <c r="D1201" s="67">
        <f t="shared" ref="D1201" si="1319">B1201</f>
        <v>66617016.363238297</v>
      </c>
      <c r="E1201" s="67">
        <f t="shared" ref="E1201" si="1320">IF(MONTH(A1201)=MONTH(A1200),E1200,D1200)</f>
        <v>66302018.384809397</v>
      </c>
      <c r="F1201" s="67">
        <f t="shared" ref="F1201" si="1321">B1201-C1201-D1200</f>
        <v>1905.0118767991662</v>
      </c>
      <c r="G1201" s="70">
        <f t="shared" ref="G1201" si="1322">F1201/B1200</f>
        <v>2.859729328907338E-5</v>
      </c>
      <c r="H1201" s="67">
        <f t="shared" ref="H1201" si="1323">IF(WEEKNUM(A1201)=WEEKNUM(A1200),H1200+F1201,F1201)</f>
        <v>1905.0118767991662</v>
      </c>
      <c r="I1201" s="70">
        <f t="shared" ref="I1201" si="1324">IF(WEEKNUM(A1201)=WEEKNUM(A1200),I1200+G1201,G1201)</f>
        <v>2.859729328907338E-5</v>
      </c>
      <c r="J1201" s="67">
        <f t="shared" ref="J1201" si="1325">IF(MONTH(A1201)=MONTH(A1200),J1200+F1201,F1201)</f>
        <v>314997.97842890024</v>
      </c>
      <c r="K1201" s="70">
        <f t="shared" ref="K1201" si="1326">(1+K1200)*(1+G1201)-1</f>
        <v>4.7509560960974362E-3</v>
      </c>
      <c r="L1201" s="70">
        <f t="shared" ref="L1201" si="1327">1+G1201</f>
        <v>1.000028597293289</v>
      </c>
      <c r="M1201" s="70">
        <f>PRODUCT($L$2:L1201)-1</f>
        <v>0.70469383073741443</v>
      </c>
      <c r="N1201" s="70">
        <f>PRODUCT($L$1169:L1201)-1</f>
        <v>6.8681654278559989E-2</v>
      </c>
      <c r="O1201" s="70">
        <f>AVERAGE($G$1169:G1201)*252</f>
        <v>0.59151441417752237</v>
      </c>
      <c r="P1201" s="70">
        <f>STDEV($G$1169:G1201)*252^0.5</f>
        <v>0.41406567907621206</v>
      </c>
      <c r="Q1201" s="67">
        <f t="shared" ref="Q1201" si="1328">B1201-C1201-D1170</f>
        <v>268853.88485969603</v>
      </c>
      <c r="R1201" s="70">
        <f t="shared" ref="R1201" si="1329">Q1201/B1170</f>
        <v>4.052167758938457E-3</v>
      </c>
      <c r="S1201" s="67">
        <f t="shared" ref="S1201" si="1330">B1201-C1201-D1112</f>
        <v>-6701154.2927035019</v>
      </c>
      <c r="T1201" s="70">
        <f t="shared" ref="T1201" si="1331">S1201/B1110</f>
        <v>-9.58592604527891E-2</v>
      </c>
      <c r="U1201" s="67">
        <f t="shared" ref="U1201" si="1332">B1201-C1201-D837</f>
        <v>32954619.9232383</v>
      </c>
      <c r="V1201" s="70">
        <f t="shared" ref="V1201" si="1333">U1201/B835</f>
        <v>0.91697799316415585</v>
      </c>
      <c r="W1201" s="87">
        <f t="shared" ref="W1201" si="1334">O1201/P1201</f>
        <v>1.4285521453920103</v>
      </c>
      <c r="X1201" s="142">
        <f t="shared" si="656"/>
        <v>1.7857142857142857E-4</v>
      </c>
      <c r="Y1201" s="139">
        <f t="shared" ref="Y1201" si="1335">G1201-X1201</f>
        <v>-1.4997413528235518E-4</v>
      </c>
      <c r="Z1201" s="139">
        <f t="shared" ref="Z1201" si="1336">IF(Y1201&lt;0,Y1201,0)</f>
        <v>-1.4997413528235518E-4</v>
      </c>
      <c r="AA1201" s="139">
        <f t="shared" ref="AA1201" si="1337">Z1201^2</f>
        <v>2.2492241253690174E-8</v>
      </c>
      <c r="AB1201" s="144">
        <f t="shared" ref="AB1201" si="1338">AVERAGE(Y950:Y1201)/AVERAGE(AA950:AA1201)</f>
        <v>4.061152050022609</v>
      </c>
      <c r="AC1201" s="144">
        <f t="shared" ref="AC1201" si="1339">AVERAGE(G1172:G1201)-_xlfn.NORM.S.INV(0.95)*_xlfn.STDEV.S(G1172:G1201)</f>
        <v>-4.195222572171161E-2</v>
      </c>
      <c r="AD1201" s="144">
        <f t="shared" ref="AD1201" si="1340">AVERAGE(G1112:G1201)-_xlfn.NORM.S.INV(0.95)*_xlfn.STDEV.S(G1112:G1201)</f>
        <v>-3.9000249139654511E-2</v>
      </c>
      <c r="AE1201" s="144">
        <f t="shared" ref="AE1201" si="1341">AVERAGE(G837:G1201)-_xlfn.NORM.S.INV(0.95)*_xlfn.STDEV.S(G837:G1201)</f>
        <v>-4.8368431982559815E-2</v>
      </c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B1222" s="7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A1223" s="8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A1224" s="88"/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4:31">
      <c r="D1246" s="67"/>
      <c r="E1246" s="67"/>
      <c r="F1246" s="67"/>
      <c r="G1246" s="70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344</v>
      </c>
      <c r="B3" s="153" t="s">
        <v>140</v>
      </c>
      <c r="C3" s="153" t="s">
        <v>38</v>
      </c>
      <c r="D3" s="153">
        <v>10</v>
      </c>
      <c r="E3" s="153">
        <v>43.56</v>
      </c>
      <c r="F3" s="153">
        <v>435.6</v>
      </c>
      <c r="G3" s="153">
        <v>1</v>
      </c>
      <c r="H3" s="153">
        <v>435.6</v>
      </c>
      <c r="I3" s="218">
        <v>0</v>
      </c>
      <c r="J3"/>
      <c r="K3"/>
    </row>
    <row r="4" spans="1:11">
      <c r="A4" s="221" t="s">
        <v>345</v>
      </c>
      <c r="B4" s="153" t="s">
        <v>42</v>
      </c>
      <c r="C4" s="153" t="s">
        <v>38</v>
      </c>
      <c r="D4" s="153">
        <v>625000</v>
      </c>
      <c r="E4" s="153">
        <v>100.5</v>
      </c>
      <c r="F4" s="153">
        <v>62812500</v>
      </c>
      <c r="G4" s="153">
        <v>1</v>
      </c>
      <c r="H4" s="153">
        <v>62812500</v>
      </c>
      <c r="I4" s="218">
        <v>100</v>
      </c>
      <c r="J4"/>
      <c r="K4"/>
    </row>
    <row r="5" spans="1:11">
      <c r="A5" s="221"/>
      <c r="B5" s="153"/>
      <c r="C5" s="153"/>
      <c r="D5" s="153"/>
      <c r="E5" s="153"/>
      <c r="F5" s="153"/>
      <c r="G5" s="153"/>
      <c r="H5" s="153"/>
      <c r="I5" s="218"/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9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  <row r="208" spans="1:12">
      <c r="A208" s="170">
        <f>'Historical NAV'!A1200</f>
        <v>45702</v>
      </c>
      <c r="B208" s="159">
        <v>0</v>
      </c>
      <c r="C208" s="159">
        <v>0</v>
      </c>
      <c r="D208" s="159">
        <v>0</v>
      </c>
      <c r="E208" s="159">
        <v>25000</v>
      </c>
      <c r="F208" s="159">
        <v>0</v>
      </c>
      <c r="G208" s="159">
        <v>0</v>
      </c>
      <c r="H208" s="159">
        <v>2407.6</v>
      </c>
      <c r="I208" s="159"/>
      <c r="J208" s="159"/>
      <c r="K208" s="159"/>
      <c r="L208" s="159">
        <f t="shared" ref="L208" si="51">SUM(B208:K208)</f>
        <v>27407.599999999999</v>
      </c>
    </row>
    <row r="209" spans="1:12">
      <c r="A209" s="170">
        <f>'Historical NAV'!A1201</f>
        <v>45705</v>
      </c>
      <c r="B209" s="159">
        <v>0</v>
      </c>
      <c r="C209" s="159">
        <v>0</v>
      </c>
      <c r="D209" s="159">
        <v>0</v>
      </c>
      <c r="E209" s="159">
        <v>0</v>
      </c>
      <c r="F209" s="159">
        <v>0</v>
      </c>
      <c r="G209" s="159">
        <v>0</v>
      </c>
      <c r="H209" s="159">
        <v>0</v>
      </c>
      <c r="I209" s="159"/>
      <c r="J209" s="159"/>
      <c r="K209" s="159"/>
      <c r="L209" s="159">
        <f t="shared" ref="L209" si="52">SUM(B209:K209)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S2" sqref="S2:U13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si="0">IF(E18=0, "", E18)</f>
        <v>3.0108225232103156E-3</v>
      </c>
      <c r="F4" s="8">
        <f t="shared" ca="1" si="0"/>
        <v>2.859729328907338E-5</v>
      </c>
      <c r="G4" s="8" t="str">
        <f t="shared" si="0"/>
        <v/>
      </c>
      <c r="H4" s="8" t="str">
        <f t="shared" si="0"/>
        <v/>
      </c>
      <c r="I4" s="8">
        <f t="shared" ca="1" si="0"/>
        <v>2.859729328907338E-5</v>
      </c>
      <c r="J4" s="8">
        <f t="shared" ca="1" si="0"/>
        <v>4.7509560960974362E-3</v>
      </c>
      <c r="K4" s="8">
        <f ca="1">J4</f>
        <v>4.7509560960974362E-3</v>
      </c>
      <c r="L4" s="8">
        <f t="shared" ca="1" si="0"/>
        <v>6.8681654278559989E-2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1.4709616179250269E-2</v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-7.1953390000000007E-5</v>
      </c>
      <c r="J6" s="8">
        <f>_xll.BDP($B6,"CURRENT_TRR_MTD")/100</f>
        <v>1.3092310000000001E-2</v>
      </c>
      <c r="K6" s="8">
        <f>_xll.BDP(B6,"CHG_PCT_1M")/100</f>
        <v>1.967257E-2</v>
      </c>
      <c r="L6" s="8">
        <f t="array" ref="L6">_xll.BDP($B6,"CHG_PCT_YTD")/100</f>
        <v>3.9614869999999996E-2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25472.594984098447</v>
      </c>
      <c r="U6" s="8">
        <f>VLOOKUP("new_equity", 'Email input'!F:G, 2, FALSE)/100</f>
        <v>3.8419033999999996E-4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2.9006142482705676E-2</v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3.811952E-3</v>
      </c>
      <c r="J7" s="8">
        <f t="array" ref="J7">_xll.BDP($B7,"CURRENT_TRR_MTD")/100</f>
        <v>3.000129E-2</v>
      </c>
      <c r="K7" s="8">
        <f>_xll.BDP(B7,"CHG_PCT_1M")/100</f>
        <v>3.1413380000000005E-2</v>
      </c>
      <c r="L7" s="8">
        <f t="array" ref="L7">_xll.BDP($B7,"CHG_PCT_YTD")/100</f>
        <v>5.247052E-2</v>
      </c>
      <c r="N7" s="47" t="s">
        <v>95</v>
      </c>
      <c r="O7" s="295">
        <f ca="1">OFFSET('Historical NAV'!F1,COUNT('Historical NAV'!A:A),,,)</f>
        <v>1905.0118767991662</v>
      </c>
      <c r="P7" s="296" t="s">
        <v>58</v>
      </c>
      <c r="Q7" s="297">
        <f ca="1">SUM(O7:P7)</f>
        <v>1905.0118767991662</v>
      </c>
      <c r="S7" t="s">
        <v>292</v>
      </c>
      <c r="T7" s="286">
        <f>($T$3+T$4)*U7</f>
        <v>97105.41299642298</v>
      </c>
      <c r="U7" s="8">
        <f>VLOOKUP("Fixed Income", 'Email input'!F:G, 2, FALSE)/100</f>
        <v>1.46459211E-3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1.7232742471600473E-2</v>
      </c>
      <c r="F8" s="8">
        <f t="array" ref="F8">IFERROR(_xll.BDP($B8,"INTERVAL_PERCENT_CHANGE", "END_DATE_OVERRIDE="&amp;TEXT(F$17,"yyyymmdd"), "START_DATE_OVERRIDE="&amp;TEXT(F$16,"yyyymmdd"))/100, "")</f>
        <v>8.3870454772792683E-4</v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8.3844849999999995E-4</v>
      </c>
      <c r="J8" s="8">
        <f t="array" ref="J8">_xll.BDP($B8,"CURRENT_TRR_MTD")/100</f>
        <v>1.7843690000000002E-2</v>
      </c>
      <c r="K8" s="8">
        <f>_xll.BDP(B8,"CHG_PCT_1M")/100</f>
        <v>3.2898839999999999E-2</v>
      </c>
      <c r="L8" s="8">
        <f t="array" ref="L8">_xll.BDP($B8,"CHG_PCT_YTD")/100</f>
        <v>5.2401629999999998E-2</v>
      </c>
      <c r="N8" t="s">
        <v>301</v>
      </c>
      <c r="O8" s="69">
        <f ca="1">OFFSET('Historical NAV'!J1,COUNT('Historical NAV'!A:A),,,)</f>
        <v>314997.97842890024</v>
      </c>
      <c r="P8" s="280">
        <f>SUM(P4:P5)*P9</f>
        <v>21512.876600000003</v>
      </c>
      <c r="Q8" s="280">
        <f ca="1">SUM(O8:P8)</f>
        <v>336510.85502890026</v>
      </c>
      <c r="S8" s="47" t="s">
        <v>293</v>
      </c>
      <c r="T8" s="287">
        <f>($T$3+T$4)*U8</f>
        <v>192073.06658972421</v>
      </c>
      <c r="U8" s="207">
        <f>VLOOKUP("Cash", 'Email input'!F:G, 2, FALSE)/100</f>
        <v>2.89694147E-3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4.4993404317922783E-3</v>
      </c>
      <c r="F9" s="8">
        <f t="array" ref="F9">IFERROR(_xll.BDP($B9,"INTERVAL_PERCENT_CHANGE", "END_DATE_OVERRIDE="&amp;TEXT(F$17,"yyyymmdd"), "START_DATE_OVERRIDE="&amp;TEXT(F$16,"yyyymmdd"))/100, "")</f>
        <v>-1.2620390284586616E-3</v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-1.2620390000000002E-3</v>
      </c>
      <c r="J9" s="8">
        <f t="array" ref="J9">_xll.BDP($B9,"CURRENT_TRR_MTD")/100</f>
        <v>8.0977549999999999E-3</v>
      </c>
      <c r="K9" s="8">
        <f>_xll.BDP(B9,"CHG_PCT_1M")/100</f>
        <v>1.849868E-2</v>
      </c>
      <c r="L9" s="8">
        <f t="array" ref="L9">_xll.BDP($B9,"CHG_PCT_YTD")/100</f>
        <v>1.2775380000000001E-2</v>
      </c>
      <c r="N9" t="s">
        <v>302</v>
      </c>
      <c r="O9" s="8">
        <f ca="1">OFFSET('Historical NAV'!K1,COUNT('Historical NAV'!A:A),,,)</f>
        <v>4.7509560960974362E-3</v>
      </c>
      <c r="P9" s="285">
        <f>J5</f>
        <v>0.01</v>
      </c>
      <c r="S9" t="s">
        <v>294</v>
      </c>
      <c r="T9" s="288">
        <f>SUM(T5:T8)</f>
        <v>314651.07457024563</v>
      </c>
      <c r="V9" s="312">
        <f>T9/(T3+T4)</f>
        <v>4.7457239199999992E-3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1.5933051631300418E-2</v>
      </c>
      <c r="F10" s="8">
        <f t="array" ref="F10">IFERROR(_xll.BDP($B10,"INTERVAL_PERCENT_CHANGE", "END_DATE_OVERRIDE="&amp;TEXT(F$17,"yyyymmdd"), "START_DATE_OVERRIDE="&amp;TEXT(F$16,"yyyymmdd"))/100, "")</f>
        <v>-2.4602348603475067E-3</v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-2.4602349999999999E-3</v>
      </c>
      <c r="J10" s="8">
        <f t="array" ref="J10">_xll.BDP($B10,"CURRENT_TRR_MTD")/100</f>
        <v>3.2567510000000001E-2</v>
      </c>
      <c r="K10" s="8">
        <f>_xll.BDP(B10,"CHG_PCT_1M")/100</f>
        <v>1.8592879999999999E-2</v>
      </c>
      <c r="L10" s="8">
        <f t="array" ref="L10">_xll.BDP($B10,"CHG_PCT_YTD")/100</f>
        <v>6.9486889999999996E-2</v>
      </c>
      <c r="N10" s="275" t="s">
        <v>297</v>
      </c>
      <c r="O10" s="281">
        <f ca="1">O4+O5+O8</f>
        <v>66617016.358428903</v>
      </c>
      <c r="P10" s="276">
        <f>P4+P5+P8</f>
        <v>2172800.5366000002</v>
      </c>
      <c r="Q10" s="281">
        <f ca="1">SUM(O10:P10)</f>
        <v>68789816.895028904</v>
      </c>
      <c r="S10" t="s">
        <v>295</v>
      </c>
      <c r="T10" s="286">
        <f>SUM('Email input'!D5:D6)</f>
        <v>-472174.04569440003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-17260.565758146346</v>
      </c>
      <c r="U11" s="8"/>
    </row>
    <row r="12" spans="2:22" ht="15.75" collapsed="1" thickTop="1">
      <c r="S12" t="s">
        <v>296</v>
      </c>
      <c r="T12" s="280">
        <f>SUM('Email input'!D7:D9)</f>
        <v>489781.52012059995</v>
      </c>
      <c r="U12" s="8"/>
      <c r="V12" s="41"/>
    </row>
    <row r="13" spans="2:22" ht="15.75" thickBot="1">
      <c r="S13" s="275" t="s">
        <v>297</v>
      </c>
      <c r="T13" s="281">
        <f>T3+T4+T9+T10+T12+T11</f>
        <v>66617016.363238297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66617016.363238297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66617016.363238297</v>
      </c>
    </row>
    <row r="18" spans="2:21">
      <c r="B18" t="s">
        <v>326</v>
      </c>
      <c r="D18" s="298">
        <v>1.6999999999999999E-3</v>
      </c>
      <c r="E18" s="298">
        <v>3.0108225232103156E-3</v>
      </c>
      <c r="F18" s="298">
        <f ca="1">Dashboard!$B$4</f>
        <v>2.859729328907338E-5</v>
      </c>
      <c r="G18" s="298"/>
      <c r="H18" s="298"/>
      <c r="I18" s="8">
        <f ca="1">Dashboard!B9</f>
        <v>2.859729328907338E-5</v>
      </c>
      <c r="J18" s="8">
        <f ca="1">Dashboard!B5</f>
        <v>4.7509560960974362E-3</v>
      </c>
      <c r="K18" s="8"/>
      <c r="L18" s="69">
        <f ca="1">Dashboard!B6</f>
        <v>6.8681654278559989E-2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>
        <v>0.01</v>
      </c>
      <c r="F19" s="298"/>
      <c r="G19" s="298"/>
      <c r="H19" s="298"/>
      <c r="J19">
        <f>SUM(D19:H19)</f>
        <v>0.01</v>
      </c>
      <c r="L19" s="41">
        <v>7.2999999999999995E-2</v>
      </c>
      <c r="M19" s="41" t="s">
        <v>349</v>
      </c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1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132915.2215857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346</v>
      </c>
      <c r="D4" s="282">
        <v>164603.29999999999</v>
      </c>
      <c r="F4" t="s">
        <v>292</v>
      </c>
      <c r="G4">
        <v>0.14645921100000001</v>
      </c>
    </row>
    <row r="5" spans="1:7">
      <c r="A5" t="s">
        <v>337</v>
      </c>
      <c r="B5" s="282" t="s">
        <v>320</v>
      </c>
      <c r="C5" t="s">
        <v>348</v>
      </c>
      <c r="D5" s="282">
        <v>8.1</v>
      </c>
      <c r="F5" t="s">
        <v>293</v>
      </c>
      <c r="G5">
        <v>0.28969414700000001</v>
      </c>
    </row>
    <row r="6" spans="1:7">
      <c r="A6" t="s">
        <v>337</v>
      </c>
      <c r="B6" s="282" t="s">
        <v>320</v>
      </c>
      <c r="C6" t="s">
        <v>347</v>
      </c>
      <c r="D6" s="282">
        <v>-472182.14569440001</v>
      </c>
    </row>
    <row r="7" spans="1:7">
      <c r="A7" t="s">
        <v>337</v>
      </c>
      <c r="B7" s="282" t="s">
        <v>320</v>
      </c>
      <c r="C7" t="s">
        <v>317</v>
      </c>
      <c r="D7" s="282">
        <v>493422.78115539998</v>
      </c>
    </row>
    <row r="8" spans="1:7">
      <c r="A8" t="s">
        <v>337</v>
      </c>
      <c r="B8" s="282" t="s">
        <v>320</v>
      </c>
      <c r="C8" t="s">
        <v>43</v>
      </c>
      <c r="D8" s="282">
        <v>-196.44</v>
      </c>
    </row>
    <row r="9" spans="1:7">
      <c r="A9" t="s">
        <v>337</v>
      </c>
      <c r="B9" s="282" t="s">
        <v>320</v>
      </c>
      <c r="C9" t="s">
        <v>18</v>
      </c>
      <c r="D9" s="282">
        <v>-3444.8210347999998</v>
      </c>
      <c r="F9" t="s">
        <v>321</v>
      </c>
      <c r="G9">
        <v>3.8419033999999998E-2</v>
      </c>
    </row>
    <row r="10" spans="1:7">
      <c r="A10" t="s">
        <v>337</v>
      </c>
      <c r="B10" s="282" t="s">
        <v>320</v>
      </c>
      <c r="C10" t="s">
        <v>318</v>
      </c>
      <c r="D10" s="282">
        <v>-128.017583</v>
      </c>
    </row>
    <row r="11" spans="1:7">
      <c r="A11" t="s">
        <v>337</v>
      </c>
      <c r="B11" s="282" t="s">
        <v>320</v>
      </c>
      <c r="C11" t="s">
        <v>297</v>
      </c>
      <c r="D11" s="282">
        <v>66617016.363238297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66617016.363238297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314997.97842890024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4.7509560960974362E-3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5.1248856366705953E-2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2.859729328907338E-5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9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9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>
        <f>'Historical NAV'!A1198</f>
        <v>45700</v>
      </c>
      <c r="B1198" s="173">
        <f>'Historical NAV'!B1198</f>
        <v>66435397.653966203</v>
      </c>
      <c r="C1198" s="173">
        <f>'Historical NAV'!C1198</f>
        <v>0</v>
      </c>
      <c r="D1198" s="173" t="e">
        <f>'Historical NAV'!#REF!</f>
        <v>#REF!</v>
      </c>
      <c r="E1198" s="173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6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42">
        <f t="shared" si="192"/>
        <v>1.7857142857142857E-4</v>
      </c>
      <c r="Y1198" s="139">
        <f t="shared" ref="Y1198" si="1229">I1198-X1198</f>
        <v>-7.9308282432078545E-5</v>
      </c>
      <c r="Z1198" s="139">
        <f t="shared" ref="Z1198" si="1230">IF(Y1198&lt;0,Y1198,0)</f>
        <v>-7.9308282432078545E-5</v>
      </c>
      <c r="AA1198" s="139">
        <f t="shared" ref="AA1198" si="1231">Z1198^2</f>
        <v>6.2898036623263385E-9</v>
      </c>
      <c r="AB1198" s="144">
        <f t="shared" ref="AB1198" si="1232">AVERAGE(Y945:Y1198)/AVERAGE(AA945:AA1198)</f>
        <v>2.8259714838529155</v>
      </c>
      <c r="AC1198" s="144">
        <f t="shared" ref="AC1198" si="1233">AVERAGE(I1167:I1198)-_xlfn.NORM.S.INV(0.95)*_xlfn.STDEV.S(I1167:I1198)</f>
        <v>-4.4757785035203966E-2</v>
      </c>
      <c r="AD1198" s="144">
        <f t="shared" ref="AD1198" si="1234">AVERAGE(I1107:I1198)-_xlfn.NORM.S.INV(0.95)*_xlfn.STDEV.S(I1107:I1198)</f>
        <v>-3.9104010750582605E-2</v>
      </c>
      <c r="AE1198" s="144">
        <f t="shared" ref="AE1198" si="1235">AVERAGE(I832:I1198)-_xlfn.NORM.S.INV(0.95)*_xlfn.STDEV.S(I832:I1198)</f>
        <v>-4.8695547778249741E-2</v>
      </c>
    </row>
    <row r="1199" spans="1:31">
      <c r="A1199" s="172">
        <f>'Historical NAV'!A1199</f>
        <v>45701</v>
      </c>
      <c r="B1199" s="173">
        <f>'Historical NAV'!B1199</f>
        <v>66585533.1466804</v>
      </c>
      <c r="C1199" s="173">
        <f>'Historical NAV'!C1199</f>
        <v>0</v>
      </c>
      <c r="D1199" s="173" t="e">
        <f>'Historical NAV'!#REF!</f>
        <v>#REF!</v>
      </c>
      <c r="E1199" s="173" t="e">
        <f>'Historical NAV'!#REF!</f>
        <v>#REF!</v>
      </c>
      <c r="F1199" s="67">
        <f t="shared" ref="F1199" si="1236">B1199</f>
        <v>66585533.1466804</v>
      </c>
      <c r="G1199" s="67">
        <f t="shared" ref="G1199" si="1237">IF(MONTH(A1199)=MONTH(A1198),G1198,F1198)</f>
        <v>66302018.384809397</v>
      </c>
      <c r="H1199" s="176">
        <f>B1199-C1199-F1198-'Daily P&amp;L breakdown'!H207</f>
        <v>147077.19271419646</v>
      </c>
      <c r="I1199" s="70">
        <f t="shared" ref="I1199" si="1238">H1199/B1198</f>
        <v>2.2138377718495666E-3</v>
      </c>
      <c r="J1199" s="67">
        <f t="shared" ref="J1199" si="1239">IF(MONTH(A1199)=MONTH(A1198),J1198+H1199,H1199)</f>
        <v>266345.82187100261</v>
      </c>
      <c r="K1199" s="70">
        <f t="shared" ref="K1199" si="1240">(1+K1198)*(1+I1199)-1</f>
        <v>0.13598908385180342</v>
      </c>
      <c r="L1199" s="70">
        <f t="shared" ref="L1199" si="1241">1+I1199</f>
        <v>1.0022138377718495</v>
      </c>
      <c r="M1199" s="70">
        <f>PRODUCT($L$2:L1199)-1</f>
        <v>0.46682498871953904</v>
      </c>
      <c r="N1199" s="70">
        <f>PRODUCT($L$909:L1199)-1</f>
        <v>0.15910538874262947</v>
      </c>
      <c r="O1199" s="70">
        <f>AVERAGE($I$909:I1199)*252</f>
        <v>0.24815062815486685</v>
      </c>
      <c r="P1199" s="70">
        <f>STDEV($I$909:I1199)*252^0.5</f>
        <v>0.48943270416423995</v>
      </c>
      <c r="Q1199" s="67">
        <f t="shared" ref="Q1199" si="1242">B1199-C1199-F1168</f>
        <v>-4619299.4747637063</v>
      </c>
      <c r="R1199" s="70">
        <f t="shared" ref="R1199" si="1243">Q1199/B1168</f>
        <v>-6.4873398401508978E-2</v>
      </c>
      <c r="S1199" s="67">
        <f t="shared" ref="S1199" si="1244">B1199-C1199-F1108</f>
        <v>-2057126.0375107974</v>
      </c>
      <c r="T1199" s="70">
        <f t="shared" ref="T1199" si="1245">S1199/B1108</f>
        <v>-2.9968623913459422E-2</v>
      </c>
      <c r="U1199" s="67">
        <f t="shared" ref="U1199" si="1246">B1199-C1199-F833</f>
        <v>30338426.796680398</v>
      </c>
      <c r="V1199" s="70">
        <f t="shared" ref="V1199" si="1247">U1199/B833</f>
        <v>0.83698893102622518</v>
      </c>
      <c r="W1199" s="87">
        <f t="shared" ref="W1199" si="1248">O1199/P1199</f>
        <v>0.50701685041380973</v>
      </c>
      <c r="X1199" s="142">
        <f t="shared" si="192"/>
        <v>1.7857142857142857E-4</v>
      </c>
      <c r="Y1199" s="139">
        <f t="shared" ref="Y1199" si="1249">I1199-X1199</f>
        <v>2.0352663432781381E-3</v>
      </c>
      <c r="Z1199" s="139">
        <f t="shared" ref="Z1199" si="1250">IF(Y1199&lt;0,Y1199,0)</f>
        <v>0</v>
      </c>
      <c r="AA1199" s="139">
        <f t="shared" ref="AA1199" si="1251">Z1199^2</f>
        <v>0</v>
      </c>
      <c r="AB1199" s="144">
        <f t="shared" ref="AB1199" si="1252">AVERAGE(Y946:Y1199)/AVERAGE(AA946:AA1199)</f>
        <v>2.9272911513388515</v>
      </c>
      <c r="AC1199" s="144">
        <f t="shared" ref="AC1199" si="1253">AVERAGE(I1168:I1199)-_xlfn.NORM.S.INV(0.95)*_xlfn.STDEV.S(I1168:I1199)</f>
        <v>-4.3880294183188916E-2</v>
      </c>
      <c r="AD1199" s="144">
        <f t="shared" ref="AD1199" si="1254">AVERAGE(I1108:I1199)-_xlfn.NORM.S.INV(0.95)*_xlfn.STDEV.S(I1108:I1199)</f>
        <v>-3.901247475273515E-2</v>
      </c>
      <c r="AE1199" s="144">
        <f t="shared" ref="AE1199" si="1255">AVERAGE(I833:I1199)-_xlfn.NORM.S.INV(0.95)*_xlfn.STDEV.S(I833:I1199)</f>
        <v>-4.8719658383609379E-2</v>
      </c>
    </row>
    <row r="1200" spans="1:31">
      <c r="A1200" s="172"/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172"/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  <row r="1249" spans="6:31">
      <c r="F1249" s="67"/>
      <c r="G1249" s="67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42"/>
      <c r="Y1249" s="139"/>
      <c r="Z1249" s="139"/>
      <c r="AA1249" s="139"/>
      <c r="AB1249" s="144"/>
      <c r="AC1249" s="144"/>
      <c r="AD1249" s="144"/>
      <c r="AE1249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66617016.363238297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314997.97842890024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4.7509560960974362E-3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1905.0118767991662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2.859729328907338E-5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-7.1953390000000007E-5</v>
      </c>
      <c r="D22" s="25">
        <f>_xll.BDP(D27,$A27)/100</f>
        <v>4.0675559999999999E-3</v>
      </c>
      <c r="E22" s="26">
        <f>_xll.BDP(E27,$A27)/100</f>
        <v>-3.6981599999999998E-3</v>
      </c>
      <c r="F22" s="27">
        <f>_xll.BDP(F27,$A27)/100</f>
        <v>8.2660000000000008E-3</v>
      </c>
      <c r="G22" s="27">
        <f>_xll.BDP(G27,$A27)/100</f>
        <v>-2.498012E-3</v>
      </c>
      <c r="H22" s="25">
        <f>_xll.BDP(H27,$A27)/100</f>
        <v>4.2411447337555542E-3</v>
      </c>
    </row>
    <row r="23" spans="1:11">
      <c r="A23" s="355" t="s">
        <v>66</v>
      </c>
      <c r="B23" s="356"/>
      <c r="C23" s="28">
        <f>_xll.BDP(C27,$A28)/100</f>
        <v>1.2267149999999999E-2</v>
      </c>
      <c r="D23" s="28">
        <f>_xll.BDP(D27,$A28)/100</f>
        <v>2.0345499999999999E-2</v>
      </c>
      <c r="E23" s="29">
        <f>_xll.BDP(E27,$A28)/100</f>
        <v>3.1832519999999999E-5</v>
      </c>
      <c r="F23" s="30">
        <f>_xll.BDP(F27,$A28)/100</f>
        <v>-5.6179999999999997E-3</v>
      </c>
      <c r="G23" s="30">
        <f>_xll.BDP(G27,$A28)/100</f>
        <v>3.2528359999999999E-2</v>
      </c>
      <c r="H23" s="28">
        <f>_xll.BDP(H27,$A28)/100</f>
        <v>-1.2392728614930364E-2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2025-02-18T05:29:29Z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