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CB9A2D82-A6CC-438A-8D59-31934BB138B8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" i="16" l="1"/>
  <c r="F9" i="16" a="1"/>
  <c r="F9" i="16"/>
  <c r="F8" i="16" a="1"/>
  <c r="F8" i="16"/>
  <c r="F7" i="16" a="1"/>
  <c r="F7" i="16"/>
  <c r="F10" i="16" a="1"/>
  <c r="F10" i="16"/>
  <c r="F6" i="16" a="1"/>
  <c r="F6" i="16"/>
  <c r="H7" i="16" a="1"/>
  <c r="H7" i="16"/>
  <c r="H6" i="16" a="1"/>
  <c r="H6" i="16"/>
  <c r="H10" i="16" a="1"/>
  <c r="H10" i="16"/>
  <c r="H9" i="16" a="1"/>
  <c r="H9" i="16"/>
  <c r="H8" i="16" a="1"/>
  <c r="H8" i="16"/>
  <c r="E6" i="16" a="1"/>
  <c r="E6" i="16"/>
  <c r="E7" i="16" a="1"/>
  <c r="E7" i="16"/>
  <c r="E9" i="16" a="1"/>
  <c r="E9" i="16"/>
  <c r="E8" i="16" a="1"/>
  <c r="E8" i="16"/>
  <c r="E10" i="16" a="1"/>
  <c r="E10" i="16"/>
  <c r="K6" i="16"/>
  <c r="K9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D6" i="16" a="1"/>
  <c r="D6" i="16"/>
  <c r="D7" i="16" a="1"/>
  <c r="D7" i="16"/>
  <c r="D9" i="16" a="1"/>
  <c r="D9" i="16"/>
  <c r="D10" i="16" a="1"/>
  <c r="D10" i="16"/>
  <c r="D8" i="16" a="1"/>
  <c r="D8" i="16"/>
  <c r="G6" i="16" a="1"/>
  <c r="G6" i="16"/>
  <c r="G8" i="16" a="1"/>
  <c r="G8" i="16"/>
  <c r="G10" i="16" a="1"/>
  <c r="G10" i="16"/>
  <c r="G9" i="16" a="1"/>
  <c r="G9" i="16"/>
  <c r="G7" i="16" a="1"/>
  <c r="G7" i="16"/>
  <c r="J19" i="16"/>
  <c r="E17" i="16"/>
  <c r="F17" i="16" s="1"/>
  <c r="G17" i="16" s="1"/>
  <c r="H17" i="16" s="1"/>
  <c r="T16" i="16"/>
  <c r="E16" i="16"/>
  <c r="F16" i="16" s="1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E4" i="16"/>
  <c r="D4" i="16"/>
  <c r="T3" i="16"/>
  <c r="F23" i="4"/>
  <c r="D22" i="4"/>
  <c r="F22" i="4"/>
  <c r="H23" i="4"/>
  <c r="E22" i="4"/>
  <c r="D23" i="4"/>
  <c r="H22" i="4"/>
  <c r="E23" i="4"/>
  <c r="C22" i="4"/>
  <c r="G22" i="4"/>
  <c r="G23" i="4"/>
  <c r="C23" i="4"/>
  <c r="C24" i="4"/>
  <c r="P9" i="16" l="1"/>
  <c r="P8" i="16" s="1"/>
  <c r="Q8" i="16" s="1"/>
  <c r="L5" i="16"/>
  <c r="K5" i="16"/>
  <c r="P10" i="16"/>
  <c r="T8" i="16"/>
  <c r="T7" i="16"/>
  <c r="T6" i="16"/>
  <c r="T9" i="16" s="1"/>
  <c r="V9" i="16" s="1"/>
  <c r="O4" i="16"/>
  <c r="P6" i="16" s="1"/>
  <c r="X1200" i="14"/>
  <c r="E1200" i="14"/>
  <c r="D1200" i="14"/>
  <c r="C1200" i="14"/>
  <c r="B1200" i="14"/>
  <c r="F1200" i="14" s="1"/>
  <c r="A1200" i="14"/>
  <c r="L210" i="13"/>
  <c r="A210" i="13"/>
  <c r="X1202" i="3"/>
  <c r="D1202" i="3"/>
  <c r="O10" i="16" l="1"/>
  <c r="Q10" i="16" s="1"/>
  <c r="O6" i="16"/>
  <c r="Q6" i="16" s="1"/>
  <c r="Q4" i="16"/>
  <c r="T13" i="16"/>
  <c r="T17" i="16" s="1"/>
  <c r="T18" i="16" s="1"/>
  <c r="X1199" i="14"/>
  <c r="E1199" i="14"/>
  <c r="D1199" i="14"/>
  <c r="C1199" i="14"/>
  <c r="B1199" i="14"/>
  <c r="A1199" i="14"/>
  <c r="L209" i="13"/>
  <c r="A209" i="13"/>
  <c r="X1201" i="3"/>
  <c r="D1201" i="3"/>
  <c r="F1202" i="3" s="1"/>
  <c r="G1202" i="3" l="1"/>
  <c r="F1199" i="14"/>
  <c r="H1200" i="14" s="1"/>
  <c r="I1200" i="14" s="1"/>
  <c r="L1200" i="14" l="1"/>
  <c r="Y1200" i="14"/>
  <c r="Z1200" i="14" s="1"/>
  <c r="AA1200" i="14" s="1"/>
  <c r="L1202" i="3"/>
  <c r="Y1202" i="3"/>
  <c r="Z1202" i="3" s="1"/>
  <c r="AA1202" i="3" s="1"/>
  <c r="X1198" i="14"/>
  <c r="E1198" i="14"/>
  <c r="D1198" i="14"/>
  <c r="C1198" i="14"/>
  <c r="B1198" i="14"/>
  <c r="A1198" i="14"/>
  <c r="L208" i="13"/>
  <c r="A208" i="13"/>
  <c r="X1200" i="3"/>
  <c r="D1200" i="3"/>
  <c r="F1201" i="3" s="1"/>
  <c r="G1201" i="3" l="1"/>
  <c r="F1198" i="14"/>
  <c r="H1199" i="14" s="1"/>
  <c r="I1199" i="14" s="1"/>
  <c r="L1199" i="14" l="1"/>
  <c r="Y1199" i="14"/>
  <c r="Z1199" i="14" s="1"/>
  <c r="AA1199" i="14" s="1"/>
  <c r="L1201" i="3"/>
  <c r="Y1201" i="3"/>
  <c r="Z1201" i="3" s="1"/>
  <c r="AA1201" i="3" s="1"/>
  <c r="X1197" i="14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F1197" i="3" s="1"/>
  <c r="G1197" i="3" s="1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J1199" i="14" s="1"/>
  <c r="J1200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l="1"/>
  <c r="G1172" i="3" s="1"/>
  <c r="Q1202" i="3"/>
  <c r="R1202" i="3" s="1"/>
  <c r="G1174" i="3"/>
  <c r="AC1201" i="3" s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l="1"/>
  <c r="I1170" i="14" s="1"/>
  <c r="Q1200" i="14"/>
  <c r="R1200" i="14" s="1"/>
  <c r="AC1202" i="3"/>
  <c r="Y1172" i="14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X1168" i="14"/>
  <c r="E1168" i="14"/>
  <c r="D1168" i="14"/>
  <c r="C1168" i="14"/>
  <c r="B1168" i="14"/>
  <c r="A1168" i="14"/>
  <c r="L178" i="13"/>
  <c r="A178" i="13"/>
  <c r="X1170" i="3"/>
  <c r="A650" i="18"/>
  <c r="F1171" i="3" l="1"/>
  <c r="Q1201" i="3"/>
  <c r="R1201" i="3" s="1"/>
  <c r="G1171" i="3"/>
  <c r="AC1200" i="3" s="1"/>
  <c r="F1168" i="14"/>
  <c r="H1169" i="14" l="1"/>
  <c r="I1169" i="14" s="1"/>
  <c r="AC1200" i="14" s="1"/>
  <c r="Q1199" i="14"/>
  <c r="R1199" i="14" s="1"/>
  <c r="J1169" i="14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AC1199" i="14" s="1"/>
  <c r="Q1198" i="14"/>
  <c r="R1198" i="14" s="1"/>
  <c r="L1168" i="14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202" i="3" l="1"/>
  <c r="P1202" i="3"/>
  <c r="O1201" i="3"/>
  <c r="P1201" i="3"/>
  <c r="O1200" i="3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N1201" i="3" l="1"/>
  <c r="N1202" i="3"/>
  <c r="W1202" i="3"/>
  <c r="W1201" i="3"/>
  <c r="N1199" i="3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S1202" i="3" s="1"/>
  <c r="T1202" i="3" s="1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S1201" i="3" s="1"/>
  <c r="T1201" i="3" s="1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40" i="14" l="1"/>
  <c r="R1140" i="14" s="1"/>
  <c r="S1200" i="14"/>
  <c r="T1200" i="14" s="1"/>
  <c r="T1189" i="3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AD1202" i="3" s="1"/>
  <c r="H1117" i="3"/>
  <c r="H1118" i="3" s="1"/>
  <c r="H1119" i="3" s="1"/>
  <c r="H1120" i="3" s="1"/>
  <c r="H1121" i="3" s="1"/>
  <c r="G1112" i="3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S1199" i="14" s="1"/>
  <c r="T1199" i="14" s="1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12" i="3" l="1"/>
  <c r="AD1201" i="3"/>
  <c r="AD1199" i="3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AD1199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200" i="14" l="1"/>
  <c r="AD1198" i="14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X833" i="14"/>
  <c r="F833" i="14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3" i="14" l="1"/>
  <c r="T923" i="14" s="1"/>
  <c r="U1200" i="14"/>
  <c r="V1200" i="14" s="1"/>
  <c r="S922" i="14"/>
  <c r="T922" i="14" s="1"/>
  <c r="U1199" i="14"/>
  <c r="V1199" i="14" s="1"/>
  <c r="H833" i="14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34" i="14" l="1"/>
  <c r="L818" i="14"/>
  <c r="Y832" i="14"/>
  <c r="Z944" i="14"/>
  <c r="AA944" i="14" s="1"/>
  <c r="Y831" i="14"/>
  <c r="L824" i="14"/>
  <c r="J824" i="14"/>
  <c r="L829" i="14"/>
  <c r="L827" i="14"/>
  <c r="Y805" i="14"/>
  <c r="Z805" i="14" s="1"/>
  <c r="AA805" i="14" s="1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7" i="14" l="1"/>
  <c r="AA947" i="14" s="1"/>
  <c r="Z946" i="14"/>
  <c r="AA946" i="14" s="1"/>
  <c r="Z945" i="14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K1200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200" i="14" l="1"/>
  <c r="O1200" i="14"/>
  <c r="P1200" i="14"/>
  <c r="AE1199" i="14"/>
  <c r="O1199" i="14"/>
  <c r="P1199" i="14"/>
  <c r="AE1198" i="14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200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N1200" i="14" s="1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W1200" i="14" l="1"/>
  <c r="M1198" i="14"/>
  <c r="M1199" i="14"/>
  <c r="N1199" i="14"/>
  <c r="W1199" i="14"/>
  <c r="N1198" i="14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200" i="14" l="1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7" i="3" l="1"/>
  <c r="T927" i="3" s="1"/>
  <c r="U1202" i="3"/>
  <c r="V1202" i="3" s="1"/>
  <c r="S926" i="3"/>
  <c r="T926" i="3" s="1"/>
  <c r="U1201" i="3"/>
  <c r="V1201" i="3" s="1"/>
  <c r="S925" i="3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202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200" i="3" l="1"/>
  <c r="AE1201" i="3"/>
  <c r="AE1198" i="3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51" i="3" l="1"/>
  <c r="AA951" i="3" s="1"/>
  <c r="AB1202" i="3"/>
  <c r="Z950" i="3"/>
  <c r="AA950" i="3" s="1"/>
  <c r="AB1201" i="3"/>
  <c r="Z949" i="3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AB1196" i="3" s="1"/>
  <c r="Z944" i="3"/>
  <c r="AA944" i="3" s="1"/>
  <c r="Z943" i="3"/>
  <c r="AA943" i="3" s="1"/>
  <c r="AB1194" i="3" s="1"/>
  <c r="Z942" i="3"/>
  <c r="AA942" i="3" s="1"/>
  <c r="AB1193" i="3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5" i="3" l="1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2" i="3" l="1"/>
  <c r="M1201" i="3"/>
  <c r="M1200" i="3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<sst xmlns="http://schemas.openxmlformats.org/spreadsheetml/2006/main" count="775" uniqueCount="351">
  <si>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</si>
  <si>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</si>
  <si>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</si>
  <si>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</si>
  <si>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</si>
  <si>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</si>
  <si>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</si>
  <si>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</si>
  <si>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</si>
  <si>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</si>
  <si>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</si>
  <si>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</si>
  <si>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</si>
  <si>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</si>
  <si>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</si>
  <si>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</si>
  <si>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</si>
  <si>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</si>
  <si>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</si>
  <si>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</si>
  <si>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</si>
  <si>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</si>
  <si>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</si>
  <si>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</si>
  <si>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</si>
  <si>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</si>
  <si>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</si>
  <si>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</si>
  <si>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</si>
  <si>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</si>
  <si>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</si>
  <si>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</si>
  <si>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</si>
  <si>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</si>
  <si>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</si>
  <si>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</si>
  <si>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</si>
  <si>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</si>
  <si>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</si>
  <si>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</si>
  <si>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</si>
  <si>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</si>
  <si>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</si>
  <si>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</si>
  <si>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</si>
  <si>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</si>
  <si>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</si>
  <si>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</si>
  <si>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</si>
  <si>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</si>
  <si>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</si>
  <si>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</si>
  <si>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</si>
  <si>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</si>
  <si>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</si>
  <si>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</si>
  <si>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</si>
  <si>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</si>
  <si>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</si>
  <si>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</si>
  <si>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</si>
  <si>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</si>
  <si>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</si>
  <si>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</si>
  <si>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</si>
  <si>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</si>
  <si>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</si>
  <si>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</si>
  <si>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</si>
  <si>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</si>
  <si>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</si>
  <si>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</si>
  <si>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</si>
  <si>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</si>
  <si>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</si>
  <si>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</si>
  <si>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</si>
  <si>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</si>
  <si>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</si>
  <si>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</si>
  <si>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</si>
  <si>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</si>
  <si>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</si>
  <si>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</si>
  <si>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</si>
  <si>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</si>
  <si>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</si>
  <si>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</si>
  <si>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</si>
  <si>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</si>
  <si>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</si>
  <si>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</si>
  <si>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</si>
  <si>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</si>
  <si>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</si>
  <si>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</si>
  <si>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</si>
  <si>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</si>
  <si>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</si>
  <si>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</si>
  <si>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</si>
  <si>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</si>
  <si>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</si>
  <si>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</si>
  <si>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</si>
  <si>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</si>
  <si>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</si>
  <si>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</si>
  <si>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</si>
  <si>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</si>
  <si>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</si>
  <si>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</si>
  <si>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</si>
  <si>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</si>
  <si>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</si>
  <si>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</si>
  <si>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</si>
  <si>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</si>
  <si>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</si>
  <si>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</si>
  <si>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</si>
  <si>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</si>
  <si>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</si>
  <si>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</si>
  <si>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</si>
  <si>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</si>
  <si>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</si>
  <si>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</si>
  <si>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</si>
  <si>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</si>
  <si>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</si>
  <si>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</si>
  <si>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</si>
  <si>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</si>
  <si>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</si>
  <si>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</si>
  <si>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</si>
  <si>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</si>
  <si>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</si>
  <si>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</si>
  <si>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</si>
  <si>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</si>
  <si>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</si>
  <si>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</si>
  <si>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</si>
  <si>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</si>
  <si>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</si>
  <si>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</si>
  <si>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</si>
  <si>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</si>
  <si>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</si>
  <si>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</si>
  <si>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</si>
  <si>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</si>
  <si>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</si>
  <si>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</si>
  <si>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</si>
  <si>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</si>
  <si>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</si>
  <si>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</si>
  <si>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</si>
  <si>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</si>
  <si>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</si>
  <si>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</si>
  <si>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</si>
  <si>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</si>
  <si>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</si>
  <si>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</si>
  <si>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</si>
  <si>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</si>
  <si>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</si>
  <si>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</si>
  <si>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</si>
  <si>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</si>
  <si>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</si>
  <si>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</si>
  <si>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</si>
  <si>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</si>
  <si>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</si>
  <si>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</si>
  <si>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</si>
  <si>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</si>
  <si>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</si>
  <si>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</si>
  <si>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</si>
  <si>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</si>
  <si>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</si>
  <si>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</si>
  <si>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</si>
  <si>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</si>
  <si>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</si>
  <si>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</si>
  <si>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</si>
  <si>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</si>
  <si>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</si>
  <si>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</si>
  <si>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</si>
  <si>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</si>
  <si>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</si>
  <si>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</si>
  <si>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</si>
  <si>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</si>
  <si>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</si>
  <si>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</si>
  <si>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</si>
  <si>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</si>
  <si>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</si>
  <si>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</si>
  <si>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</si>
  <si>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</si>
  <si>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</si>
  <si>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</si>
  <si>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</si>
  <si>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</si>
  <si>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</si>
  <si>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</si>
  <si>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</si>
  <si>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</si>
  <si>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</si>
  <si>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</si>
  <si>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</si>
  <si>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</si>
  <si>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</si>
  <si>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</si>
  <si>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</si>
  <si>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</si>
  <si>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</si>
  <si>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</si>
  <si>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</si>
  <si>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</si>
  <si>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</si>
  <si>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</si>
  <si>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</si>
  <si>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</si>
  <si>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</si>
  <si>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</si>
  <si>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</si>
  <si>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</si>
  <si>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</si>
  <si>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</si>
  <si>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</si>
  <si>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</si>
  <si>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</si>
  <si>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</si>
  <si>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</si>
  <si>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</si>
  <si>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</si>
  <si>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</si>
  <si>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</si>
  <si>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</si>
  <si>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</si>
  <si>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</si>
  <si>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</si>
  <si>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</si>
  <si>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</si>
  <si>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</si>
  <si>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</si>
  <si>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</si>
  <si>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</si>
  <si>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</si>
  <si>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</si>
  <si>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</si>
  <si>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</si>
  <si>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</si>
  <si>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</si>
  <si>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</si>
  <si>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</si>
  <si>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</si>
  <si>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</si>
  <si>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</si>
  <si>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</si>
  <si>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</si>
  <si>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</si>
  <si>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</si>
  <si>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</si>
  <si>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</si>
  <si>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</si>
  <si>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</si>
  <si>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</si>
  <si>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</si>
  <si>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</si>
  <si>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</si>
  <si>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</si>
  <si>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</si>
  <si>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</si>
  <si>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</si>
  <si>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</si>
  <si>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</si>
  <si>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</si>
  <si>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</si>
  <si>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</si>
  <si>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</si>
  <si>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</si>
  <si>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</si>
  <si>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</si>
  <si>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</si>
  <si>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</si>
  <si>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</si>
  <si>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</si>
  <si>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</si>
  <si>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</si>
  <si>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</si>
  <si>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</si>
  <si>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</si>
  <si>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</si>
  <si>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</si>
  <si>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</si>
  <si>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</si>
  <si>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</si>
  <si>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</si>
  <si>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</si>
  <si>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</si>
  <si>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</si>
  <si>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</si>
  <si>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</si>
  <si>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</si>
  <si>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</si>
  <si>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</si>
  <si>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</si>
  <si>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</si>
  <si>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</si>
  <si>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</si>
  <si>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</si>
  <si>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</si>
  <si>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</si>
  <si>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</si>
  <si>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</si>
  <si>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</si>
  <si>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</si>
  <si>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</si>
  <si>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</si>
  <si>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</si>
  <si>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</si>
  <si>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</si>
  <si>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</si>
  <si>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</si>
  <si>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</si>
  <si>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</si>
  <si>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</si>
  <si>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</si>
  <si>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</si>
  <si>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</si>
  <si>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</si>
  <si>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</si>
  <si>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</si>
  <si>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</si>
  <si>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</si>
  <si>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</si>
  <si>
    <t>Change in Dividend Accruals</t>
  </si>
  <si>
    <t>DIA</t>
  </si>
  <si>
    <t>Dividends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</si>
</sst>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  <xf numFmtId="16" fontId="0" fillId="2" borderId="0" xfId="0" applyNumberFormat="1" applyFill="1"/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Data...4032583943</v>
        <stp/>
        <stp>BDP|13843568691370437419</stp>
        <tr r="G9" s="16"/>
      </tp>
      <tp t="s">
        <v>#N/A Requesting Data...3672672821</v>
        <stp/>
        <stp>BDP|17488990371770934291</stp>
        <tr r="L9" s="16"/>
      </tp>
      <tp t="s">
        <v>#N/A Requesting Data...4143081016</v>
        <stp/>
        <stp>BDP|13727818016546450707</stp>
        <tr r="H10" s="16"/>
      </tp>
      <tp t="s">
        <v>#N/A Requesting Data...3683405506</v>
        <stp/>
        <stp>BDP|11025807958107061305</stp>
        <tr r="D6" s="16"/>
      </tp>
      <tp t="s">
        <v>#N/A Requesting Data...4203585159</v>
        <stp/>
        <stp>BDP|12503804164161346560</stp>
        <tr r="H23" s="4"/>
      </tp>
      <tp t="s">
        <v>#N/A Requesting Data...3730142114</v>
        <stp/>
        <stp>BDP|16037198422009566377</stp>
        <tr r="H7" s="16"/>
      </tp>
      <tp t="s">
        <v>#N/A Requesting Data...3799350710</v>
        <stp/>
        <stp>BDP|14887355760439675744</stp>
        <tr r="G8" s="16"/>
      </tp>
      <tp t="s">
        <v>#N/A Requesting Data...3742194512</v>
        <stp/>
        <stp>BDP|15882609691144832149</stp>
        <tr r="G10" s="16"/>
      </tp>
      <tp t="s">
        <v>#N/A Requesting Data...3740821094</v>
        <stp/>
        <stp>BDP|11927491993173780392</stp>
        <tr r="E7" s="16"/>
      </tp>
      <tp t="s">
        <v>#N/A Requesting Data...4058527778</v>
        <stp/>
        <stp>BDP|18194437827130447215</stp>
        <tr r="K6" s="16"/>
      </tp>
      <tp t="s">
        <v>#N/A Requesting Data...3581866793</v>
        <stp/>
        <stp>BDP|15408295575394886937</stp>
        <tr r="H6" s="16"/>
      </tp>
      <tp t="s">
        <v>#N/A Requesting Data...3661565229</v>
        <stp/>
        <stp>BDP|12868917489186433836</stp>
        <tr r="D22" s="4"/>
      </tp>
      <tp t="s">
        <v>#N/A Requesting Data...4253884769</v>
        <stp/>
        <stp>BDP|11441239167720550763</stp>
        <tr r="G22" s="4"/>
      </tp>
      <tp t="s">
        <v>#N/A Requesting Data...3570230160</v>
        <stp/>
        <stp>BDP|16083383279081530134</stp>
        <tr r="G6" s="16"/>
      </tp>
      <tp t="s">
        <v>#N/A Requesting Data...3539763895</v>
        <stp/>
        <stp>BDP|15571183826414458091</stp>
        <tr r="F23" s="4"/>
      </tp>
      <tp t="s">
        <v>#N/A Requesting Data...3544970411</v>
        <stp/>
        <stp>BDP|16691583684581330968</stp>
        <tr r="F22" s="4"/>
      </tp>
      <tp t="s">
        <v>#N/A Requesting Data...3620732526</v>
        <stp/>
        <stp>BDP|10851542879122214334</stp>
        <tr r="K7" s="16"/>
      </tp>
      <tp t="s">
        <v>#N/A Requesting Data...3778426115</v>
        <stp/>
        <stp>BDP|13033893993631589338</stp>
        <tr r="C24" s="4"/>
      </tp>
      <tp t="s">
        <v>#N/A Requesting Data...3964300415</v>
        <stp/>
        <stp>BDP|17427418226980805092</stp>
        <tr r="E6" s="16"/>
      </tp>
      <tp t="s">
        <v>#N/A Requesting Data...3794296392</v>
        <stp/>
        <stp>BDP|12801142977284637660</stp>
        <tr r="F9" s="16"/>
      </tp>
      <tp t="s">
        <v>#N/A Requesting Data...3820153325</v>
        <stp/>
        <stp>BDP|11395363488884515847</stp>
        <tr r="E22" s="4"/>
      </tp>
      <tp t="s">
        <v>#N/A Requesting Data...3571224802</v>
        <stp/>
        <stp>BDP|11453968001806112847</stp>
        <tr r="L10" s="16"/>
      </tp>
      <tp t="s">
        <v>#N/A Requesting Data...3559266044</v>
        <stp/>
        <stp>BDP|13427178278194281624</stp>
        <tr r="H9" s="16"/>
      </tp>
      <tp t="s">
        <v>#N/A Requesting Data...4171496224</v>
        <stp/>
        <stp>BDP|14662245951000286439</stp>
        <tr r="C22" s="4"/>
      </tp>
      <tp t="s">
        <v>#N/A Requesting Data...4052481768</v>
        <stp/>
        <stp>BDP|16854102045504656375</stp>
        <tr r="K10" s="16"/>
      </tp>
      <tp t="s">
        <v>#N/A Requesting Data...4016808348</v>
        <stp/>
        <stp>BDP|17541570393706762923</stp>
        <tr r="K9" s="16"/>
      </tp>
      <tp t="s">
        <v>#N/A Requesting Data...4135539066</v>
        <stp/>
        <stp>BDP|14476774127851531505</stp>
        <tr r="E9" s="16"/>
      </tp>
      <tp t="s">
        <v>#N/A Requesting Data...3721634896</v>
        <stp/>
        <stp>BDP|16879443774998906816</stp>
        <tr r="K8" s="16"/>
      </tp>
    </main>
    <main first="bofaddin.rtdserver">
      <tp t="s">
        <v>#N/A Requesting Data...4053439725</v>
        <stp/>
        <stp>BDP|9184051814111053572</stp>
        <tr r="E8" s="16"/>
      </tp>
      <tp t="s">
        <v>#N/A Requesting Data...3633515237</v>
        <stp/>
        <stp>BDP|1413003601749412533</stp>
        <tr r="L6" s="16"/>
      </tp>
      <tp t="s">
        <v>#N/A Requesting Data...4221729863</v>
        <stp/>
        <stp>BDP|8485886604566386829</stp>
        <tr r="H22" s="4"/>
      </tp>
      <tp t="s">
        <v>#N/A Requesting Data...3818388224</v>
        <stp/>
        <stp>BDP|9958272376154164648</stp>
        <tr r="J9" s="16"/>
      </tp>
      <tp t="s">
        <v>#N/A Requesting Data...4204852501</v>
        <stp/>
        <stp>BDP|4155052320638790009</stp>
        <tr r="L7" s="16"/>
      </tp>
      <tp t="s">
        <v>#N/A Requesting Data...3672412947</v>
        <stp/>
        <stp>BDP|4020462511547452937</stp>
        <tr r="F7" s="16"/>
      </tp>
      <tp t="s">
        <v>#N/A Requesting Data...3643355712</v>
        <stp/>
        <stp>BDP|3599663092060873385</stp>
        <tr r="G23" s="4"/>
      </tp>
      <tp t="s">
        <v>#N/A Requesting Data...3559853606</v>
        <stp/>
        <stp>BDP|5197169271935733907</stp>
        <tr r="H8" s="16"/>
      </tp>
      <tp t="s">
        <v>#N/A Requesting Data...3740942870</v>
        <stp/>
        <stp>BDP|2715175043958188031</stp>
        <tr r="C23" s="4"/>
      </tp>
      <tp t="s">
        <v>#N/A Requesting Data...4076685661</v>
        <stp/>
        <stp>BDP|4938759477168674381</stp>
        <tr r="E23" s="4"/>
      </tp>
      <tp t="s">
        <v>#N/A Requesting Data...3957599646</v>
        <stp/>
        <stp>BDP|4120548091556971632</stp>
        <tr r="J8" s="16"/>
      </tp>
      <tp t="s">
        <v>#N/A Requesting Data...3860517552</v>
        <stp/>
        <stp>BDP|6229753396345444597</stp>
        <tr r="J10" s="16"/>
      </tp>
      <tp t="s">
        <v>#N/A Requesting Data...4194489444</v>
        <stp/>
        <stp>BDP|6992386206898388576</stp>
        <tr r="I6" s="16"/>
      </tp>
      <tp t="s">
        <v>#N/A Requesting Data...3766763562</v>
        <stp/>
        <stp>BDP|1440775866201456872</stp>
        <tr r="I10" s="16"/>
      </tp>
      <tp t="s">
        <v>#N/A Requesting Data...3681224691</v>
        <stp/>
        <stp>BDP|2558557980072118785</stp>
        <tr r="I9" s="16"/>
      </tp>
      <tp t="s">
        <v>#N/A Requesting Data...3874872690</v>
        <stp/>
        <stp>BDP|9567764807640019488</stp>
        <tr r="D23" s="4"/>
      </tp>
      <tp t="s">
        <v>#N/A Requesting Data...3724200496</v>
        <stp/>
        <stp>BDP|6919533648008043579</stp>
        <tr r="J6" s="16"/>
      </tp>
      <tp t="s">
        <v>#N/A Requesting Data...3897175701</v>
        <stp/>
        <stp>BDP|1309843736337904909</stp>
        <tr r="G7" s="16"/>
      </tp>
      <tp t="s">
        <v>#N/A Requesting Data...4280613695</v>
        <stp/>
        <stp>BDP|1008282973937479734</stp>
        <tr r="F10" s="16"/>
      </tp>
      <tp t="s">
        <v>#N/A Requesting Data...4217310163</v>
        <stp/>
        <stp>BDP|6402462776015551568</stp>
        <tr r="D7" s="16"/>
      </tp>
      <tp t="s">
        <v>#N/A Requesting Data...4257775089</v>
        <stp/>
        <stp>BDP|3917812088037969338</stp>
        <tr r="I8" s="16"/>
      </tp>
      <tp t="s">
        <v>#N/A Requesting Data...4074487784</v>
        <stp/>
        <stp>BDP|3783811399514793104</stp>
        <tr r="D9" s="16"/>
      </tp>
      <tp t="s">
        <v>#N/A Requesting Data...4088800748</v>
        <stp/>
        <stp>BDP|3813102979953158681</stp>
        <tr r="D8" s="16"/>
      </tp>
      <tp t="s">
        <v>#N/A Requesting Data...4240303254</v>
        <stp/>
        <stp>BDP|3016032546861645645</stp>
        <tr r="L8" s="16"/>
      </tp>
      <tp t="s">
        <v>#N/A Requesting Data...3600702002</v>
        <stp/>
        <stp>BDP|5342164155427751487</stp>
        <tr r="I7" s="16"/>
      </tp>
      <tp t="s">
        <v>#N/A Requesting Data...3861093912</v>
        <stp/>
        <stp>BDP|5398486785213771927</stp>
        <tr r="F8" s="16"/>
      </tp>
      <tp t="s">
        <v>#N/A Requesting Data...4142572186</v>
        <stp/>
        <stp>BDP|2470954931023095833</stp>
        <tr r="J7" s="16"/>
      </tp>
    </main>
    <main first="bofaddin.rtdserver">
      <tp t="s">
        <v>#N/A Requesting Data...4079184360</v>
        <stp/>
        <stp>BDP|684981373249800382</stp>
        <tr r="E10" s="16"/>
      </tp>
      <tp t="s">
        <v>#N/A Requesting Data...4172043257</v>
        <stp/>
        <stp>BDP|278915754941876425</stp>
        <tr r="D10" s="16"/>
      </tp>
      <tp t="s">
        <v>#N/A Requesting Data...4196530313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NAV'!$A$1169:$A$1502</c:f>
              <c:numCache>
                <c:formatCode>[$-409]d\-mmm\-yy;@</c:formatCode>
                <c:ptCount val="334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  <c:pt idx="32">
                  <c:v>45705</c:v>
                </c:pt>
                <c:pt idx="33">
                  <c:v>45706</c:v>
                </c:pt>
              </c:numCache>
            </c:numRef>
          </c:cat>
          <c:val>
            <c:numRef>
              <c:f>'Historical NAV'!$N$1169:$N$1501</c:f>
              <c:numCache>
                <c:formatCode>0.00%;[Red]\(0.00%\)</c:formatCode>
                <c:ptCount val="333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  <c:pt idx="32">
                  <c:v>6.8681654278559989E-2</c:v>
                </c:pt>
                <c:pt idx="33">
                  <c:v>6.8942313399750432E-2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NAV'!$A$2:$A$1502</c:f>
              <c:numCache>
                <c:formatCode>[$-409]d\-mmm\-yy;@</c:formatCode>
                <c:ptCount val="1501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  <c:pt idx="1199">
                  <c:v>45705</c:v>
                </c:pt>
                <c:pt idx="1200">
                  <c:v>45706</c:v>
                </c:pt>
              </c:numCache>
            </c:numRef>
          </c:cat>
          <c:val>
            <c:numRef>
              <c:f>'Historical NAV'!$M$2:$M$1501</c:f>
              <c:numCache>
                <c:formatCode>0.00%;[Red]\(0.00%\)</c:formatCode>
                <c:ptCount val="1500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  <c:pt idx="1199">
                  <c:v>0.70469383073741443</c:v>
                </c:pt>
                <c:pt idx="1200">
                  <c:v>0.70510961779059333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227.37</c:v>
                </c:pt>
                <c:pt idx="1">
                  <c:v>5926.33</c:v>
                </c:pt>
                <c:pt idx="2">
                  <c:v>0</c:v>
                </c:pt>
                <c:pt idx="3">
                  <c:v>274356.76</c:v>
                </c:pt>
                <c:pt idx="4">
                  <c:v>0</c:v>
                </c:pt>
                <c:pt idx="5">
                  <c:v>0</c:v>
                </c:pt>
                <c:pt idx="6">
                  <c:v>20041.54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1616907.16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423601.38999999996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914168.85000000021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17" sqref="F1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45706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2.7250446634382463E-4</v>
      </c>
      <c r="D4" s="91"/>
      <c r="E4" s="92"/>
    </row>
    <row r="5" spans="1:23">
      <c r="A5" t="s">
        <v>66</v>
      </c>
      <c r="B5" s="8">
        <f ca="1">OFFSET('Historical NAV'!K1,COUNT('Historical NAV'!A:A),,,)</f>
        <v>4.9960220614229112E-3</v>
      </c>
      <c r="E5" s="146"/>
    </row>
    <row r="6" spans="1:23">
      <c r="A6" t="s">
        <v>283</v>
      </c>
      <c r="B6" s="8">
        <f ca="1">OFFSET('Historical NAV'!N1,COUNT('Historical NAV'!A:A),,,)</f>
        <v>6.8942313399750432E-2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2.4390717305475124E-4</v>
      </c>
      <c r="D9" t="s">
        <v>188</v>
      </c>
      <c r="E9" s="146">
        <f ca="1">OFFSET('Historical NAV'!B1,COUNT('Historical NAV'!A:A),,,)</f>
        <v>66633264.731376797</v>
      </c>
    </row>
    <row r="10" spans="1:23">
      <c r="A10" t="s">
        <v>181</v>
      </c>
      <c r="B10" s="2">
        <f ca="1">E13/E9</f>
        <v>0.94285400022454946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-2.6483870833565928E-2</v>
      </c>
      <c r="D11" t="s">
        <v>160</v>
      </c>
      <c r="E11" s="8">
        <f ca="1">E10/E9</f>
        <v>0.62388546828059699</v>
      </c>
    </row>
    <row r="12" spans="1:23">
      <c r="A12" t="s">
        <v>147</v>
      </c>
      <c r="B12" s="8">
        <f ca="1">OFFSET('Historical NAV'!T1,COUNT('Historical NAV'!A:A),,,)</f>
        <v>-4.4063599519759751E-2</v>
      </c>
    </row>
    <row r="13" spans="1:23">
      <c r="A13" t="s">
        <v>148</v>
      </c>
      <c r="B13" s="8">
        <f ca="1">OFFSET('Historical NAV'!V1,COUNT('Historical NAV'!A:A),,,)</f>
        <v>0.93700380847874831</v>
      </c>
      <c r="D13" s="99" t="s">
        <v>180</v>
      </c>
      <c r="E13" s="152">
        <f>K25</f>
        <v>62825440.200000003</v>
      </c>
    </row>
    <row r="14" spans="1:23">
      <c r="A14" t="s">
        <v>125</v>
      </c>
      <c r="B14" s="51">
        <f ca="1">OFFSET('Historical NAV'!W1,COUNT('Historical NAV'!A:A),,,)</f>
        <v>1.4123282214498478</v>
      </c>
      <c r="D14" s="303">
        <v>5.0000000000000001E-3</v>
      </c>
      <c r="E14" s="123">
        <f>(D14*$E$13)/(1-D14)</f>
        <v>315705.72964824119</v>
      </c>
    </row>
    <row r="15" spans="1:23">
      <c r="A15" t="s">
        <v>144</v>
      </c>
      <c r="B15" s="51">
        <f ca="1">OFFSET('Historical NAV'!AB1,COUNT('Historical NAV'!A:A),,,)</f>
        <v>4.1189458301085686</v>
      </c>
      <c r="D15" s="303">
        <v>0.01</v>
      </c>
      <c r="E15" s="123">
        <f>(D15*$E$13)/(1-D15)</f>
        <v>634600.40606060612</v>
      </c>
      <c r="F15" s="133"/>
    </row>
    <row r="16" spans="1:23">
      <c r="A16" t="s">
        <v>145</v>
      </c>
      <c r="B16" s="51">
        <f ca="1">OFFSET('Historical NAV'!P1,COUNT('Historical NAV'!A:A),,,)</f>
        <v>0.40778390266331255</v>
      </c>
      <c r="D16" s="303">
        <v>1.4999999999999999E-2</v>
      </c>
      <c r="E16" s="123">
        <f>(D16*$E$13)/(1-D16)</f>
        <v>956732.59187817259</v>
      </c>
      <c r="F16" s="169"/>
    </row>
    <row r="17" spans="1:23">
      <c r="A17" t="s">
        <v>185</v>
      </c>
      <c r="B17" s="51">
        <f ca="1">OFFSET('Historical NAV'!AC1,COUNT('Historical NAV'!A:A),,,)</f>
        <v>-3.675737361916321E-2</v>
      </c>
      <c r="D17" s="303">
        <v>0.05</v>
      </c>
      <c r="E17" s="123">
        <f>(D17*$E$13)/(1-D17)</f>
        <v>3306602.115789474</v>
      </c>
    </row>
    <row r="18" spans="1:23">
      <c r="A18" t="s">
        <v>186</v>
      </c>
      <c r="B18" s="51">
        <f ca="1">OFFSET('Historical NAV'!AD1,COUNT('Historical NAV'!A:A),,,)</f>
        <v>-3.9062323485727961E-2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-4.8137830333182113E-2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3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62825000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440.2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62825440.200000003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0.99999299328427149</v>
      </c>
      <c r="F26" s="103">
        <f t="shared" si="0"/>
        <v>0</v>
      </c>
      <c r="G26" s="103">
        <f t="shared" si="0"/>
        <v>0</v>
      </c>
      <c r="H26" s="103">
        <f t="shared" si="0"/>
        <v>7.0067157285115203E-6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0.94284739391459638</v>
      </c>
      <c r="F27" s="165">
        <f t="shared" ca="1" si="1"/>
        <v>0</v>
      </c>
      <c r="G27" s="165">
        <f t="shared" ca="1" si="1"/>
        <v>0</v>
      </c>
      <c r="H27" s="165">
        <f t="shared" ca="1" si="1"/>
        <v>6.6063099530633553E-6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0.94285400022454946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227.37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12500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465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13192.37</v>
      </c>
      <c r="L29" s="213"/>
      <c r="M29" s="214"/>
      <c r="N29" s="214"/>
    </row>
    <row r="31" spans="1:23">
      <c r="A31" s="314" t="s">
        <v>152</v>
      </c>
      <c r="B31" s="314"/>
      <c r="C31" s="314"/>
      <c r="D31" s="314"/>
      <c r="E31" s="314"/>
      <c r="F31" s="314"/>
      <c r="G31" s="314"/>
      <c r="H31" s="314"/>
      <c r="I31" s="314"/>
      <c r="J31" s="314"/>
      <c r="K31" s="314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-4331249.6302344054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227.37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274356.76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20041.54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300552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1616907.16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423601.38999999996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914168.85000000021</v>
      </c>
      <c r="I45" s="164">
        <f t="shared" si="3"/>
        <v>0</v>
      </c>
      <c r="J45" s="164">
        <f>SUM(J33:J44)</f>
        <v>0</v>
      </c>
      <c r="K45" s="164">
        <f>SUM(K33:K44)</f>
        <v>4940645.4700000007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4" t="s">
        <v>154</v>
      </c>
      <c r="B48" s="314"/>
      <c r="C48" s="314"/>
      <c r="D48" s="314"/>
      <c r="E48" s="314"/>
      <c r="F48" s="314"/>
      <c r="G48" s="314"/>
      <c r="H48" s="314"/>
      <c r="I48" s="314"/>
      <c r="J48" s="314"/>
      <c r="K48" s="314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3.4291893076349287E-6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4.1378425820000984E-3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3.0226606270192957E-4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4.5329186119025949E-3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7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I1200" sqref="I1200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2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2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3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202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42">
        <f t="shared" si="656"/>
        <v>1.7857142857142857E-4</v>
      </c>
      <c r="Y1200" s="139">
        <f t="shared" ref="Y1200" si="1312">G1200-X1200</f>
        <v>2.6564225093671657E-4</v>
      </c>
      <c r="Z1200" s="139">
        <f t="shared" ref="Z1200" si="1313">IF(Y1200&lt;0,Y1200,0)</f>
        <v>0</v>
      </c>
      <c r="AA1200" s="139">
        <f t="shared" ref="AA1200" si="1314">Z1200^2</f>
        <v>0</v>
      </c>
      <c r="AB1200" s="144">
        <f t="shared" ref="AB1200" si="1315">AVERAGE(Y949:Y1200)/AVERAGE(AA949:AA1200)</f>
        <v>4.0441954761483982</v>
      </c>
      <c r="AC1200" s="144">
        <f t="shared" ref="AC1200" si="1316">AVERAGE(G1171:G1200)-_xlfn.NORM.S.INV(0.95)*_xlfn.STDEV.S(G1171:G1200)</f>
        <v>-4.2016472197039044E-2</v>
      </c>
      <c r="AD1200" s="144">
        <f t="shared" ref="AD1200" si="1317">AVERAGE(G1111:G1200)-_xlfn.NORM.S.INV(0.95)*_xlfn.STDEV.S(G1111:G1200)</f>
        <v>-3.8925592889824223E-2</v>
      </c>
      <c r="AE1200" s="144">
        <f t="shared" ref="AE1200" si="1318">AVERAGE(G836:G1200)-_xlfn.NORM.S.INV(0.95)*_xlfn.STDEV.S(G836:G1200)</f>
        <v>-4.8495437885645996E-2</v>
      </c>
    </row>
    <row r="1201" spans="1:31">
      <c r="A1201" s="88">
        <v>45705</v>
      </c>
      <c r="B1201" s="78">
        <v>66617016.363238297</v>
      </c>
      <c r="D1201" s="67">
        <f t="shared" ref="D1201" si="1319">B1201</f>
        <v>66617016.363238297</v>
      </c>
      <c r="E1201" s="67">
        <f t="shared" ref="E1201" si="1320">IF(MONTH(A1201)=MONTH(A1200),E1200,D1200)</f>
        <v>66302018.384809397</v>
      </c>
      <c r="F1201" s="67">
        <f t="shared" ref="F1201" si="1321">B1201-C1201-D1200</f>
        <v>1905.0118767991662</v>
      </c>
      <c r="G1201" s="70">
        <f t="shared" ref="G1201" si="1322">F1201/B1200</f>
        <v>2.859729328907338E-5</v>
      </c>
      <c r="H1201" s="67">
        <f t="shared" ref="H1201" si="1323">IF(WEEKNUM(A1201)=WEEKNUM(A1200),H1200+F1201,F1201)</f>
        <v>1905.0118767991662</v>
      </c>
      <c r="I1201" s="70">
        <f t="shared" ref="I1201" si="1324">IF(WEEKNUM(A1201)=WEEKNUM(A1200),I1200+G1201,G1201)</f>
        <v>2.859729328907338E-5</v>
      </c>
      <c r="J1201" s="67">
        <f t="shared" ref="J1201" si="1325">IF(MONTH(A1201)=MONTH(A1200),J1200+F1201,F1201)</f>
        <v>314997.97842890024</v>
      </c>
      <c r="K1201" s="70">
        <f t="shared" ref="K1201" si="1326">(1+K1200)*(1+G1201)-1</f>
        <v>4.7509560960974362E-3</v>
      </c>
      <c r="L1201" s="70">
        <f t="shared" ref="L1201" si="1327">1+G1201</f>
        <v>1.000028597293289</v>
      </c>
      <c r="M1201" s="70">
        <f>PRODUCT($L$2:L1201)-1</f>
        <v>0.70469383073741443</v>
      </c>
      <c r="N1201" s="70">
        <f>PRODUCT($L$1169:L1201)-1</f>
        <v>6.8681654278559989E-2</v>
      </c>
      <c r="O1201" s="70">
        <f>AVERAGE($G$1169:G1201)*252</f>
        <v>0.59151441417752237</v>
      </c>
      <c r="P1201" s="70">
        <f>STDEV($G$1169:G1201)*252^0.5</f>
        <v>0.41406567907621206</v>
      </c>
      <c r="Q1201" s="67">
        <f t="shared" ref="Q1201" si="1328">B1201-C1201-D1170</f>
        <v>268853.88485969603</v>
      </c>
      <c r="R1201" s="70">
        <f t="shared" ref="R1201" si="1329">Q1201/B1170</f>
        <v>4.052167758938457E-3</v>
      </c>
      <c r="S1201" s="67">
        <f t="shared" ref="S1201" si="1330">B1201-C1201-D1112</f>
        <v>-6701154.2927035019</v>
      </c>
      <c r="T1201" s="70">
        <f t="shared" ref="T1201" si="1331">S1201/B1110</f>
        <v>-9.58592604527891E-2</v>
      </c>
      <c r="U1201" s="67">
        <f t="shared" ref="U1201" si="1332">B1201-C1201-D837</f>
        <v>32954619.9232383</v>
      </c>
      <c r="V1201" s="70">
        <f t="shared" ref="V1201" si="1333">U1201/B835</f>
        <v>0.91697799316415585</v>
      </c>
      <c r="W1201" s="87">
        <f t="shared" ref="W1201" si="1334">O1201/P1201</f>
        <v>1.4285521453920103</v>
      </c>
      <c r="X1201" s="142">
        <f t="shared" si="656"/>
        <v>1.7857142857142857E-4</v>
      </c>
      <c r="Y1201" s="139">
        <f t="shared" ref="Y1201" si="1335">G1201-X1201</f>
        <v>-1.4997413528235518E-4</v>
      </c>
      <c r="Z1201" s="139">
        <f t="shared" ref="Z1201" si="1336">IF(Y1201&lt;0,Y1201,0)</f>
        <v>-1.4997413528235518E-4</v>
      </c>
      <c r="AA1201" s="139">
        <f t="shared" ref="AA1201" si="1337">Z1201^2</f>
        <v>2.2492241253690174E-8</v>
      </c>
      <c r="AB1201" s="144">
        <f t="shared" ref="AB1201" si="1338">AVERAGE(Y950:Y1201)/AVERAGE(AA950:AA1201)</f>
        <v>4.061152050022609</v>
      </c>
      <c r="AC1201" s="144">
        <f t="shared" ref="AC1201" si="1339">AVERAGE(G1172:G1201)-_xlfn.NORM.S.INV(0.95)*_xlfn.STDEV.S(G1172:G1201)</f>
        <v>-4.195222572171161E-2</v>
      </c>
      <c r="AD1201" s="144">
        <f t="shared" ref="AD1201" si="1340">AVERAGE(G1112:G1201)-_xlfn.NORM.S.INV(0.95)*_xlfn.STDEV.S(G1112:G1201)</f>
        <v>-3.9000249139654511E-2</v>
      </c>
      <c r="AE1201" s="144">
        <f t="shared" ref="AE1201" si="1341">AVERAGE(G837:G1201)-_xlfn.NORM.S.INV(0.95)*_xlfn.STDEV.S(G837:G1201)</f>
        <v>-4.8368431982559815E-2</v>
      </c>
    </row>
    <row r="1202" spans="1:31">
      <c r="A1202" s="88">
        <v>45706</v>
      </c>
      <c r="B1202" s="78">
        <v>66633264.731376797</v>
      </c>
      <c r="D1202" s="67">
        <f t="shared" ref="D1202" si="1342">B1202</f>
        <v>66633264.731376797</v>
      </c>
      <c r="E1202" s="67">
        <f t="shared" ref="E1202" si="1343">IF(MONTH(A1202)=MONTH(A1201),E1201,D1201)</f>
        <v>66302018.384809397</v>
      </c>
      <c r="F1202" s="67">
        <f t="shared" ref="F1202" si="1344">B1202-C1202-D1201</f>
        <v>16248.368138499558</v>
      </c>
      <c r="G1202" s="70">
        <f t="shared" ref="G1202" si="1345">F1202/B1201</f>
        <v>2.4390717305475124E-4</v>
      </c>
      <c r="H1202" s="67">
        <f t="shared" ref="H1202" si="1346">IF(WEEKNUM(A1202)=WEEKNUM(A1201),H1201+F1202,F1202)</f>
        <v>18153.380015298724</v>
      </c>
      <c r="I1202" s="70">
        <f t="shared" ref="I1202" si="1347">IF(WEEKNUM(A1202)=WEEKNUM(A1201),I1201+G1202,G1202)</f>
        <v>2.7250446634382463E-4</v>
      </c>
      <c r="J1202" s="67">
        <f t="shared" ref="J1202" si="1348">IF(MONTH(A1202)=MONTH(A1201),J1201+F1202,F1202)</f>
        <v>331246.3465673998</v>
      </c>
      <c r="K1202" s="70">
        <f t="shared" ref="K1202" si="1349">(1+K1201)*(1+G1202)-1</f>
        <v>4.9960220614229112E-3</v>
      </c>
      <c r="L1202" s="70">
        <f t="shared" ref="L1202" si="1350">1+G1202</f>
        <v>1.0002439071730547</v>
      </c>
      <c r="M1202" s="70">
        <f>PRODUCT($L$2:L1202)-1</f>
        <v>0.70510961779059333</v>
      </c>
      <c r="N1202" s="70">
        <f>PRODUCT($L$1169:L1202)-1</f>
        <v>6.8942313399750432E-2</v>
      </c>
      <c r="O1202" s="70">
        <f>AVERAGE($G$1169:G1202)*252</f>
        <v>0.57592471398435408</v>
      </c>
      <c r="P1202" s="70">
        <f>STDEV($G$1169:G1202)*252^0.5</f>
        <v>0.40778390266331255</v>
      </c>
      <c r="Q1202" s="67">
        <f t="shared" ref="Q1202" si="1351">B1202-C1202-D1171</f>
        <v>-1812714.4723073095</v>
      </c>
      <c r="R1202" s="70">
        <f t="shared" ref="R1202" si="1352">Q1202/B1171</f>
        <v>-2.6483870833565928E-2</v>
      </c>
      <c r="S1202" s="67">
        <f t="shared" ref="S1202" si="1353">B1202-C1202-D1113</f>
        <v>-3153550.7669457048</v>
      </c>
      <c r="T1202" s="70">
        <f t="shared" ref="T1202" si="1354">S1202/B1111</f>
        <v>-4.4063599519759751E-2</v>
      </c>
      <c r="U1202" s="67">
        <f t="shared" ref="U1202" si="1355">B1202-C1202-D838</f>
        <v>32812252.281376794</v>
      </c>
      <c r="V1202" s="70">
        <f t="shared" ref="V1202" si="1356">U1202/B836</f>
        <v>0.93700380847874831</v>
      </c>
      <c r="W1202" s="87">
        <f t="shared" ref="W1202" si="1357">O1202/P1202</f>
        <v>1.4123282214498478</v>
      </c>
      <c r="X1202" s="142">
        <f t="shared" si="656"/>
        <v>1.7857142857142857E-4</v>
      </c>
      <c r="Y1202" s="139">
        <f t="shared" ref="Y1202" si="1358">G1202-X1202</f>
        <v>6.533574448332267E-5</v>
      </c>
      <c r="Z1202" s="139">
        <f t="shared" ref="Z1202" si="1359">IF(Y1202&lt;0,Y1202,0)</f>
        <v>0</v>
      </c>
      <c r="AA1202" s="139">
        <f t="shared" ref="AA1202" si="1360">Z1202^2</f>
        <v>0</v>
      </c>
      <c r="AB1202" s="144">
        <f t="shared" ref="AB1202" si="1361">AVERAGE(Y951:Y1202)/AVERAGE(AA951:AA1202)</f>
        <v>4.1189458301085686</v>
      </c>
      <c r="AC1202" s="144">
        <f t="shared" ref="AC1202" si="1362">AVERAGE(G1173:G1202)-_xlfn.NORM.S.INV(0.95)*_xlfn.STDEV.S(G1173:G1202)</f>
        <v>-3.675737361916321E-2</v>
      </c>
      <c r="AD1202" s="144">
        <f t="shared" ref="AD1202" si="1363">AVERAGE(G1113:G1202)-_xlfn.NORM.S.INV(0.95)*_xlfn.STDEV.S(G1113:G1202)</f>
        <v>-3.9062323485727961E-2</v>
      </c>
      <c r="AE1202" s="144">
        <f t="shared" ref="AE1202" si="1364">AVERAGE(G838:G1202)-_xlfn.NORM.S.INV(0.95)*_xlfn.STDEV.S(G838:G1202)</f>
        <v>-4.8137830333182113E-2</v>
      </c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B1222" s="7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A1223" s="88"/>
      <c r="B1223" s="7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A1224" s="88"/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A1225" s="88"/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4:31">
      <c r="D1246" s="67"/>
      <c r="E1246" s="67"/>
      <c r="F1246" s="67"/>
      <c r="G1246" s="70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4:31">
      <c r="D1247" s="67"/>
      <c r="E1247" s="67"/>
      <c r="F1247" s="67"/>
      <c r="G1247" s="70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349</v>
      </c>
      <c r="B3" s="153" t="s">
        <v>139</v>
      </c>
      <c r="C3" s="153" t="s">
        <v>38</v>
      </c>
      <c r="D3" s="153">
        <v>0</v>
      </c>
      <c r="E3" s="153">
        <v>445.92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344</v>
      </c>
      <c r="B4" s="153" t="s">
        <v>140</v>
      </c>
      <c r="C4" s="153" t="s">
        <v>38</v>
      </c>
      <c r="D4" s="153">
        <v>10</v>
      </c>
      <c r="E4" s="153">
        <v>44.02</v>
      </c>
      <c r="F4" s="153">
        <v>440.2</v>
      </c>
      <c r="G4" s="153">
        <v>1</v>
      </c>
      <c r="H4" s="153">
        <v>440.2</v>
      </c>
      <c r="I4" s="218">
        <v>0</v>
      </c>
      <c r="J4"/>
      <c r="K4"/>
    </row>
    <row r="5" spans="1:11">
      <c r="A5" s="221" t="s">
        <v>345</v>
      </c>
      <c r="B5" s="153" t="s">
        <v>42</v>
      </c>
      <c r="C5" s="153" t="s">
        <v>38</v>
      </c>
      <c r="D5" s="153">
        <v>625000</v>
      </c>
      <c r="E5" s="153">
        <v>100.52</v>
      </c>
      <c r="F5" s="153">
        <v>62825000</v>
      </c>
      <c r="G5" s="153">
        <v>1</v>
      </c>
      <c r="H5" s="153">
        <v>62825000</v>
      </c>
      <c r="I5" s="218">
        <v>100</v>
      </c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10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  <row r="208" spans="1:12">
      <c r="A208" s="170">
        <f>'Historical NAV'!A1200</f>
        <v>45702</v>
      </c>
      <c r="B208" s="159">
        <v>0</v>
      </c>
      <c r="C208" s="159">
        <v>0</v>
      </c>
      <c r="D208" s="159">
        <v>0</v>
      </c>
      <c r="E208" s="159">
        <v>25000</v>
      </c>
      <c r="F208" s="159">
        <v>0</v>
      </c>
      <c r="G208" s="159">
        <v>0</v>
      </c>
      <c r="H208" s="159">
        <v>2407.6</v>
      </c>
      <c r="I208" s="159"/>
      <c r="J208" s="159"/>
      <c r="K208" s="159"/>
      <c r="L208" s="159">
        <f t="shared" ref="L208" si="51">SUM(B208:K208)</f>
        <v>27407.599999999999</v>
      </c>
    </row>
    <row r="209" spans="1:12">
      <c r="A209" s="170">
        <f>'Historical NAV'!A1201</f>
        <v>45705</v>
      </c>
      <c r="B209" s="159">
        <v>0</v>
      </c>
      <c r="C209" s="159">
        <v>0</v>
      </c>
      <c r="D209" s="159">
        <v>0</v>
      </c>
      <c r="E209" s="159">
        <v>0</v>
      </c>
      <c r="F209" s="159">
        <v>0</v>
      </c>
      <c r="G209" s="159">
        <v>0</v>
      </c>
      <c r="H209" s="159">
        <v>0</v>
      </c>
      <c r="I209" s="159"/>
      <c r="J209" s="159"/>
      <c r="K209" s="159"/>
      <c r="L209" s="159">
        <f t="shared" ref="L209" si="52">SUM(B209:K209)</f>
        <v>0</v>
      </c>
    </row>
    <row r="210" spans="1:12">
      <c r="A210" s="170">
        <f>'Historical NAV'!A1202</f>
        <v>45706</v>
      </c>
      <c r="B210" s="159">
        <v>227.37</v>
      </c>
      <c r="C210" s="159">
        <v>0</v>
      </c>
      <c r="D210" s="159">
        <v>0</v>
      </c>
      <c r="E210" s="159">
        <v>12500</v>
      </c>
      <c r="F210" s="159">
        <v>0</v>
      </c>
      <c r="G210" s="159">
        <v>0</v>
      </c>
      <c r="H210" s="159">
        <v>465</v>
      </c>
      <c r="I210" s="159"/>
      <c r="J210" s="159"/>
      <c r="K210" s="159"/>
      <c r="L210" s="159">
        <f t="shared" ref="L210" si="53">SUM(B210:K210)</f>
        <v>13192.37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P30" sqref="P30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si="0">IF(E18=0, "", E18)</f>
        <v>3.0108225232103156E-3</v>
      </c>
      <c r="F4" s="8">
        <f t="shared" ca="1" si="0"/>
        <v>2.7250446634382463E-4</v>
      </c>
      <c r="G4" s="8" t="str">
        <f t="shared" si="0"/>
        <v/>
      </c>
      <c r="H4" s="8" t="str">
        <f t="shared" si="0"/>
        <v/>
      </c>
      <c r="I4" s="8">
        <f t="shared" ca="1" si="0"/>
        <v>2.4390717305475124E-4</v>
      </c>
      <c r="J4" s="8">
        <f t="shared" ca="1" si="0"/>
        <v>4.9960220614229112E-3</v>
      </c>
      <c r="K4" s="8">
        <f ca="1">J4</f>
        <v>4.9960220614229112E-3</v>
      </c>
      <c r="L4" s="8">
        <f t="shared" ca="1" si="0"/>
        <v>6.8942313399750432E-2</v>
      </c>
      <c r="N4" t="s">
        <v>290</v>
      </c>
      <c r="O4" s="280">
        <f>T3</f>
        <v>66302018.380000003</v>
      </c>
      <c r="P4" s="293">
        <f>P16</f>
        <v>2307179.61</v>
      </c>
      <c r="Q4" s="280">
        <f>SUM(O4:P4)</f>
        <v>68609197.99000001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1.4709616179250269E-2</v>
      </c>
      <c r="F6" s="8">
        <f t="array" ref="F6">IFERROR(_xll.BDP($B6,"INTERVAL_PERCENT_CHANGE", "END_DATE_OVERRIDE="&amp;TEXT(F$17,"yyyymmdd"), "START_DATE_OVERRIDE="&amp;TEXT(F$16,"yyyymmdd"))/100, "")</f>
        <v>2.4449557863680743E-3</v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2.4449559999999999E-3</v>
      </c>
      <c r="J6" s="8">
        <f>_xll.BDP($B6,"CURRENT_TRR_MTD")/100</f>
        <v>1.5586610000000001E-2</v>
      </c>
      <c r="K6" s="8">
        <f>_xll.BDP(B6,"CHG_PCT_1M")/100</f>
        <v>2.2165659999999997E-2</v>
      </c>
      <c r="L6" s="8">
        <f t="array" ref="L6">_xll.BDP($B6,"CHG_PCT_YTD")/100</f>
        <v>4.2156719999999995E-2</v>
      </c>
      <c r="N6" t="s">
        <v>300</v>
      </c>
      <c r="O6" s="278">
        <f>SUM(O4:O5)/SUM(O4:P5)</f>
        <v>0.96637215304081703</v>
      </c>
      <c r="P6" s="278">
        <f>SUM(P4:P5)/SUM(O4:P5)</f>
        <v>3.362784695918291E-2</v>
      </c>
      <c r="Q6" s="278">
        <f>SUM(O6:P6)</f>
        <v>0.99999999999999989</v>
      </c>
      <c r="S6" t="s">
        <v>291</v>
      </c>
      <c r="T6" s="286">
        <f>($T$3+T$4)*U6</f>
        <v>25472.594984098447</v>
      </c>
      <c r="U6" s="8">
        <f>VLOOKUP("new_equity", 'Email input'!F:G, 2, FALSE)/100</f>
        <v>3.8419033999999996E-4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2.9006142482705676E-2</v>
      </c>
      <c r="F7" s="8">
        <f t="array" ref="F7">IFERROR(_xll.BDP($B7,"INTERVAL_PERCENT_CHANGE", "END_DATE_OVERRIDE="&amp;TEXT(F$17,"yyyymmdd"), "START_DATE_OVERRIDE="&amp;TEXT(F$16,"yyyymmdd"))/100, "")</f>
        <v>2.2573230734865327E-3</v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2.2573229999999999E-3</v>
      </c>
      <c r="J7" s="8">
        <f t="array" ref="J7">_xll.BDP($B7,"CURRENT_TRR_MTD")/100</f>
        <v>3.2326239999999999E-2</v>
      </c>
      <c r="K7" s="8">
        <f>_xll.BDP(B7,"CHG_PCT_1M")/100</f>
        <v>3.3741609999999998E-2</v>
      </c>
      <c r="L7" s="8">
        <f t="array" ref="L7">_xll.BDP($B7,"CHG_PCT_YTD")/100</f>
        <v>5.4846279999999997E-2</v>
      </c>
      <c r="N7" s="47" t="s">
        <v>95</v>
      </c>
      <c r="O7" s="295">
        <f ca="1">OFFSET('Historical NAV'!F1,COUNT('Historical NAV'!A:A),,,)</f>
        <v>16248.368138499558</v>
      </c>
      <c r="P7" s="296" t="s">
        <v>58</v>
      </c>
      <c r="Q7" s="297">
        <f ca="1">SUM(O7:P7)</f>
        <v>16248.368138499558</v>
      </c>
      <c r="S7" t="s">
        <v>292</v>
      </c>
      <c r="T7" s="286">
        <f>($T$3+T$4)*U7</f>
        <v>97105.41299642298</v>
      </c>
      <c r="U7" s="8">
        <f>VLOOKUP("Fixed Income", 'Email input'!F:G, 2, FALSE)/100</f>
        <v>1.46459211E-3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1.7232742471600473E-2</v>
      </c>
      <c r="F8" s="8">
        <f t="array" ref="F8">IFERROR(_xll.BDP($B8,"INTERVAL_PERCENT_CHANGE", "END_DATE_OVERRIDE="&amp;TEXT(F$17,"yyyymmdd"), "START_DATE_OVERRIDE="&amp;TEXT(F$16,"yyyymmdd"))/100, "")</f>
        <v>3.0367773226601929E-3</v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2.1959760000000001E-3</v>
      </c>
      <c r="J8" s="8">
        <f t="array" ref="J8">_xll.BDP($B8,"CURRENT_TRR_MTD")/100</f>
        <v>2.0142630000000002E-2</v>
      </c>
      <c r="K8" s="8">
        <f>_xll.BDP(B8,"CHG_PCT_1M")/100</f>
        <v>3.5167079999999996E-2</v>
      </c>
      <c r="L8" s="8">
        <f t="array" ref="L8">_xll.BDP($B8,"CHG_PCT_YTD")/100</f>
        <v>5.4712709999999998E-2</v>
      </c>
      <c r="N8" t="s">
        <v>301</v>
      </c>
      <c r="O8" s="69">
        <f ca="1">OFFSET('Historical NAV'!J1,COUNT('Historical NAV'!A:A),,,)</f>
        <v>331246.3465673998</v>
      </c>
      <c r="P8" s="280">
        <f>SUM(P4:P5)*P9</f>
        <v>23071.7961</v>
      </c>
      <c r="Q8" s="280">
        <f ca="1">SUM(O8:P8)</f>
        <v>354318.14266739978</v>
      </c>
      <c r="S8" s="47" t="s">
        <v>293</v>
      </c>
      <c r="T8" s="287">
        <f>($T$3+T$4)*U8</f>
        <v>192073.06658972421</v>
      </c>
      <c r="U8" s="207">
        <f>VLOOKUP("Cash", 'Email input'!F:G, 2, FALSE)/100</f>
        <v>2.89694147E-3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4.4993404317922783E-3</v>
      </c>
      <c r="F9" s="8">
        <f t="array" ref="F9">IFERROR(_xll.BDP($B9,"INTERVAL_PERCENT_CHANGE", "END_DATE_OVERRIDE="&amp;TEXT(F$17,"yyyymmdd"), "START_DATE_OVERRIDE="&amp;TEXT(F$16,"yyyymmdd"))/100, "")</f>
        <v>-4.5125810454494791E-3</v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-3.25465E-3</v>
      </c>
      <c r="J9" s="8">
        <f t="array" ref="J9">_xll.BDP($B9,"CURRENT_TRR_MTD")/100</f>
        <v>4.8167380000000001E-3</v>
      </c>
      <c r="K9" s="8">
        <f>_xll.BDP(B9,"CHG_PCT_1M")/100</f>
        <v>1.5183809999999999E-2</v>
      </c>
      <c r="L9" s="8">
        <f t="array" ref="L9">_xll.BDP($B9,"CHG_PCT_YTD")/100</f>
        <v>9.4791420000000012E-3</v>
      </c>
      <c r="N9" t="s">
        <v>302</v>
      </c>
      <c r="O9" s="8">
        <f ca="1">OFFSET('Historical NAV'!K1,COUNT('Historical NAV'!A:A),,,)</f>
        <v>4.9960220614229112E-3</v>
      </c>
      <c r="P9" s="285">
        <f>J5</f>
        <v>0.01</v>
      </c>
      <c r="S9" t="s">
        <v>294</v>
      </c>
      <c r="T9" s="288">
        <f>SUM(T5:T8)</f>
        <v>314651.07457024563</v>
      </c>
      <c r="V9" s="311">
        <f>T9/(T3+T4)</f>
        <v>4.7457239199999992E-3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1.5933051631300418E-2</v>
      </c>
      <c r="F10" s="8">
        <f t="array" ref="F10">IFERROR(_xll.BDP($B10,"INTERVAL_PERCENT_CHANGE", "END_DATE_OVERRIDE="&amp;TEXT(F$17,"yyyymmdd"), "START_DATE_OVERRIDE="&amp;TEXT(F$16,"yyyymmdd"))/100, "")</f>
        <v>1.2669501209812193E-2</v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-6.2632289999999988E-4</v>
      </c>
      <c r="J10" s="8">
        <f t="array" ref="J10">_xll.BDP($B10,"CURRENT_TRR_MTD")/100</f>
        <v>4.8228489999999999E-2</v>
      </c>
      <c r="K10" s="8">
        <f>_xll.BDP(B10,"CHG_PCT_1M")/100</f>
        <v>3.40419E-2</v>
      </c>
      <c r="L10" s="8">
        <f t="array" ref="L10">_xll.BDP($B10,"CHG_PCT_YTD")/100</f>
        <v>8.5707829999999999E-2</v>
      </c>
      <c r="N10" s="275" t="s">
        <v>297</v>
      </c>
      <c r="O10" s="281">
        <f ca="1">O4+O5+O8</f>
        <v>66633264.726567402</v>
      </c>
      <c r="P10" s="276">
        <f>P4+P5+P8</f>
        <v>2330251.4060999998</v>
      </c>
      <c r="Q10" s="281">
        <f ca="1">SUM(O10:P10)</f>
        <v>68963516.132667407</v>
      </c>
      <c r="S10" t="s">
        <v>295</v>
      </c>
      <c r="T10" s="286">
        <f>SUM('Email input'!D5:D6)</f>
        <v>164286.58000000002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-170093.81480465084</v>
      </c>
      <c r="U11" s="8"/>
    </row>
    <row r="12" spans="2:22" ht="15.75" collapsed="1" thickTop="1">
      <c r="S12" t="s">
        <v>296</v>
      </c>
      <c r="T12" s="280">
        <f>SUM('Email input'!D7:D9)</f>
        <v>22402.5116112</v>
      </c>
      <c r="U12" s="8"/>
      <c r="V12" s="41"/>
    </row>
    <row r="13" spans="2:22" ht="15.75" thickBot="1">
      <c r="S13" s="275" t="s">
        <v>297</v>
      </c>
      <c r="T13" s="281">
        <f>T3+T4+T9+T10+T12+T11</f>
        <v>66633264.731376797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2307179.61</v>
      </c>
      <c r="S16" t="s">
        <v>322</v>
      </c>
      <c r="T16" s="282">
        <f ca="1">OFFSET('Historical NAV'!B1,COUNT('Historical NAV'!A:A),,,)</f>
        <v>66633264.731376797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61">
        <v>45688</v>
      </c>
      <c r="T17" s="69">
        <f>T13</f>
        <v>66633264.731376797</v>
      </c>
    </row>
    <row r="18" spans="2:21">
      <c r="B18" t="s">
        <v>326</v>
      </c>
      <c r="D18" s="298">
        <v>1.6999999999999999E-3</v>
      </c>
      <c r="E18" s="298">
        <v>3.0108225232103156E-3</v>
      </c>
      <c r="F18" s="298">
        <f ca="1">Dashboard!$B$4</f>
        <v>2.7250446634382463E-4</v>
      </c>
      <c r="G18" s="298"/>
      <c r="H18" s="298"/>
      <c r="I18" s="8">
        <f ca="1">Dashboard!B9</f>
        <v>2.4390717305475124E-4</v>
      </c>
      <c r="J18" s="8">
        <f ca="1">Dashboard!B5</f>
        <v>4.9960220614229112E-3</v>
      </c>
      <c r="K18" s="8"/>
      <c r="L18" s="69">
        <f ca="1">Dashboard!B6</f>
        <v>6.8942313399750432E-2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>
        <v>0.01</v>
      </c>
      <c r="F19" s="298"/>
      <c r="G19" s="298"/>
      <c r="H19" s="298"/>
      <c r="J19">
        <f>SUM(D19:H19)</f>
        <v>0.01</v>
      </c>
      <c r="L19" s="41">
        <v>7.2999999999999995E-2</v>
      </c>
      <c r="M19" s="361">
        <f>P17</f>
        <v>45688</v>
      </c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2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147807.86213172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350</v>
      </c>
      <c r="D4" s="282">
        <v>324.82</v>
      </c>
      <c r="F4" t="s">
        <v>292</v>
      </c>
      <c r="G4">
        <v>0.14645921100000001</v>
      </c>
    </row>
    <row r="5" spans="1:7">
      <c r="A5" t="s">
        <v>337</v>
      </c>
      <c r="B5" s="282" t="s">
        <v>320</v>
      </c>
      <c r="C5" t="s">
        <v>346</v>
      </c>
      <c r="D5" s="282">
        <v>164505.85</v>
      </c>
      <c r="F5" t="s">
        <v>293</v>
      </c>
      <c r="G5">
        <v>0.28969414700000001</v>
      </c>
    </row>
    <row r="6" spans="1:7">
      <c r="A6" t="s">
        <v>337</v>
      </c>
      <c r="B6" s="282" t="s">
        <v>320</v>
      </c>
      <c r="C6" t="s">
        <v>348</v>
      </c>
      <c r="D6" s="282">
        <v>-219.27</v>
      </c>
    </row>
    <row r="7" spans="1:7">
      <c r="A7" t="s">
        <v>337</v>
      </c>
      <c r="B7" s="282" t="s">
        <v>320</v>
      </c>
      <c r="C7" t="s">
        <v>347</v>
      </c>
      <c r="D7" s="282">
        <v>-472182.14569440001</v>
      </c>
    </row>
    <row r="8" spans="1:7">
      <c r="A8" t="s">
        <v>337</v>
      </c>
      <c r="B8" s="282" t="s">
        <v>320</v>
      </c>
      <c r="C8" t="s">
        <v>317</v>
      </c>
      <c r="D8" s="282">
        <v>494781.09730560001</v>
      </c>
    </row>
    <row r="9" spans="1:7">
      <c r="A9" t="s">
        <v>337</v>
      </c>
      <c r="B9" s="282" t="s">
        <v>320</v>
      </c>
      <c r="C9" t="s">
        <v>43</v>
      </c>
      <c r="D9" s="282">
        <v>-196.44</v>
      </c>
      <c r="F9" t="s">
        <v>321</v>
      </c>
      <c r="G9">
        <v>3.8419033999999998E-2</v>
      </c>
    </row>
    <row r="10" spans="1:7">
      <c r="A10" t="s">
        <v>337</v>
      </c>
      <c r="B10" s="282" t="s">
        <v>320</v>
      </c>
      <c r="C10" t="s">
        <v>18</v>
      </c>
      <c r="D10" s="282">
        <v>-3444.8210347999998</v>
      </c>
    </row>
    <row r="11" spans="1:7">
      <c r="A11" t="s">
        <v>337</v>
      </c>
      <c r="B11" s="282" t="s">
        <v>320</v>
      </c>
      <c r="C11" t="s">
        <v>318</v>
      </c>
      <c r="D11" s="282">
        <v>-130.60614079999999</v>
      </c>
    </row>
    <row r="12" spans="1:7">
      <c r="A12" t="s">
        <v>337</v>
      </c>
      <c r="B12" s="282" t="s">
        <v>320</v>
      </c>
      <c r="C12" t="s">
        <v>297</v>
      </c>
      <c r="D12" s="282">
        <v>66633264.731376797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66633264.731376797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331246.3465673998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4.9960220614229112E-3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5.1505263503439425E-2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2.4390717305475124E-4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3" t="s">
        <v>10</v>
      </c>
      <c r="D2" s="324"/>
      <c r="E2" s="323" t="s">
        <v>11</v>
      </c>
      <c r="F2" s="324"/>
      <c r="G2" s="323" t="s">
        <v>12</v>
      </c>
      <c r="H2" s="325"/>
      <c r="I2" s="325"/>
      <c r="J2" s="325"/>
      <c r="K2" s="324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19" t="s">
        <v>129</v>
      </c>
      <c r="O3" s="319"/>
      <c r="P3" s="319"/>
      <c r="Q3" s="319"/>
      <c r="R3" s="319"/>
      <c r="S3" s="319"/>
      <c r="T3" s="319"/>
      <c r="U3" s="319"/>
      <c r="V3" s="319"/>
      <c r="W3" s="319"/>
      <c r="X3" s="319"/>
      <c r="Z3" s="2"/>
      <c r="AA3" s="2"/>
    </row>
    <row r="4" spans="1:27" ht="16.5" customHeight="1">
      <c r="B4" s="322" t="s">
        <v>23</v>
      </c>
      <c r="C4" s="322"/>
      <c r="D4" s="322"/>
      <c r="E4" s="322"/>
      <c r="F4" s="322"/>
      <c r="G4" s="322"/>
      <c r="H4" s="322"/>
      <c r="I4" s="322"/>
      <c r="J4" s="322"/>
      <c r="K4" s="322"/>
      <c r="L4" s="322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0" t="s">
        <v>130</v>
      </c>
      <c r="O52" s="320"/>
      <c r="P52" s="320"/>
      <c r="Q52" s="320"/>
      <c r="R52" s="321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19" t="s">
        <v>244</v>
      </c>
      <c r="O53" s="319"/>
      <c r="P53" s="319"/>
      <c r="Q53" s="319"/>
      <c r="R53" s="319"/>
      <c r="S53" s="319"/>
      <c r="T53" s="319"/>
      <c r="U53" s="319"/>
      <c r="V53" s="319"/>
      <c r="W53" s="319"/>
      <c r="X53" s="319"/>
    </row>
    <row r="54" spans="2:24" ht="15" customHeight="1">
      <c r="B54" s="315" t="s">
        <v>27</v>
      </c>
      <c r="C54" s="315"/>
      <c r="D54" s="315"/>
      <c r="E54" s="315"/>
      <c r="F54" s="316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2" t="s">
        <v>129</v>
      </c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N55" s="320" t="s">
        <v>246</v>
      </c>
      <c r="O55" s="320"/>
      <c r="P55" s="320"/>
      <c r="Q55" s="320"/>
      <c r="R55" s="321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19" t="s">
        <v>247</v>
      </c>
      <c r="O56" s="319"/>
      <c r="P56" s="319"/>
      <c r="Q56" s="319"/>
      <c r="R56" s="319"/>
      <c r="S56" s="319"/>
      <c r="T56" s="319"/>
      <c r="U56" s="319"/>
      <c r="V56" s="319"/>
      <c r="W56" s="319"/>
      <c r="X56" s="319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0" t="s">
        <v>266</v>
      </c>
      <c r="O75" s="320"/>
      <c r="P75" s="320"/>
      <c r="Q75" s="320"/>
      <c r="R75" s="321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5" t="s">
        <v>130</v>
      </c>
      <c r="C104" s="315"/>
      <c r="D104" s="315"/>
      <c r="E104" s="315"/>
      <c r="F104" s="316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2" t="s">
        <v>244</v>
      </c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5" t="s">
        <v>246</v>
      </c>
      <c r="C107" s="315"/>
      <c r="D107" s="315"/>
      <c r="E107" s="315"/>
      <c r="F107" s="316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2" t="s">
        <v>247</v>
      </c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5" t="s">
        <v>266</v>
      </c>
      <c r="C127" s="315"/>
      <c r="D127" s="315"/>
      <c r="E127" s="315"/>
      <c r="F127" s="316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2" t="s">
        <v>28</v>
      </c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5" t="s">
        <v>39</v>
      </c>
      <c r="C139" s="315"/>
      <c r="D139" s="315"/>
      <c r="E139" s="315"/>
      <c r="F139" s="316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5" t="s">
        <v>40</v>
      </c>
      <c r="C140" s="315"/>
      <c r="D140" s="315"/>
      <c r="E140" s="315"/>
      <c r="F140" s="316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7" t="s">
        <v>41</v>
      </c>
      <c r="C141" s="317"/>
      <c r="D141" s="317"/>
      <c r="E141" s="317"/>
      <c r="F141" s="317"/>
      <c r="G141" s="317"/>
      <c r="H141" s="317"/>
      <c r="I141" s="317"/>
      <c r="J141" s="318"/>
      <c r="K141" s="191">
        <v>-854078.19</v>
      </c>
      <c r="L141" s="192"/>
      <c r="T141" s="3"/>
    </row>
    <row r="142" spans="2:20">
      <c r="B142" s="317" t="s">
        <v>43</v>
      </c>
      <c r="C142" s="317"/>
      <c r="D142" s="317"/>
      <c r="E142" s="317"/>
      <c r="F142" s="317"/>
      <c r="G142" s="317"/>
      <c r="H142" s="317"/>
      <c r="I142" s="317"/>
      <c r="J142" s="318"/>
      <c r="K142" s="189">
        <v>-167.75</v>
      </c>
      <c r="L142" s="192"/>
    </row>
    <row r="143" spans="2:20">
      <c r="B143" s="315" t="s">
        <v>133</v>
      </c>
      <c r="C143" s="315"/>
      <c r="D143" s="315"/>
      <c r="E143" s="315"/>
      <c r="F143" s="315"/>
      <c r="G143" s="315"/>
      <c r="H143" s="315"/>
      <c r="I143" s="315"/>
      <c r="J143" s="316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50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200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>
        <f>'Historical NAV'!A1198</f>
        <v>45700</v>
      </c>
      <c r="B1198" s="173">
        <f>'Historical NAV'!B1198</f>
        <v>66435397.653966203</v>
      </c>
      <c r="C1198" s="173">
        <f>'Historical NAV'!C1198</f>
        <v>0</v>
      </c>
      <c r="D1198" s="173" t="e">
        <f>'Historical NAV'!#REF!</f>
        <v>#REF!</v>
      </c>
      <c r="E1198" s="173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6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42">
        <f t="shared" si="192"/>
        <v>1.7857142857142857E-4</v>
      </c>
      <c r="Y1198" s="139">
        <f t="shared" ref="Y1198" si="1229">I1198-X1198</f>
        <v>-7.9308282432078545E-5</v>
      </c>
      <c r="Z1198" s="139">
        <f t="shared" ref="Z1198" si="1230">IF(Y1198&lt;0,Y1198,0)</f>
        <v>-7.9308282432078545E-5</v>
      </c>
      <c r="AA1198" s="139">
        <f t="shared" ref="AA1198" si="1231">Z1198^2</f>
        <v>6.2898036623263385E-9</v>
      </c>
      <c r="AB1198" s="144">
        <f t="shared" ref="AB1198" si="1232">AVERAGE(Y945:Y1198)/AVERAGE(AA945:AA1198)</f>
        <v>2.8259714838529155</v>
      </c>
      <c r="AC1198" s="144">
        <f t="shared" ref="AC1198" si="1233">AVERAGE(I1167:I1198)-_xlfn.NORM.S.INV(0.95)*_xlfn.STDEV.S(I1167:I1198)</f>
        <v>-4.4757785035203966E-2</v>
      </c>
      <c r="AD1198" s="144">
        <f t="shared" ref="AD1198" si="1234">AVERAGE(I1107:I1198)-_xlfn.NORM.S.INV(0.95)*_xlfn.STDEV.S(I1107:I1198)</f>
        <v>-3.9104010750582605E-2</v>
      </c>
      <c r="AE1198" s="144">
        <f t="shared" ref="AE1198" si="1235">AVERAGE(I832:I1198)-_xlfn.NORM.S.INV(0.95)*_xlfn.STDEV.S(I832:I1198)</f>
        <v>-4.8695547778249741E-2</v>
      </c>
    </row>
    <row r="1199" spans="1:31">
      <c r="A1199" s="172">
        <f>'Historical NAV'!A1199</f>
        <v>45701</v>
      </c>
      <c r="B1199" s="173">
        <f>'Historical NAV'!B1199</f>
        <v>66585533.1466804</v>
      </c>
      <c r="C1199" s="173">
        <f>'Historical NAV'!C1199</f>
        <v>0</v>
      </c>
      <c r="D1199" s="173" t="e">
        <f>'Historical NAV'!#REF!</f>
        <v>#REF!</v>
      </c>
      <c r="E1199" s="173" t="e">
        <f>'Historical NAV'!#REF!</f>
        <v>#REF!</v>
      </c>
      <c r="F1199" s="67">
        <f t="shared" ref="F1199" si="1236">B1199</f>
        <v>66585533.1466804</v>
      </c>
      <c r="G1199" s="67">
        <f t="shared" ref="G1199" si="1237">IF(MONTH(A1199)=MONTH(A1198),G1198,F1198)</f>
        <v>66302018.384809397</v>
      </c>
      <c r="H1199" s="176">
        <f>B1199-C1199-F1198-'Daily P&amp;L breakdown'!H207</f>
        <v>147077.19271419646</v>
      </c>
      <c r="I1199" s="70">
        <f t="shared" ref="I1199" si="1238">H1199/B1198</f>
        <v>2.2138377718495666E-3</v>
      </c>
      <c r="J1199" s="67">
        <f t="shared" ref="J1199" si="1239">IF(MONTH(A1199)=MONTH(A1198),J1198+H1199,H1199)</f>
        <v>266345.82187100261</v>
      </c>
      <c r="K1199" s="70">
        <f t="shared" ref="K1199" si="1240">(1+K1198)*(1+I1199)-1</f>
        <v>0.13598908385180342</v>
      </c>
      <c r="L1199" s="70">
        <f t="shared" ref="L1199" si="1241">1+I1199</f>
        <v>1.0022138377718495</v>
      </c>
      <c r="M1199" s="70">
        <f>PRODUCT($L$2:L1199)-1</f>
        <v>0.46682498871953904</v>
      </c>
      <c r="N1199" s="70">
        <f>PRODUCT($L$909:L1199)-1</f>
        <v>0.15910538874262947</v>
      </c>
      <c r="O1199" s="70">
        <f>AVERAGE($I$909:I1199)*252</f>
        <v>0.24815062815486685</v>
      </c>
      <c r="P1199" s="70">
        <f>STDEV($I$909:I1199)*252^0.5</f>
        <v>0.48943270416423995</v>
      </c>
      <c r="Q1199" s="67">
        <f t="shared" ref="Q1199" si="1242">B1199-C1199-F1168</f>
        <v>-4619299.4747637063</v>
      </c>
      <c r="R1199" s="70">
        <f t="shared" ref="R1199" si="1243">Q1199/B1168</f>
        <v>-6.4873398401508978E-2</v>
      </c>
      <c r="S1199" s="67">
        <f t="shared" ref="S1199" si="1244">B1199-C1199-F1108</f>
        <v>-2057126.0375107974</v>
      </c>
      <c r="T1199" s="70">
        <f t="shared" ref="T1199" si="1245">S1199/B1108</f>
        <v>-2.9968623913459422E-2</v>
      </c>
      <c r="U1199" s="67">
        <f t="shared" ref="U1199" si="1246">B1199-C1199-F833</f>
        <v>30338426.796680398</v>
      </c>
      <c r="V1199" s="70">
        <f t="shared" ref="V1199" si="1247">U1199/B833</f>
        <v>0.83698893102622518</v>
      </c>
      <c r="W1199" s="87">
        <f t="shared" ref="W1199" si="1248">O1199/P1199</f>
        <v>0.50701685041380973</v>
      </c>
      <c r="X1199" s="142">
        <f t="shared" si="192"/>
        <v>1.7857142857142857E-4</v>
      </c>
      <c r="Y1199" s="139">
        <f t="shared" ref="Y1199" si="1249">I1199-X1199</f>
        <v>2.0352663432781381E-3</v>
      </c>
      <c r="Z1199" s="139">
        <f t="shared" ref="Z1199" si="1250">IF(Y1199&lt;0,Y1199,0)</f>
        <v>0</v>
      </c>
      <c r="AA1199" s="139">
        <f t="shared" ref="AA1199" si="1251">Z1199^2</f>
        <v>0</v>
      </c>
      <c r="AB1199" s="144">
        <f t="shared" ref="AB1199" si="1252">AVERAGE(Y946:Y1199)/AVERAGE(AA946:AA1199)</f>
        <v>2.9272911513388515</v>
      </c>
      <c r="AC1199" s="144">
        <f t="shared" ref="AC1199" si="1253">AVERAGE(I1168:I1199)-_xlfn.NORM.S.INV(0.95)*_xlfn.STDEV.S(I1168:I1199)</f>
        <v>-4.3880294183188916E-2</v>
      </c>
      <c r="AD1199" s="144">
        <f t="shared" ref="AD1199" si="1254">AVERAGE(I1108:I1199)-_xlfn.NORM.S.INV(0.95)*_xlfn.STDEV.S(I1108:I1199)</f>
        <v>-3.901247475273515E-2</v>
      </c>
      <c r="AE1199" s="144">
        <f t="shared" ref="AE1199" si="1255">AVERAGE(I833:I1199)-_xlfn.NORM.S.INV(0.95)*_xlfn.STDEV.S(I833:I1199)</f>
        <v>-4.8719658383609379E-2</v>
      </c>
    </row>
    <row r="1200" spans="1:31">
      <c r="A1200" s="172">
        <f>'Historical NAV'!A1200</f>
        <v>45702</v>
      </c>
      <c r="B1200" s="173">
        <f>'Historical NAV'!B1200</f>
        <v>66615111.351361498</v>
      </c>
      <c r="C1200" s="173">
        <f>'Historical NAV'!C1200</f>
        <v>0</v>
      </c>
      <c r="D1200" s="173" t="e">
        <f>'Historical NAV'!#REF!</f>
        <v>#REF!</v>
      </c>
      <c r="E1200" s="173" t="e">
        <f>'Historical NAV'!#REF!</f>
        <v>#REF!</v>
      </c>
      <c r="F1200" s="67">
        <f t="shared" ref="F1200" si="1256">B1200</f>
        <v>66615111.351361498</v>
      </c>
      <c r="G1200" s="67">
        <f t="shared" ref="G1200" si="1257">IF(MONTH(A1200)=MONTH(A1199),G1199,F1199)</f>
        <v>66302018.384809397</v>
      </c>
      <c r="H1200" s="176">
        <f>B1200-C1200-F1199-'Daily P&amp;L breakdown'!H208</f>
        <v>27170.604681098463</v>
      </c>
      <c r="I1200" s="70">
        <f t="shared" ref="I1200" si="1258">H1200/B1199</f>
        <v>4.0805567511556441E-4</v>
      </c>
      <c r="J1200" s="67">
        <f t="shared" ref="J1200" si="1259">IF(MONTH(A1200)=MONTH(A1199),J1199+H1200,H1200)</f>
        <v>293516.4265521011</v>
      </c>
      <c r="K1200" s="70">
        <f t="shared" ref="K1200" si="1260">(1+K1199)*(1+I1200)-1</f>
        <v>0.13645263064433855</v>
      </c>
      <c r="L1200" s="70">
        <f t="shared" ref="L1200" si="1261">1+I1200</f>
        <v>1.0004080556751156</v>
      </c>
      <c r="M1200" s="70">
        <f>PRODUCT($L$2:L1200)-1</f>
        <v>0.46742353498058731</v>
      </c>
      <c r="N1200" s="70">
        <f>PRODUCT($L$909:L1200)-1</f>
        <v>0.15957836827456306</v>
      </c>
      <c r="O1200" s="70">
        <f>AVERAGE($I$909:I1200)*252</f>
        <v>0.24765295487395672</v>
      </c>
      <c r="P1200" s="70">
        <f>STDEV($I$909:I1200)*252^0.5</f>
        <v>0.48859132448554143</v>
      </c>
      <c r="Q1200" s="67">
        <f t="shared" ref="Q1200" si="1262">B1200-C1200-F1169</f>
        <v>3359644.7912534997</v>
      </c>
      <c r="R1200" s="70">
        <f t="shared" ref="R1200" si="1263">Q1200/B1169</f>
        <v>5.3112323312974448E-2</v>
      </c>
      <c r="S1200" s="67">
        <f t="shared" ref="S1200" si="1264">B1200-C1200-F1109</f>
        <v>-2688030.9714187086</v>
      </c>
      <c r="T1200" s="70">
        <f t="shared" ref="T1200" si="1265">S1200/B1109</f>
        <v>-3.8786566976994674E-2</v>
      </c>
      <c r="U1200" s="67">
        <f t="shared" ref="U1200" si="1266">B1200-C1200-F834</f>
        <v>30502715.2713615</v>
      </c>
      <c r="V1200" s="70">
        <f t="shared" ref="V1200" si="1267">U1200/B834</f>
        <v>0.8446605205533485</v>
      </c>
      <c r="W1200" s="87">
        <f t="shared" ref="W1200" si="1268">O1200/P1200</f>
        <v>0.50687137176396047</v>
      </c>
      <c r="X1200" s="142">
        <f t="shared" si="192"/>
        <v>1.7857142857142857E-4</v>
      </c>
      <c r="Y1200" s="139">
        <f t="shared" ref="Y1200" si="1269">I1200-X1200</f>
        <v>2.2948424654413584E-4</v>
      </c>
      <c r="Z1200" s="139">
        <f t="shared" ref="Z1200" si="1270">IF(Y1200&lt;0,Y1200,0)</f>
        <v>0</v>
      </c>
      <c r="AA1200" s="139">
        <f t="shared" ref="AA1200" si="1271">Z1200^2</f>
        <v>0</v>
      </c>
      <c r="AB1200" s="144">
        <f t="shared" ref="AB1200" si="1272">AVERAGE(Y947:Y1200)/AVERAGE(AA947:AA1200)</f>
        <v>2.7694431063910518</v>
      </c>
      <c r="AC1200" s="144">
        <f t="shared" ref="AC1200" si="1273">AVERAGE(I1169:I1200)-_xlfn.NORM.S.INV(0.95)*_xlfn.STDEV.S(I1169:I1200)</f>
        <v>-4.167998607361862E-2</v>
      </c>
      <c r="AD1200" s="144">
        <f t="shared" ref="AD1200" si="1274">AVERAGE(I1109:I1200)-_xlfn.NORM.S.INV(0.95)*_xlfn.STDEV.S(I1109:I1200)</f>
        <v>-3.9096584782561235E-2</v>
      </c>
      <c r="AE1200" s="144">
        <f t="shared" ref="AE1200" si="1275">AVERAGE(I834:I1200)-_xlfn.NORM.S.INV(0.95)*_xlfn.STDEV.S(I834:I1200)</f>
        <v>-4.8540780199763184E-2</v>
      </c>
    </row>
    <row r="1201" spans="1:31">
      <c r="A1201" s="172"/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172"/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  <row r="1249" spans="6:31">
      <c r="F1249" s="67"/>
      <c r="G1249" s="67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42"/>
      <c r="Y1249" s="139"/>
      <c r="Z1249" s="139"/>
      <c r="AA1249" s="139"/>
      <c r="AB1249" s="144"/>
      <c r="AC1249" s="144"/>
      <c r="AD1249" s="144"/>
      <c r="AE1249" s="144"/>
    </row>
    <row r="1250" spans="6:31">
      <c r="F1250" s="67"/>
      <c r="G1250" s="67"/>
      <c r="H1250" s="67"/>
      <c r="I1250" s="70"/>
      <c r="J1250" s="67"/>
      <c r="K1250" s="70"/>
      <c r="L1250" s="70"/>
      <c r="M1250" s="70"/>
      <c r="N1250" s="70"/>
      <c r="O1250" s="70"/>
      <c r="P1250" s="70"/>
      <c r="Q1250" s="67"/>
      <c r="R1250" s="70"/>
      <c r="S1250" s="67"/>
      <c r="T1250" s="70"/>
      <c r="U1250" s="67"/>
      <c r="V1250" s="70"/>
      <c r="W1250" s="87"/>
      <c r="X1250" s="142"/>
      <c r="Y1250" s="139"/>
      <c r="Z1250" s="139"/>
      <c r="AA1250" s="139"/>
      <c r="AB1250" s="144"/>
      <c r="AC1250" s="144"/>
      <c r="AD1250" s="144"/>
      <c r="AE1250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8" t="s">
        <v>20</v>
      </c>
      <c r="D5" s="328"/>
      <c r="E5" s="329"/>
      <c r="F5" s="13" t="s">
        <v>46</v>
      </c>
      <c r="G5" s="13" t="s">
        <v>47</v>
      </c>
      <c r="H5" s="13" t="s">
        <v>48</v>
      </c>
      <c r="J5" s="41" t="s">
        <v>92</v>
      </c>
      <c r="K5" s="354" t="s">
        <v>93</v>
      </c>
      <c r="L5" s="354"/>
      <c r="M5" s="354"/>
      <c r="N5" s="354"/>
      <c r="O5" s="354"/>
    </row>
    <row r="6" spans="1:15">
      <c r="A6" s="355" t="s">
        <v>50</v>
      </c>
      <c r="B6" s="356"/>
      <c r="C6" s="345">
        <f ca="1">SUM(F6:H6)</f>
        <v>81769334.074809402</v>
      </c>
      <c r="D6" s="346"/>
      <c r="E6" s="347"/>
      <c r="F6" s="345">
        <f ca="1">OFFSET('Historical NAV'!E1, COUNT('Historical NAV'!A:A),,,)</f>
        <v>66302018.384809397</v>
      </c>
      <c r="G6" s="345">
        <v>15365477.27</v>
      </c>
      <c r="H6" s="345">
        <v>101838.42</v>
      </c>
      <c r="K6" s="354"/>
      <c r="L6" s="354"/>
      <c r="M6" s="354"/>
      <c r="N6" s="354"/>
      <c r="O6" s="354"/>
    </row>
    <row r="7" spans="1:15">
      <c r="A7" s="355"/>
      <c r="B7" s="356"/>
      <c r="C7" s="345"/>
      <c r="D7" s="346"/>
      <c r="E7" s="347"/>
      <c r="F7" s="345"/>
      <c r="G7" s="345"/>
      <c r="H7" s="345"/>
    </row>
    <row r="8" spans="1:15">
      <c r="A8" s="351" t="s">
        <v>52</v>
      </c>
      <c r="B8" s="332"/>
      <c r="C8" s="348">
        <f ca="1">SUM(F8:H8)</f>
        <v>1</v>
      </c>
      <c r="D8" s="349"/>
      <c r="E8" s="350"/>
      <c r="F8" s="348">
        <f ca="1">F6/$C$6</f>
        <v>0.81084209789639217</v>
      </c>
      <c r="G8" s="348">
        <f ca="1">G6/$C$6</f>
        <v>0.18791246674385756</v>
      </c>
      <c r="H8" s="348">
        <f ca="1">H6/$C$6</f>
        <v>1.2454353597502667E-3</v>
      </c>
    </row>
    <row r="9" spans="1:15">
      <c r="A9" s="351"/>
      <c r="B9" s="332"/>
      <c r="C9" s="348"/>
      <c r="D9" s="349"/>
      <c r="E9" s="350"/>
      <c r="F9" s="348"/>
      <c r="G9" s="348"/>
      <c r="H9" s="348"/>
    </row>
    <row r="10" spans="1:15">
      <c r="A10" s="334" t="s">
        <v>53</v>
      </c>
      <c r="B10" s="335"/>
      <c r="C10" s="357" t="e">
        <f ca="1">SUM(F10:H10)</f>
        <v>#REF!</v>
      </c>
      <c r="D10" s="358"/>
      <c r="E10" s="359"/>
      <c r="F10" s="357">
        <f ca="1">OFFSET('Historical NAV'!B1, COUNT('Historical NAV'!A:A),,,)</f>
        <v>66633264.731376797</v>
      </c>
      <c r="G10" s="357" t="e">
        <f>G6+G12</f>
        <v>#REF!</v>
      </c>
      <c r="H10" s="357" t="e">
        <f>H6+H12</f>
        <v>#REF!</v>
      </c>
    </row>
    <row r="11" spans="1:15">
      <c r="A11" s="334"/>
      <c r="B11" s="335"/>
      <c r="C11" s="357"/>
      <c r="D11" s="358"/>
      <c r="E11" s="359"/>
      <c r="F11" s="357"/>
      <c r="G11" s="357"/>
      <c r="H11" s="357"/>
    </row>
    <row r="12" spans="1:15">
      <c r="A12" s="351" t="s">
        <v>54</v>
      </c>
      <c r="B12" s="332"/>
      <c r="C12" s="333" t="e">
        <f ca="1">SUM(F12:H12)</f>
        <v>#REF!</v>
      </c>
      <c r="D12" s="352"/>
      <c r="E12" s="353"/>
      <c r="F12" s="333">
        <f ca="1">OFFSET('Historical NAV'!J1, COUNT('Historical NAV'!A:A),,,)</f>
        <v>331246.3465673998</v>
      </c>
      <c r="G12" s="360" t="e">
        <f>G14*G6</f>
        <v>#REF!</v>
      </c>
      <c r="H12" s="333" t="e">
        <f>H14*H6</f>
        <v>#REF!</v>
      </c>
    </row>
    <row r="13" spans="1:15">
      <c r="A13" s="351"/>
      <c r="B13" s="332"/>
      <c r="C13" s="333"/>
      <c r="D13" s="352"/>
      <c r="E13" s="353"/>
      <c r="F13" s="333"/>
      <c r="G13" s="360"/>
      <c r="H13" s="333"/>
    </row>
    <row r="14" spans="1:15">
      <c r="A14" s="334" t="s">
        <v>94</v>
      </c>
      <c r="B14" s="335"/>
      <c r="C14" s="342" t="e">
        <f ca="1">C12/C6</f>
        <v>#REF!</v>
      </c>
      <c r="D14" s="343"/>
      <c r="E14" s="344"/>
      <c r="F14" s="338">
        <f ca="1">OFFSET('Historical NAV'!K1, COUNT('Historical NAV'!A:A),,,)</f>
        <v>4.9960220614229112E-3</v>
      </c>
      <c r="G14" s="39" t="e">
        <f>IB_html!#REF!</f>
        <v>#REF!</v>
      </c>
      <c r="H14" s="14" t="e">
        <f>IB_html!#REF!</f>
        <v>#REF!</v>
      </c>
    </row>
    <row r="15" spans="1:15">
      <c r="A15" s="334"/>
      <c r="B15" s="335"/>
      <c r="C15" s="342"/>
      <c r="D15" s="343"/>
      <c r="E15" s="344"/>
      <c r="F15" s="338"/>
      <c r="G15" s="15" t="e">
        <f>IB_html!#REF!</f>
        <v>#REF!</v>
      </c>
      <c r="H15" s="15" t="e">
        <f>IB_html!#REF!</f>
        <v>#REF!</v>
      </c>
    </row>
    <row r="16" spans="1:15">
      <c r="A16" s="332" t="s">
        <v>95</v>
      </c>
      <c r="B16" s="332"/>
      <c r="C16" s="16"/>
      <c r="D16" s="16"/>
      <c r="E16" s="17"/>
      <c r="F16" s="333">
        <f ca="1">OFFSET('Historical NAV'!F1, COUNT('Historical NAV'!A:A),,,)</f>
        <v>16248.368138499558</v>
      </c>
      <c r="G16" s="333"/>
      <c r="H16" s="333"/>
      <c r="N16" s="8"/>
    </row>
    <row r="17" spans="1:11">
      <c r="A17" s="332"/>
      <c r="B17" s="332"/>
      <c r="C17" s="16"/>
      <c r="D17" s="16"/>
      <c r="E17" s="17"/>
      <c r="F17" s="333"/>
      <c r="G17" s="333"/>
      <c r="H17" s="333"/>
    </row>
    <row r="18" spans="1:11">
      <c r="A18" s="334" t="s">
        <v>57</v>
      </c>
      <c r="B18" s="335"/>
      <c r="C18" s="18"/>
      <c r="D18" s="18"/>
      <c r="E18" s="19"/>
      <c r="F18" s="338">
        <f ca="1">OFFSET('Historical NAV'!G1, COUNT('Historical NAV'!A:A),,,)</f>
        <v>2.4390717305475124E-4</v>
      </c>
      <c r="G18" s="340"/>
      <c r="H18" s="340"/>
    </row>
    <row r="19" spans="1:11">
      <c r="A19" s="336"/>
      <c r="B19" s="337"/>
      <c r="C19" s="20"/>
      <c r="D19" s="20"/>
      <c r="E19" s="21"/>
      <c r="F19" s="339"/>
      <c r="G19" s="341"/>
      <c r="H19" s="341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8" t="s">
        <v>59</v>
      </c>
      <c r="B21" s="329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0" t="s">
        <v>57</v>
      </c>
      <c r="B22" s="331"/>
      <c r="C22" s="25">
        <f>_xll.BDP(C27,$A27)/100</f>
        <v>2.4449559999999999E-3</v>
      </c>
      <c r="D22" s="25">
        <f>_xll.BDP(D27,$A27)/100</f>
        <v>7.2353160000000001E-4</v>
      </c>
      <c r="E22" s="26">
        <f>_xll.BDP(E27,$A27)/100</f>
        <v>2.3032329999999999E-4</v>
      </c>
      <c r="F22" s="27">
        <f>_xll.BDP(F27,$A27)/100</f>
        <v>-4.3999999999999996E-4</v>
      </c>
      <c r="G22" s="27">
        <f>_xll.BDP(G27,$A27)/100</f>
        <v>-6.1607060000000002E-4</v>
      </c>
      <c r="H22" s="25">
        <f>_xll.BDP(H27,$A27)/100</f>
        <v>-7.846507370112576E-4</v>
      </c>
    </row>
    <row r="23" spans="1:11">
      <c r="A23" s="326" t="s">
        <v>66</v>
      </c>
      <c r="B23" s="327"/>
      <c r="C23" s="28">
        <f>_xll.BDP(C27,$A28)/100</f>
        <v>1.4742129999999999E-2</v>
      </c>
      <c r="D23" s="28">
        <f>_xll.BDP(D27,$A28)/100</f>
        <v>2.1083769999999998E-2</v>
      </c>
      <c r="E23" s="29">
        <f>_xll.BDP(E27,$A28)/100</f>
        <v>2.6220170000000001E-4</v>
      </c>
      <c r="F23" s="30">
        <f>_xll.BDP(F27,$A28)/100</f>
        <v>2.1150000000000001E-3</v>
      </c>
      <c r="G23" s="30">
        <f>_xll.BDP(G27,$A28)/100</f>
        <v>4.8239229999999994E-2</v>
      </c>
      <c r="H23" s="28">
        <f>_xll.BDP(H27,$A28)/100</f>
        <v>-1.2918704438497792E-2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2025-02-19T06:01:56Z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