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2EDA2508-6B1B-46B9-B32C-76F5684F40CE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16" l="1" a="1"/>
  <c r="E9" i="16"/>
  <c r="E6" i="16" a="1"/>
  <c r="E6" i="16"/>
  <c r="E10" i="16" a="1"/>
  <c r="E10" i="16"/>
  <c r="E8" i="16" a="1"/>
  <c r="E8" i="16"/>
  <c r="E7" i="16" a="1"/>
  <c r="E7" i="16"/>
  <c r="D7" i="16" a="1"/>
  <c r="D7" i="16"/>
  <c r="D10" i="16" a="1"/>
  <c r="D10" i="16"/>
  <c r="D9" i="16" a="1"/>
  <c r="D9" i="16"/>
  <c r="D6" i="16" a="1"/>
  <c r="D6" i="16"/>
  <c r="D8" i="16" a="1"/>
  <c r="D8" i="16"/>
  <c r="F9" i="16" a="1"/>
  <c r="F9" i="16"/>
  <c r="F10" i="16" a="1"/>
  <c r="F10" i="16"/>
  <c r="F7" i="16" a="1"/>
  <c r="F7" i="16"/>
  <c r="F8" i="16" a="1"/>
  <c r="F8" i="16"/>
  <c r="F6" i="16" a="1"/>
  <c r="F6" i="16"/>
  <c r="H7" i="16" a="1"/>
  <c r="H7" i="16"/>
  <c r="H8" i="16" a="1"/>
  <c r="H8" i="16"/>
  <c r="H9" i="16" a="1"/>
  <c r="H9" i="16"/>
  <c r="H10" i="16" a="1"/>
  <c r="H10" i="16"/>
  <c r="H6" i="16" a="1"/>
  <c r="H6" i="16"/>
  <c r="G8" i="16" a="1"/>
  <c r="G8" i="16"/>
  <c r="G6" i="16" a="1"/>
  <c r="G6" i="16"/>
  <c r="G10" i="16" a="1"/>
  <c r="G10" i="16"/>
  <c r="G9" i="16" a="1"/>
  <c r="G9" i="16"/>
  <c r="G7" i="16" a="1"/>
  <c r="G7" i="16"/>
  <c r="K9" i="16"/>
  <c r="K6" i="16"/>
  <c r="L9" i="16" a="1"/>
  <c r="L9" i="16"/>
  <c r="K8" i="16"/>
  <c r="K10" i="16"/>
  <c r="L10" i="16" a="1"/>
  <c r="L10" i="16"/>
  <c r="K7" i="16"/>
  <c r="J9" i="16" a="1"/>
  <c r="J9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10" i="16"/>
  <c r="I9" i="16" a="1"/>
  <c r="I9" i="16"/>
  <c r="J7" i="16" a="1"/>
  <c r="J7" i="16"/>
  <c r="L6" i="16" a="1"/>
  <c r="L6" i="16"/>
  <c r="M19" i="16"/>
  <c r="J19" i="16"/>
  <c r="E17" i="16"/>
  <c r="T16" i="16"/>
  <c r="E16" i="16"/>
  <c r="T12" i="16"/>
  <c r="T10" i="16"/>
  <c r="F17" i="16" l="1"/>
  <c r="F16" i="16"/>
  <c r="O9" i="16"/>
  <c r="G17" i="16" l="1"/>
  <c r="G16" i="16"/>
  <c r="U8" i="16"/>
  <c r="O8" i="16"/>
  <c r="H17" i="16" l="1"/>
  <c r="H16" i="16"/>
  <c r="U7" i="16"/>
  <c r="O7" i="16"/>
  <c r="Q7" i="16" s="1"/>
  <c r="U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E4" i="16"/>
  <c r="D4" i="16"/>
  <c r="T3" i="16"/>
  <c r="D23" i="4"/>
  <c r="F22" i="4"/>
  <c r="F23" i="4"/>
  <c r="C23" i="4"/>
  <c r="E23" i="4"/>
  <c r="D22" i="4"/>
  <c r="G23" i="4"/>
  <c r="C22" i="4"/>
  <c r="E22" i="4"/>
  <c r="H23" i="4"/>
  <c r="H22" i="4"/>
  <c r="G22" i="4"/>
  <c r="C24" i="4"/>
  <c r="P9" i="16" l="1"/>
  <c r="L5" i="16"/>
  <c r="K5" i="16"/>
  <c r="T8" i="16"/>
  <c r="T7" i="16"/>
  <c r="T6" i="16"/>
  <c r="P8" i="16"/>
  <c r="Q8" i="16" s="1"/>
  <c r="P6" i="16"/>
  <c r="O4" i="16"/>
  <c r="X1202" i="14"/>
  <c r="E1202" i="14"/>
  <c r="D1202" i="14"/>
  <c r="C1202" i="14"/>
  <c r="B1202" i="14"/>
  <c r="A1202" i="14"/>
  <c r="L212" i="13"/>
  <c r="A212" i="13"/>
  <c r="X1204" i="3"/>
  <c r="D1204" i="3"/>
  <c r="O10" i="16" l="1"/>
  <c r="O6" i="16"/>
  <c r="Q6" i="16" s="1"/>
  <c r="Q4" i="16"/>
  <c r="P10" i="16"/>
  <c r="T9" i="16"/>
  <c r="F1202" i="14"/>
  <c r="V9" i="16" l="1"/>
  <c r="T13" i="16"/>
  <c r="T17" i="16" s="1"/>
  <c r="T18" i="16" s="1"/>
  <c r="Q10" i="16"/>
  <c r="X1201" i="14"/>
  <c r="E1201" i="14"/>
  <c r="D1201" i="14"/>
  <c r="C1201" i="14"/>
  <c r="B1201" i="14"/>
  <c r="A1201" i="14"/>
  <c r="L211" i="13"/>
  <c r="A211" i="13"/>
  <c r="X1203" i="3"/>
  <c r="D1203" i="3"/>
  <c r="F1204" i="3" s="1"/>
  <c r="G1204" i="3" l="1"/>
  <c r="F1201" i="14"/>
  <c r="H1202" i="14" s="1"/>
  <c r="I1202" i="14" s="1"/>
  <c r="L1202" i="14" l="1"/>
  <c r="Y1202" i="14"/>
  <c r="Z1202" i="14" s="1"/>
  <c r="AA1202" i="14" s="1"/>
  <c r="Y1204" i="3"/>
  <c r="Z1204" i="3" s="1"/>
  <c r="AA1204" i="3" s="1"/>
  <c r="L1204" i="3"/>
  <c r="X1200" i="14"/>
  <c r="E1200" i="14"/>
  <c r="D1200" i="14"/>
  <c r="C1200" i="14"/>
  <c r="B1200" i="14"/>
  <c r="F1200" i="14" s="1"/>
  <c r="H1201" i="14" s="1"/>
  <c r="I1201" i="14" s="1"/>
  <c r="A1200" i="14"/>
  <c r="L210" i="13"/>
  <c r="A210" i="13"/>
  <c r="X1202" i="3"/>
  <c r="D1202" i="3"/>
  <c r="F1203" i="3" s="1"/>
  <c r="Y1201" i="14" l="1"/>
  <c r="Z1201" i="14" s="1"/>
  <c r="AA1201" i="14" s="1"/>
  <c r="L1201" i="14"/>
  <c r="G1203" i="3"/>
  <c r="X1199" i="14"/>
  <c r="E1199" i="14"/>
  <c r="D1199" i="14"/>
  <c r="C1199" i="14"/>
  <c r="B1199" i="14"/>
  <c r="A1199" i="14"/>
  <c r="L209" i="13"/>
  <c r="A209" i="13"/>
  <c r="X1201" i="3"/>
  <c r="D1201" i="3"/>
  <c r="F1202" i="3" s="1"/>
  <c r="Y1203" i="3" l="1"/>
  <c r="Z1203" i="3" s="1"/>
  <c r="AA1203" i="3" s="1"/>
  <c r="L1203" i="3"/>
  <c r="G1202" i="3"/>
  <c r="F1199" i="14"/>
  <c r="H1200" i="14" s="1"/>
  <c r="I1200" i="14" s="1"/>
  <c r="L1200" i="14" l="1"/>
  <c r="Y1200" i="14"/>
  <c r="Z1200" i="14" s="1"/>
  <c r="AA1200" i="14" s="1"/>
  <c r="L1202" i="3"/>
  <c r="Y1202" i="3"/>
  <c r="Z1202" i="3" s="1"/>
  <c r="AA1202" i="3" s="1"/>
  <c r="X1198" i="14"/>
  <c r="E1198" i="14"/>
  <c r="D1198" i="14"/>
  <c r="C1198" i="14"/>
  <c r="B1198" i="14"/>
  <c r="A1198" i="14"/>
  <c r="L208" i="13"/>
  <c r="A208" i="13"/>
  <c r="X1200" i="3"/>
  <c r="D1200" i="3"/>
  <c r="F1201" i="3" s="1"/>
  <c r="G1201" i="3" l="1"/>
  <c r="F1198" i="14"/>
  <c r="H1199" i="14" s="1"/>
  <c r="I1199" i="14" s="1"/>
  <c r="L1199" i="14" l="1"/>
  <c r="Y1199" i="14"/>
  <c r="Z1199" i="14" s="1"/>
  <c r="AA1199" i="14" s="1"/>
  <c r="L1201" i="3"/>
  <c r="Y1201" i="3"/>
  <c r="Z1201" i="3" s="1"/>
  <c r="AA1201" i="3" s="1"/>
  <c r="X1197" i="14"/>
  <c r="E1197" i="14"/>
  <c r="D1197" i="14"/>
  <c r="C1197" i="14"/>
  <c r="B1197" i="14"/>
  <c r="A1197" i="14"/>
  <c r="L207" i="13"/>
  <c r="A207" i="13"/>
  <c r="X1199" i="3"/>
  <c r="D1199" i="3"/>
  <c r="F1200" i="3" s="1"/>
  <c r="G1200" i="3" l="1"/>
  <c r="F1197" i="14"/>
  <c r="H1198" i="14" s="1"/>
  <c r="I1198" i="14" s="1"/>
  <c r="L1198" i="14" l="1"/>
  <c r="Y1198" i="14"/>
  <c r="Z1198" i="14" s="1"/>
  <c r="AA1198" i="14" s="1"/>
  <c r="L1200" i="3"/>
  <c r="Y1200" i="3"/>
  <c r="Z1200" i="3" s="1"/>
  <c r="AA1200" i="3" s="1"/>
  <c r="X1196" i="14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F1197" i="3" s="1"/>
  <c r="G1197" i="3" s="1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G1200" i="14" s="1"/>
  <c r="G1201" i="14" s="1"/>
  <c r="G1202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J1198" i="14" s="1"/>
  <c r="J1199" i="14" s="1"/>
  <c r="J1200" i="14" s="1"/>
  <c r="J1201" i="14" s="1"/>
  <c r="J1202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AC1204" i="3" s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X1170" i="14"/>
  <c r="E1170" i="14"/>
  <c r="D1170" i="14"/>
  <c r="C1170" i="14"/>
  <c r="B1170" i="14"/>
  <c r="A1170" i="14"/>
  <c r="L180" i="13"/>
  <c r="A180" i="13"/>
  <c r="X1172" i="3"/>
  <c r="D1172" i="3"/>
  <c r="X1169" i="14"/>
  <c r="E1169" i="14"/>
  <c r="D1169" i="14"/>
  <c r="C1169" i="14"/>
  <c r="B1169" i="14"/>
  <c r="A1169" i="14"/>
  <c r="L179" i="13"/>
  <c r="A179" i="13"/>
  <c r="X1171" i="3"/>
  <c r="D1171" i="3"/>
  <c r="F1174" i="3" l="1"/>
  <c r="Q1204" i="3"/>
  <c r="R1204" i="3" s="1"/>
  <c r="F1173" i="3"/>
  <c r="G1173" i="3" s="1"/>
  <c r="Q1203" i="3"/>
  <c r="R1203" i="3" s="1"/>
  <c r="F1172" i="3"/>
  <c r="G1172" i="3" s="1"/>
  <c r="Q1202" i="3"/>
  <c r="R1202" i="3" s="1"/>
  <c r="G1174" i="3"/>
  <c r="F1171" i="14"/>
  <c r="L1173" i="3"/>
  <c r="Y1173" i="3"/>
  <c r="Z1173" i="3" s="1"/>
  <c r="AA1173" i="3" s="1"/>
  <c r="F1170" i="14"/>
  <c r="L1172" i="3"/>
  <c r="Y1172" i="3"/>
  <c r="Z1172" i="3" s="1"/>
  <c r="AA1172" i="3" s="1"/>
  <c r="F1169" i="14"/>
  <c r="H1172" i="14" l="1"/>
  <c r="I1172" i="14" s="1"/>
  <c r="Q1202" i="14"/>
  <c r="R1202" i="14" s="1"/>
  <c r="H1171" i="14"/>
  <c r="I1171" i="14" s="1"/>
  <c r="AC1202" i="14" s="1"/>
  <c r="Q1201" i="14"/>
  <c r="R1201" i="14" s="1"/>
  <c r="AC1201" i="3"/>
  <c r="AC1203" i="3"/>
  <c r="H1170" i="14"/>
  <c r="I1170" i="14" s="1"/>
  <c r="AC1201" i="14" s="1"/>
  <c r="Q1200" i="14"/>
  <c r="R1200" i="14" s="1"/>
  <c r="AC1202" i="3"/>
  <c r="Y1172" i="14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 l="1"/>
  <c r="Z1170" i="14" s="1"/>
  <c r="AA1170" i="14" s="1"/>
  <c r="D1170" i="3"/>
  <c r="X1168" i="14"/>
  <c r="E1168" i="14"/>
  <c r="D1168" i="14"/>
  <c r="C1168" i="14"/>
  <c r="B1168" i="14"/>
  <c r="A1168" i="14"/>
  <c r="L178" i="13"/>
  <c r="A178" i="13"/>
  <c r="X1170" i="3"/>
  <c r="A650" i="18"/>
  <c r="F1171" i="3" l="1"/>
  <c r="Q1201" i="3"/>
  <c r="R1201" i="3" s="1"/>
  <c r="G1171" i="3"/>
  <c r="AC1200" i="3" s="1"/>
  <c r="F1168" i="14"/>
  <c r="H1169" i="14" l="1"/>
  <c r="I1169" i="14" s="1"/>
  <c r="AC1200" i="14" s="1"/>
  <c r="Q1199" i="14"/>
  <c r="R1199" i="14" s="1"/>
  <c r="J1169" i="14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l="1"/>
  <c r="Q1200" i="3"/>
  <c r="R1200" i="3" s="1"/>
  <c r="G1170" i="3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A1167" i="14"/>
  <c r="L177" i="13"/>
  <c r="A177" i="13"/>
  <c r="H1168" i="14" l="1"/>
  <c r="I1168" i="14" s="1"/>
  <c r="AC1199" i="14" s="1"/>
  <c r="Q1198" i="14"/>
  <c r="R1198" i="14" s="1"/>
  <c r="L1168" i="14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F1169" i="3"/>
  <c r="G1168" i="3"/>
  <c r="F1166" i="14"/>
  <c r="F1165" i="14"/>
  <c r="H1167" i="14" l="1"/>
  <c r="I1167" i="14" s="1"/>
  <c r="AC1198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P1204" i="3" l="1"/>
  <c r="O1204" i="3"/>
  <c r="W1204" i="3" s="1"/>
  <c r="O1203" i="3"/>
  <c r="P1203" i="3"/>
  <c r="O1202" i="3"/>
  <c r="P1202" i="3"/>
  <c r="O1201" i="3"/>
  <c r="P1201" i="3"/>
  <c r="O1200" i="3"/>
  <c r="P1200" i="3"/>
  <c r="O1199" i="3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N1203" i="3" l="1"/>
  <c r="N1204" i="3"/>
  <c r="W1203" i="3"/>
  <c r="N1201" i="3"/>
  <c r="N1202" i="3"/>
  <c r="W1202" i="3"/>
  <c r="W1201" i="3"/>
  <c r="N1199" i="3"/>
  <c r="N1200" i="3"/>
  <c r="W1200" i="3"/>
  <c r="W1199" i="3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L1164" i="14" l="1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S1204" i="3" s="1"/>
  <c r="T1204" i="3" s="1"/>
  <c r="X1114" i="14"/>
  <c r="E1114" i="14"/>
  <c r="D1114" i="14"/>
  <c r="C1114" i="14"/>
  <c r="B1114" i="14"/>
  <c r="A1114" i="14"/>
  <c r="L122" i="13"/>
  <c r="A122" i="13"/>
  <c r="X1114" i="3"/>
  <c r="D1114" i="3"/>
  <c r="S1203" i="3" s="1"/>
  <c r="T1203" i="3" s="1"/>
  <c r="X1113" i="14"/>
  <c r="E1113" i="14"/>
  <c r="D1113" i="14"/>
  <c r="C1113" i="14"/>
  <c r="B1113" i="14"/>
  <c r="A1113" i="14"/>
  <c r="L121" i="13"/>
  <c r="A121" i="13"/>
  <c r="X1113" i="3"/>
  <c r="D1113" i="3"/>
  <c r="S1202" i="3" s="1"/>
  <c r="T1202" i="3" s="1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S1201" i="3" s="1"/>
  <c r="T1201" i="3" s="1"/>
  <c r="X1111" i="14"/>
  <c r="E1111" i="14"/>
  <c r="D1111" i="14"/>
  <c r="C1111" i="14"/>
  <c r="B1111" i="14"/>
  <c r="A1111" i="14"/>
  <c r="L119" i="13"/>
  <c r="A119" i="13"/>
  <c r="X1111" i="3"/>
  <c r="D1111" i="3"/>
  <c r="S1200" i="3" s="1"/>
  <c r="T1200" i="3" s="1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S1202" i="14" s="1"/>
  <c r="T1202" i="14" s="1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40" i="14" l="1"/>
  <c r="R1140" i="14" s="1"/>
  <c r="S1200" i="14"/>
  <c r="T1200" i="14" s="1"/>
  <c r="T1189" i="3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AD1204" i="3" s="1"/>
  <c r="H1117" i="3"/>
  <c r="H1118" i="3" s="1"/>
  <c r="H1119" i="3" s="1"/>
  <c r="H1120" i="3" s="1"/>
  <c r="H1121" i="3" s="1"/>
  <c r="G1112" i="3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AD1200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S1201" i="14" s="1"/>
  <c r="T1201" i="14" s="1"/>
  <c r="L111" i="13"/>
  <c r="L115" i="13"/>
  <c r="Q1110" i="3"/>
  <c r="R1110" i="3" s="1"/>
  <c r="Q1105" i="3"/>
  <c r="R1105" i="3" s="1"/>
  <c r="F1108" i="14"/>
  <c r="S1199" i="14" s="1"/>
  <c r="T1199" i="14" s="1"/>
  <c r="Q1108" i="3"/>
  <c r="R1108" i="3" s="1"/>
  <c r="Q1107" i="3"/>
  <c r="R1107" i="3" s="1"/>
  <c r="F1107" i="14"/>
  <c r="S1198" i="14" s="1"/>
  <c r="T1198" i="14" s="1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D1202" i="3" l="1"/>
  <c r="AD1203" i="3"/>
  <c r="L1112" i="3"/>
  <c r="AD1201" i="3"/>
  <c r="AD1199" i="3"/>
  <c r="AD1198" i="3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C1142" i="14" l="1"/>
  <c r="AD1202" i="14"/>
  <c r="AD1201" i="14"/>
  <c r="AD1199" i="14"/>
  <c r="AD1200" i="14"/>
  <c r="AD1198" i="14"/>
  <c r="Y1106" i="14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F18" i="16" s="1"/>
  <c r="F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U1202" i="14" s="1"/>
  <c r="V1202" i="14" s="1"/>
  <c r="X835" i="14"/>
  <c r="F835" i="14"/>
  <c r="X834" i="14"/>
  <c r="F834" i="14"/>
  <c r="X833" i="14"/>
  <c r="F833" i="14"/>
  <c r="X832" i="14"/>
  <c r="F832" i="14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24" i="14" l="1"/>
  <c r="T924" i="14" s="1"/>
  <c r="U1201" i="14"/>
  <c r="V1201" i="14" s="1"/>
  <c r="S923" i="14"/>
  <c r="T923" i="14" s="1"/>
  <c r="U1200" i="14"/>
  <c r="V1200" i="14" s="1"/>
  <c r="S922" i="14"/>
  <c r="T922" i="14" s="1"/>
  <c r="U1199" i="14"/>
  <c r="V1199" i="14" s="1"/>
  <c r="H833" i="14"/>
  <c r="I833" i="14" s="1"/>
  <c r="U1198" i="14"/>
  <c r="V1198" i="14" s="1"/>
  <c r="S920" i="14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34" i="14" l="1"/>
  <c r="L818" i="14"/>
  <c r="Y832" i="14"/>
  <c r="Z944" i="14"/>
  <c r="AA944" i="14" s="1"/>
  <c r="Y831" i="14"/>
  <c r="L824" i="14"/>
  <c r="J824" i="14"/>
  <c r="L829" i="14"/>
  <c r="L827" i="14"/>
  <c r="Y805" i="14"/>
  <c r="Z805" i="14" s="1"/>
  <c r="AA805" i="14" s="1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9" i="14" l="1"/>
  <c r="AA949" i="14" s="1"/>
  <c r="Z948" i="14"/>
  <c r="AA948" i="14" s="1"/>
  <c r="Z947" i="14"/>
  <c r="AA947" i="14" s="1"/>
  <c r="Z946" i="14"/>
  <c r="AA946" i="14" s="1"/>
  <c r="Z945" i="14"/>
  <c r="AA945" i="14" s="1"/>
  <c r="Z943" i="14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K1199" i="14" s="1"/>
  <c r="K1200" i="14" s="1"/>
  <c r="K1201" i="14" s="1"/>
  <c r="K1202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202" i="14" l="1"/>
  <c r="O1202" i="14"/>
  <c r="P1202" i="14"/>
  <c r="AE1201" i="14"/>
  <c r="O1201" i="14"/>
  <c r="P1201" i="14"/>
  <c r="AE1200" i="14"/>
  <c r="O1200" i="14"/>
  <c r="P1200" i="14"/>
  <c r="AE1199" i="14"/>
  <c r="O1199" i="14"/>
  <c r="P1199" i="14"/>
  <c r="AE1198" i="14"/>
  <c r="O1198" i="14"/>
  <c r="P1198" i="14"/>
  <c r="AE1197" i="14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202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202" i="14" l="1"/>
  <c r="W1202" i="14"/>
  <c r="M1200" i="14"/>
  <c r="M1201" i="14"/>
  <c r="N1201" i="14"/>
  <c r="W1201" i="14"/>
  <c r="N1200" i="14"/>
  <c r="W1200" i="14"/>
  <c r="M1198" i="14"/>
  <c r="M1199" i="14"/>
  <c r="N1199" i="14"/>
  <c r="W1199" i="14"/>
  <c r="N1198" i="14"/>
  <c r="W1198" i="14"/>
  <c r="N1197" i="14"/>
  <c r="W1197" i="14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202" i="14" l="1"/>
  <c r="AB1201" i="14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9" i="3" l="1"/>
  <c r="T929" i="3" s="1"/>
  <c r="U1204" i="3"/>
  <c r="V1204" i="3" s="1"/>
  <c r="S928" i="3"/>
  <c r="T928" i="3" s="1"/>
  <c r="U1203" i="3"/>
  <c r="V1203" i="3" s="1"/>
  <c r="S927" i="3"/>
  <c r="T927" i="3" s="1"/>
  <c r="U1202" i="3"/>
  <c r="V1202" i="3" s="1"/>
  <c r="S926" i="3"/>
  <c r="T926" i="3" s="1"/>
  <c r="U1201" i="3"/>
  <c r="V1201" i="3" s="1"/>
  <c r="S925" i="3"/>
  <c r="T925" i="3" s="1"/>
  <c r="U1200" i="3"/>
  <c r="V1200" i="3" s="1"/>
  <c r="S924" i="3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204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202" i="3" l="1"/>
  <c r="AE1203" i="3"/>
  <c r="AE1200" i="3"/>
  <c r="AE1201" i="3"/>
  <c r="AE1198" i="3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53" i="3" l="1"/>
  <c r="AA953" i="3" s="1"/>
  <c r="AB1204" i="3"/>
  <c r="Z952" i="3"/>
  <c r="AA952" i="3" s="1"/>
  <c r="AB1203" i="3"/>
  <c r="Z951" i="3"/>
  <c r="AA951" i="3" s="1"/>
  <c r="AB1202" i="3"/>
  <c r="Z950" i="3"/>
  <c r="AA950" i="3" s="1"/>
  <c r="AB1201" i="3"/>
  <c r="Z949" i="3"/>
  <c r="AA949" i="3" s="1"/>
  <c r="AB1200" i="3"/>
  <c r="Z948" i="3"/>
  <c r="AA948" i="3" s="1"/>
  <c r="AB1199" i="3" s="1"/>
  <c r="Z947" i="3"/>
  <c r="AA947" i="3" s="1"/>
  <c r="AB1198" i="3" s="1"/>
  <c r="Z946" i="3"/>
  <c r="AA946" i="3" s="1"/>
  <c r="Z945" i="3"/>
  <c r="AA945" i="3" s="1"/>
  <c r="Z944" i="3"/>
  <c r="AA944" i="3" s="1"/>
  <c r="Z943" i="3"/>
  <c r="AA943" i="3" s="1"/>
  <c r="AB1193" i="3" s="1"/>
  <c r="Z942" i="3"/>
  <c r="AA942" i="3" s="1"/>
  <c r="Z941" i="3"/>
  <c r="AA941" i="3" s="1"/>
  <c r="Z940" i="3"/>
  <c r="AA94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4" i="3" l="1"/>
  <c r="AB1196" i="3"/>
  <c r="AB1195" i="3"/>
  <c r="AB1197" i="3"/>
  <c r="AB1190" i="3"/>
  <c r="AB1192" i="3"/>
  <c r="AB1189" i="3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204" i="3" l="1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<sst xmlns="http://schemas.openxmlformats.org/spreadsheetml/2006/main" count="775" uniqueCount="351">
  <si>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</si>
  <si>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</si>
  <si>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</si>
  <si>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</si>
  <si>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</si>
  <si>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</si>
  <si>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</si>
  <si>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</si>
  <si>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</si>
  <si>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</si>
  <si>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</si>
  <si>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</si>
  <si>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</si>
  <si>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</si>
  <si>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</si>
  <si>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</si>
  <si>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</si>
  <si>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</si>
  <si>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</si>
  <si>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</si>
  <si>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</si>
  <si>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</si>
  <si>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</si>
  <si>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</si>
  <si>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</si>
  <si>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</si>
  <si>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</si>
  <si>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</si>
  <si>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</si>
  <si>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</si>
  <si>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</si>
  <si>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</si>
  <si>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</si>
  <si>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</si>
  <si>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</si>
  <si>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</si>
  <si>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</si>
  <si>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</si>
  <si>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</si>
  <si>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</si>
  <si>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</si>
  <si>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</si>
  <si>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</si>
  <si>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</si>
  <si>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</si>
  <si>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</si>
  <si>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</si>
  <si>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</si>
  <si>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</si>
  <si>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</si>
  <si>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</si>
  <si>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</si>
  <si>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</si>
  <si>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</si>
  <si>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</si>
  <si>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</si>
  <si>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</si>
  <si>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</si>
  <si>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</si>
  <si>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</si>
  <si>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</si>
  <si>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</si>
  <si>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</si>
  <si>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</si>
  <si>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</si>
  <si>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</si>
  <si>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</si>
  <si>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</si>
  <si>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</si>
  <si>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</si>
  <si>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</si>
  <si>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</si>
  <si>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</si>
  <si>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</si>
  <si>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</si>
  <si>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</si>
  <si>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</si>
  <si>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</si>
  <si>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</si>
  <si>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</si>
  <si>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</si>
  <si>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</si>
  <si>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</si>
  <si>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</si>
  <si>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</si>
  <si>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</si>
  <si>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</si>
  <si>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</si>
  <si>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</si>
  <si>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</si>
  <si>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</si>
  <si>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</si>
  <si>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</si>
  <si>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</si>
  <si>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</si>
  <si>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</si>
  <si>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</si>
  <si>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</si>
  <si>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</si>
  <si>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</si>
  <si>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</si>
  <si>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</si>
  <si>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</si>
  <si>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</si>
  <si>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</si>
  <si>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</si>
  <si>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</si>
  <si>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</si>
  <si>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</si>
  <si>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</si>
  <si>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</si>
  <si>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</si>
  <si>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</si>
  <si>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</si>
  <si>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</si>
  <si>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</si>
  <si>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</si>
  <si>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</si>
  <si>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</si>
  <si>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</si>
  <si>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</si>
  <si>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</si>
  <si>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</si>
  <si>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</si>
  <si>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</si>
  <si>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</si>
  <si>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</si>
  <si>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</si>
  <si>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</si>
  <si>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</si>
  <si>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</si>
  <si>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</si>
  <si>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</si>
  <si>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</si>
  <si>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</si>
  <si>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</si>
  <si>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</si>
  <si>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</si>
  <si>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</si>
  <si>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</si>
  <si>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</si>
  <si>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</si>
  <si>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</si>
  <si>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</si>
  <si>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</si>
  <si>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</si>
  <si>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</si>
  <si>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</si>
  <si>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</si>
  <si>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</si>
  <si>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</si>
  <si>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</si>
  <si>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</si>
  <si>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</si>
  <si>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</si>
  <si>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</si>
  <si>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</si>
  <si>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</si>
  <si>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</si>
  <si>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</si>
  <si>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</si>
  <si>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</si>
  <si>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</si>
  <si>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</si>
  <si>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</si>
  <si>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</si>
  <si>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</si>
  <si>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</si>
  <si>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</si>
  <si>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</si>
  <si>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</si>
  <si>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</si>
  <si>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</si>
  <si>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</si>
  <si>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</si>
  <si>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</si>
  <si>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</si>
  <si>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</si>
  <si>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</si>
  <si>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</si>
  <si>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</si>
  <si>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</si>
  <si>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</si>
  <si>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</si>
  <si>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</si>
  <si>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</si>
  <si>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</si>
  <si>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</si>
  <si>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</si>
  <si>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</si>
  <si>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</si>
  <si>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</si>
  <si>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</si>
  <si>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</si>
  <si>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</si>
  <si>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</si>
  <si>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</si>
  <si>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</si>
  <si>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</si>
  <si>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</si>
  <si>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</si>
  <si>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</si>
  <si>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</si>
  <si>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</si>
  <si>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</si>
  <si>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</si>
  <si>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</si>
  <si>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</si>
  <si>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</si>
  <si>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</si>
  <si>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</si>
  <si>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</si>
  <si>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</si>
  <si>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</si>
  <si>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</si>
  <si>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</si>
  <si>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</si>
  <si>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</si>
  <si>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</si>
  <si>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</si>
  <si>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</si>
  <si>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</si>
  <si>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</si>
  <si>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</si>
  <si>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</si>
  <si>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</si>
  <si>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</si>
  <si>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</si>
  <si>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</si>
  <si>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</si>
  <si>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</si>
  <si>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</si>
  <si>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</si>
  <si>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</si>
  <si>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</si>
  <si>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</si>
  <si>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</si>
  <si>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</si>
  <si>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</si>
  <si>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</si>
  <si>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</si>
  <si>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</si>
  <si>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</si>
  <si>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</si>
  <si>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</si>
  <si>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</si>
  <si>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</si>
  <si>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</si>
  <si>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</si>
  <si>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</si>
  <si>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</si>
  <si>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</si>
  <si>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</si>
  <si>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</si>
  <si>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</si>
  <si>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</si>
  <si>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</si>
  <si>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</si>
  <si>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</si>
  <si>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</si>
  <si>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</si>
  <si>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</si>
  <si>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</si>
  <si>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</si>
  <si>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</si>
  <si>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</si>
  <si>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</si>
  <si>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</si>
  <si>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</si>
  <si>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</si>
  <si>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</si>
  <si>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</si>
  <si>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</si>
  <si>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</si>
  <si>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</si>
  <si>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</si>
  <si>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</si>
  <si>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</si>
  <si>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</si>
  <si>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</si>
  <si>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</si>
  <si>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</si>
  <si>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</si>
  <si>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</si>
  <si>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</si>
  <si>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</si>
  <si>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</si>
  <si>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</si>
  <si>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</si>
  <si>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</si>
  <si>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</si>
  <si>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</si>
  <si>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</si>
  <si>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</si>
  <si>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</si>
  <si>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</si>
  <si>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</si>
  <si>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</si>
  <si>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</si>
  <si>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</si>
  <si>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</si>
  <si>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</si>
  <si>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</si>
  <si>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</si>
  <si>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</si>
  <si>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</si>
  <si>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</si>
  <si>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</si>
  <si>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</si>
  <si>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</si>
  <si>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</si>
  <si>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</si>
  <si>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</si>
  <si>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</si>
  <si>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</si>
  <si>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</si>
  <si>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</si>
  <si>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</si>
  <si>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</si>
  <si>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</si>
  <si>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</si>
  <si>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</si>
  <si>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</si>
  <si>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</si>
  <si>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</si>
  <si>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</si>
  <si>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</si>
  <si>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</si>
  <si>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</si>
  <si>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</si>
  <si>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</si>
  <si>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</si>
  <si>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</si>
  <si>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</si>
  <si>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</si>
  <si>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</si>
  <si>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</si>
  <si>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</si>
  <si>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</si>
  <si>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</si>
  <si>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</si>
  <si>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</si>
  <si>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</si>
  <si>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</si>
  <si>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</si>
  <si>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</si>
  <si>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</si>
  <si>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</si>
  <si>
    <t>Change in Dividend Accruals</t>
  </si>
  <si>
    <t>Dividends</t>
  </si>
  <si>
    <t>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</si>
</sst>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16" fontId="0" fillId="2" borderId="0" xfId="0" applyNumberFormat="1" applyFill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BDP|11362383087338657846</stp>
        <tr r="G6" s="16"/>
      </tp>
      <tp t="s">
        <v>#N/A Requesting Data...3531020357</v>
        <stp/>
        <stp>BDP|17488990371770934291</stp>
        <tr r="L9" s="16"/>
      </tp>
      <tp t="s">
        <v>#N/A Requesting Data...4278585257</v>
        <stp/>
        <stp>BDP|12503804164161346560</stp>
        <tr r="H23" s="4"/>
      </tp>
      <tp t="s">
        <v>#N/A N/A</v>
        <stp/>
        <stp>BDP|14521873086402446880</stp>
        <tr r="H7" s="16"/>
      </tp>
      <tp t="s">
        <v>#N/A N/A</v>
        <stp/>
        <stp>BDP|14020462869468652046</stp>
        <tr r="D7" s="16"/>
      </tp>
      <tp t="s">
        <v>#N/A Requesting Data...4242712225</v>
        <stp/>
        <stp>BDP|18194437827130447215</stp>
        <tr r="K6" s="16"/>
      </tp>
      <tp t="s">
        <v>#N/A N/A</v>
        <stp/>
        <stp>BDP|13203320469288869367</stp>
        <tr r="H8" s="16"/>
      </tp>
      <tp t="s">
        <v>#N/A Requesting Data...2569899471</v>
        <stp/>
        <stp>BDP|12868917489186433836</stp>
        <tr r="D22" s="4"/>
      </tp>
      <tp t="s">
        <v>#N/A Requesting Data...3481622977</v>
        <stp/>
        <stp>BDP|11441239167720550763</stp>
        <tr r="G22" s="4"/>
      </tp>
      <tp t="s">
        <v>#N/A N/A</v>
        <stp/>
        <stp>BDP|10274078775543309658</stp>
        <tr r="H9" s="16"/>
      </tp>
      <tp t="s">
        <v>#N/A Requesting Data...3715683621</v>
        <stp/>
        <stp>BDP|15571183826414458091</stp>
        <tr r="F23" s="4"/>
      </tp>
      <tp t="s">
        <v>#N/A Requesting Data...3561804465</v>
        <stp/>
        <stp>BDP|16691583684581330968</stp>
        <tr r="F22" s="4"/>
      </tp>
      <tp t="s">
        <v>#N/A Requesting Data...3339334515</v>
        <stp/>
        <stp>BDP|10851542879122214334</stp>
        <tr r="K7" s="16"/>
      </tp>
      <tp t="s">
        <v>#N/A N/A</v>
        <stp/>
        <stp>BDP|13756608434800531516</stp>
        <tr r="E10" s="16"/>
      </tp>
      <tp t="s">
        <v>#N/A Requesting Data...2792844364</v>
        <stp/>
        <stp>BDP|13033893993631589338</stp>
        <tr r="C24" s="4"/>
      </tp>
      <tp t="s">
        <v>#N/A Requesting Data...2504299254</v>
        <stp/>
        <stp>BDP|11395363488884515847</stp>
        <tr r="E22" s="4"/>
      </tp>
      <tp t="s">
        <v>#N/A N/A</v>
        <stp/>
        <stp>BDP|11094967634559549484</stp>
        <tr r="G8" s="16"/>
      </tp>
      <tp t="s">
        <v>#N/A N/A</v>
        <stp/>
        <stp>BDP|18389122192796224039</stp>
        <tr r="D9" s="16"/>
      </tp>
      <tp t="s">
        <v>#N/A Requesting Data...2677509640</v>
        <stp/>
        <stp>BDP|11453968001806112847</stp>
        <tr r="L10" s="16"/>
      </tp>
      <tp t="s">
        <v>#N/A Requesting Data...2946587972</v>
        <stp/>
        <stp>BDP|14662245951000286439</stp>
        <tr r="C22" s="4"/>
      </tp>
      <tp t="s">
        <v>#N/A Requesting Data...2811493619</v>
        <stp/>
        <stp>BDP|16854102045504656375</stp>
        <tr r="K10" s="16"/>
      </tp>
      <tp t="s">
        <v>#N/A Requesting Data...2473476049</v>
        <stp/>
        <stp>BDP|17541570393706762923</stp>
        <tr r="K9" s="16"/>
      </tp>
      <tp t="s">
        <v>#N/A N/A</v>
        <stp/>
        <stp>BDP|13774199320110584506</stp>
        <tr r="E9" s="16"/>
      </tp>
      <tp t="s">
        <v>#N/A Requesting Data...3396971456</v>
        <stp/>
        <stp>BDP|16879443774998906816</stp>
        <tr r="K8" s="16"/>
      </tp>
    </main>
    <main first="bofaddin.rtdserver">
      <tp t="s">
        <v>#N/A N/A</v>
        <stp/>
        <stp>BDP|9042733099789480284</stp>
        <tr r="E6" s="16"/>
      </tp>
      <tp t="s">
        <v>#N/A N/A</v>
        <stp/>
        <stp>BDP|7418832071603100703</stp>
        <tr r="F8" s="16"/>
      </tp>
      <tp t="s">
        <v>#N/A N/A</v>
        <stp/>
        <stp>BDP|8438748909216084464</stp>
        <tr r="G10" s="16"/>
      </tp>
      <tp t="s">
        <v>#N/A Requesting Data...2724246609</v>
        <stp/>
        <stp>BDP|1413003601749412533</stp>
        <tr r="L6" s="16"/>
      </tp>
      <tp t="s">
        <v>#N/A Requesting Data...3135719718</v>
        <stp/>
        <stp>BDP|8485886604566386829</stp>
        <tr r="H22" s="4"/>
      </tp>
      <tp t="s">
        <v>#N/A Requesting Data...2644288136</v>
        <stp/>
        <stp>BDP|9958272376154164648</stp>
        <tr r="J9" s="16"/>
      </tp>
      <tp t="s">
        <v>#N/A Requesting Data...3571894213</v>
        <stp/>
        <stp>BDP|4155052320638790009</stp>
        <tr r="L7" s="16"/>
      </tp>
      <tp t="s">
        <v>#N/A N/A</v>
        <stp/>
        <stp>BDP|5015931978364604184</stp>
        <tr r="D10" s="16"/>
      </tp>
      <tp t="s">
        <v>#N/A Requesting Data...3469254647</v>
        <stp/>
        <stp>BDP|3599663092060873385</stp>
        <tr r="G23" s="4"/>
      </tp>
      <tp t="s">
        <v>#N/A Requesting Data...2594798630</v>
        <stp/>
        <stp>BDP|2715175043958188031</stp>
        <tr r="C23" s="4"/>
      </tp>
      <tp t="s">
        <v>#N/A Requesting Data...3084454207</v>
        <stp/>
        <stp>BDP|4938759477168674381</stp>
        <tr r="E23" s="4"/>
      </tp>
      <tp t="s">
        <v>#N/A Requesting Data...2880393383</v>
        <stp/>
        <stp>BDP|4120548091556971632</stp>
        <tr r="J8" s="16"/>
      </tp>
      <tp t="s">
        <v>#N/A Requesting Data...2553900623</v>
        <stp/>
        <stp>BDP|6229753396345444597</stp>
        <tr r="J10" s="16"/>
      </tp>
      <tp t="s">
        <v>#N/A Requesting Data...2654131481</v>
        <stp/>
        <stp>BDP|6992386206898388576</stp>
        <tr r="I6" s="16"/>
      </tp>
      <tp t="s">
        <v>#N/A N/A</v>
        <stp/>
        <stp>BDP|3678517800908359637</stp>
        <tr r="F6" s="16"/>
      </tp>
      <tp t="s">
        <v>#N/A N/A</v>
        <stp/>
        <stp>BDP|4240958236555592317</stp>
        <tr r="H6" s="16"/>
      </tp>
      <tp t="s">
        <v>#N/A Requesting Data...2925056222</v>
        <stp/>
        <stp>BDP|1440775866201456872</stp>
        <tr r="I10" s="16"/>
      </tp>
      <tp t="s">
        <v>#N/A Requesting Data...3881002183</v>
        <stp/>
        <stp>BDP|2558557980072118785</stp>
        <tr r="I9" s="16"/>
      </tp>
      <tp t="s">
        <v>#N/A Requesting Data...2990104401</v>
        <stp/>
        <stp>BDP|9567764807640019488</stp>
        <tr r="D23" s="4"/>
      </tp>
      <tp t="s">
        <v>#N/A N/A</v>
        <stp/>
        <stp>BDP|8130446660658719846</stp>
        <tr r="H10" s="16"/>
      </tp>
      <tp t="s">
        <v>#N/A Requesting Data...3598393164</v>
        <stp/>
        <stp>BDP|6919533648008043579</stp>
        <tr r="J6" s="16"/>
      </tp>
      <tp t="s">
        <v>#N/A N/A</v>
        <stp/>
        <stp>BDP|4825668882408552958</stp>
        <tr r="G7" s="16"/>
      </tp>
      <tp t="s">
        <v>#N/A N/A</v>
        <stp/>
        <stp>BDP|6285505447669300512</stp>
        <tr r="F7" s="16"/>
      </tp>
      <tp t="s">
        <v>#N/A N/A</v>
        <stp/>
        <stp>BDP|9114238919469440680</stp>
        <tr r="F10" s="16"/>
      </tp>
      <tp t="s">
        <v>#N/A Requesting Data...4225116965</v>
        <stp/>
        <stp>BDP|3917812088037969338</stp>
        <tr r="I8" s="16"/>
      </tp>
      <tp t="s">
        <v>#N/A N/A</v>
        <stp/>
        <stp>BDP|8730101483318055942</stp>
        <tr r="F9" s="16"/>
      </tp>
      <tp t="s">
        <v>#N/A N/A</v>
        <stp/>
        <stp>BDP|6964254359920412103</stp>
        <tr r="E8" s="16"/>
      </tp>
      <tp t="s">
        <v>#N/A Requesting Data...4045099532</v>
        <stp/>
        <stp>BDP|3016032546861645645</stp>
        <tr r="L8" s="16"/>
      </tp>
      <tp t="s">
        <v>#N/A N/A</v>
        <stp/>
        <stp>BDP|4583089770029622835</stp>
        <tr r="D6" s="16"/>
      </tp>
      <tp t="s">
        <v>#N/A Requesting Data...3846347954</v>
        <stp/>
        <stp>BDP|5342164155427751487</stp>
        <tr r="I7" s="16"/>
      </tp>
      <tp t="s">
        <v>#N/A N/A</v>
        <stp/>
        <stp>BDP|5097401513174105644</stp>
        <tr r="E7" s="16"/>
      </tp>
      <tp t="s">
        <v>#N/A Requesting Data...3570364541</v>
        <stp/>
        <stp>BDP|2470954931023095833</stp>
        <tr r="J7" s="16"/>
      </tp>
      <tp t="s">
        <v>#N/A N/A</v>
        <stp/>
        <stp>BDP|6354602042201692649</stp>
        <tr r="G9" s="16"/>
      </tp>
    </main>
    <main first="bofaddin.rtdserver">
      <tp t="s">
        <v>#N/A N/A</v>
        <stp/>
        <stp>BDP|884461744641814291</stp>
        <tr r="D8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NAV'!$A$1169:$A$1504</c:f>
              <c:numCache>
                <c:formatCode>[$-409]d\-mmm\-yy;@</c:formatCode>
                <c:ptCount val="336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  <c:pt idx="31">
                  <c:v>45702</c:v>
                </c:pt>
                <c:pt idx="32">
                  <c:v>45705</c:v>
                </c:pt>
                <c:pt idx="33">
                  <c:v>45706</c:v>
                </c:pt>
                <c:pt idx="34">
                  <c:v>45707</c:v>
                </c:pt>
                <c:pt idx="35">
                  <c:v>45708</c:v>
                </c:pt>
              </c:numCache>
            </c:numRef>
          </c:cat>
          <c:val>
            <c:numRef>
              <c:f>'Historical NAV'!$N$1169:$N$1503</c:f>
              <c:numCache>
                <c:formatCode>0.00%;[Red]\(0.00%\)</c:formatCode>
                <c:ptCount val="335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  <c:pt idx="31">
                  <c:v>6.8651093749808378E-2</c:v>
                </c:pt>
                <c:pt idx="32">
                  <c:v>6.8681654278559989E-2</c:v>
                </c:pt>
                <c:pt idx="33">
                  <c:v>6.8942313399750432E-2</c:v>
                </c:pt>
                <c:pt idx="34">
                  <c:v>6.8928927092955394E-2</c:v>
                </c:pt>
                <c:pt idx="35">
                  <c:v>6.9168522355077755E-2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NAV'!$A$2:$A$1504</c:f>
              <c:numCache>
                <c:formatCode>[$-409]d\-mmm\-yy;@</c:formatCode>
                <c:ptCount val="1503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  <c:pt idx="1198">
                  <c:v>45702</c:v>
                </c:pt>
                <c:pt idx="1199">
                  <c:v>45705</c:v>
                </c:pt>
                <c:pt idx="1200">
                  <c:v>45706</c:v>
                </c:pt>
                <c:pt idx="1201">
                  <c:v>45707</c:v>
                </c:pt>
                <c:pt idx="1202">
                  <c:v>45708</c:v>
                </c:pt>
              </c:numCache>
            </c:numRef>
          </c:cat>
          <c:val>
            <c:numRef>
              <c:f>'Historical NAV'!$M$2:$M$1503</c:f>
              <c:numCache>
                <c:formatCode>0.00%;[Red]\(0.00%\)</c:formatCode>
                <c:ptCount val="1502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  <c:pt idx="1198">
                  <c:v>0.7046450825020365</c:v>
                </c:pt>
                <c:pt idx="1199">
                  <c:v>0.70469383073741443</c:v>
                </c:pt>
                <c:pt idx="1200">
                  <c:v>0.70510961779059333</c:v>
                </c:pt>
                <c:pt idx="1201">
                  <c:v>0.70508826479504183</c:v>
                </c:pt>
                <c:pt idx="1202">
                  <c:v>0.70547045210365611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227.37</c:v>
                </c:pt>
                <c:pt idx="1">
                  <c:v>6715.93</c:v>
                </c:pt>
                <c:pt idx="2">
                  <c:v>0</c:v>
                </c:pt>
                <c:pt idx="3">
                  <c:v>286856.76</c:v>
                </c:pt>
                <c:pt idx="4">
                  <c:v>0</c:v>
                </c:pt>
                <c:pt idx="5">
                  <c:v>0</c:v>
                </c:pt>
                <c:pt idx="6">
                  <c:v>20303.14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1616907.16</c:v>
                </c:pt>
                <c:pt idx="1">
                  <c:v>234554.5900000004</c:v>
                </c:pt>
                <c:pt idx="2">
                  <c:v>174582.74999999991</c:v>
                </c:pt>
                <c:pt idx="3">
                  <c:v>436101.38999999996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914430.45000000019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6" sqref="F6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45708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4.8412669606370839E-4</v>
      </c>
      <c r="D4" s="91"/>
      <c r="E4" s="92"/>
    </row>
    <row r="5" spans="1:23">
      <c r="A5" t="s">
        <v>66</v>
      </c>
      <c r="B5" s="8">
        <f ca="1">OFFSET('Historical NAV'!K1,COUNT('Historical NAV'!A:A),,,)</f>
        <v>5.2086987394894813E-3</v>
      </c>
      <c r="E5" s="146"/>
    </row>
    <row r="6" spans="1:23">
      <c r="A6" t="s">
        <v>283</v>
      </c>
      <c r="B6" s="8">
        <f ca="1">OFFSET('Historical NAV'!N1,COUNT('Historical NAV'!A:A),,,)</f>
        <v>6.9168522355077755E-2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2.2414517565180525E-4</v>
      </c>
      <c r="D9" t="s">
        <v>188</v>
      </c>
      <c r="E9" s="146">
        <f ca="1">OFFSET('Historical NAV'!B1,COUNT('Historical NAV'!A:A),,,)</f>
        <v>66647365.624395996</v>
      </c>
    </row>
    <row r="10" spans="1:23">
      <c r="A10" t="s">
        <v>181</v>
      </c>
      <c r="B10" s="2">
        <f ca="1">E13/E9</f>
        <v>0.94284211103159377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3.5243822708413523E-2</v>
      </c>
      <c r="D11" t="s">
        <v>160</v>
      </c>
      <c r="E11" s="8">
        <f ca="1">E10/E9</f>
        <v>0.62375346993134428</v>
      </c>
    </row>
    <row r="12" spans="1:23">
      <c r="A12" t="s">
        <v>147</v>
      </c>
      <c r="B12" s="8">
        <f ca="1">OFFSET('Historical NAV'!T1,COUNT('Historical NAV'!A:A),,,)</f>
        <v>-9.4380865112902626E-2</v>
      </c>
    </row>
    <row r="13" spans="1:23">
      <c r="A13" t="s">
        <v>148</v>
      </c>
      <c r="B13" s="8">
        <f ca="1">OFFSET('Historical NAV'!V1,COUNT('Historical NAV'!A:A),,,)</f>
        <v>0.99292811485293064</v>
      </c>
      <c r="D13" s="99" t="s">
        <v>180</v>
      </c>
      <c r="E13" s="152">
        <f>K25</f>
        <v>62837942.899999999</v>
      </c>
    </row>
    <row r="14" spans="1:23">
      <c r="A14" t="s">
        <v>125</v>
      </c>
      <c r="B14" s="51">
        <f ca="1">OFFSET('Historical NAV'!W1,COUNT('Historical NAV'!A:A),,,)</f>
        <v>1.3771477197013338</v>
      </c>
      <c r="D14" s="303">
        <v>5.0000000000000001E-3</v>
      </c>
      <c r="E14" s="123">
        <f>(D14*$E$13)/(1-D14)</f>
        <v>315768.55728643219</v>
      </c>
    </row>
    <row r="15" spans="1:23">
      <c r="A15" t="s">
        <v>144</v>
      </c>
      <c r="B15" s="51">
        <f ca="1">OFFSET('Historical NAV'!AB1,COUNT('Historical NAV'!A:A),,,)</f>
        <v>3.7940652893708915</v>
      </c>
      <c r="D15" s="303">
        <v>0.01</v>
      </c>
      <c r="E15" s="123">
        <f>(D15*$E$13)/(1-D15)</f>
        <v>634726.69595959596</v>
      </c>
      <c r="F15" s="133"/>
    </row>
    <row r="16" spans="1:23">
      <c r="A16" t="s">
        <v>145</v>
      </c>
      <c r="B16" s="51">
        <f ca="1">OFFSET('Historical NAV'!P1,COUNT('Historical NAV'!A:A),,,)</f>
        <v>0.39604339051376625</v>
      </c>
      <c r="D16" s="303">
        <v>1.4999999999999999E-2</v>
      </c>
      <c r="E16" s="123">
        <f>(D16*$E$13)/(1-D16)</f>
        <v>956922.98832487303</v>
      </c>
      <c r="F16" s="169"/>
    </row>
    <row r="17" spans="1:23">
      <c r="A17" t="s">
        <v>185</v>
      </c>
      <c r="B17" s="51">
        <f ca="1">OFFSET('Historical NAV'!AC1,COUNT('Historical NAV'!A:A),,,)</f>
        <v>-3.645004980154997E-2</v>
      </c>
      <c r="D17" s="303">
        <v>0.05</v>
      </c>
      <c r="E17" s="123">
        <f>(D17*$E$13)/(1-D17)</f>
        <v>3307260.152631579</v>
      </c>
    </row>
    <row r="18" spans="1:23">
      <c r="A18" t="s">
        <v>186</v>
      </c>
      <c r="B18" s="51">
        <f ca="1">OFFSET('Historical NAV'!AD1,COUNT('Historical NAV'!A:A),,,)</f>
        <v>-3.7660232027821247E-2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-4.8156322220758323E-2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3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62837500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442.9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62837942.899999999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0.99999295171070923</v>
      </c>
      <c r="F26" s="103">
        <f t="shared" si="0"/>
        <v>0</v>
      </c>
      <c r="G26" s="103">
        <f t="shared" si="0"/>
        <v>0</v>
      </c>
      <c r="H26" s="103">
        <f t="shared" si="0"/>
        <v>7.0482892908322749E-6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0.94283546560763976</v>
      </c>
      <c r="F27" s="165">
        <f t="shared" ca="1" si="1"/>
        <v>0</v>
      </c>
      <c r="G27" s="165">
        <f t="shared" ca="1" si="1"/>
        <v>0</v>
      </c>
      <c r="H27" s="165">
        <f t="shared" ca="1" si="1"/>
        <v>6.6454239541296776E-6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0.94284211103159377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789.6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12500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636.1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13925.7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-4317812.8889730088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227.37</v>
      </c>
      <c r="C34" s="154">
        <f>SUMIFS('Daily P&amp;L breakdown'!D:D, 'Daily P&amp;L breakdown'!$A:$A, "&gt;=" &amp; EOMONTH($A34, -1) + 1, 'Daily P&amp;L breakdown'!$A:$A, "&lt;=" &amp; EOMONTH($A34, 0))</f>
        <v>6715.93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286856.76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20303.14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314103.2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1616907.16</v>
      </c>
      <c r="C45" s="164">
        <f>SUM(C33:C44)</f>
        <v>234554.5900000004</v>
      </c>
      <c r="D45" s="164">
        <f>SUM(D33:D44)</f>
        <v>174582.74999999991</v>
      </c>
      <c r="E45" s="164">
        <f t="shared" si="3"/>
        <v>436101.38999999996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914430.45000000019</v>
      </c>
      <c r="I45" s="164">
        <f t="shared" si="3"/>
        <v>0</v>
      </c>
      <c r="J45" s="164">
        <f>SUM(J33:J44)</f>
        <v>0</v>
      </c>
      <c r="K45" s="164">
        <f>SUM(K33:K44)</f>
        <v>4954196.6700000009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3.4291893076349287E-6</v>
      </c>
      <c r="C51" s="299">
        <f>C34/'Historical NAV'!$B$1191</f>
        <v>1.0128950761676847E-4</v>
      </c>
      <c r="D51" s="299">
        <f>D34/'Historical NAV'!$B$1191</f>
        <v>0</v>
      </c>
      <c r="E51" s="299">
        <f>E34/'Historical NAV'!$B$1191</f>
        <v>4.3263673053384301E-3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3.0621150811195418E-4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4.7372975103747881E-3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9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J1205" sqref="J1205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2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2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3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204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42">
        <f t="shared" si="656"/>
        <v>1.7857142857142857E-4</v>
      </c>
      <c r="Y1199" s="139">
        <f t="shared" ref="Y1199" si="1289">G1199-X1199</f>
        <v>2.081300537517922E-3</v>
      </c>
      <c r="Z1199" s="139">
        <f t="shared" ref="Z1199" si="1290">IF(Y1199&lt;0,Y1199,0)</f>
        <v>0</v>
      </c>
      <c r="AA1199" s="139">
        <f t="shared" ref="AA1199" si="1291">Z1199^2</f>
        <v>0</v>
      </c>
      <c r="AB1199" s="144">
        <f t="shared" ref="AB1199" si="1292">AVERAGE(Y948:Y1199)/AVERAGE(AA948:AA1199)</f>
        <v>3.956980006308906</v>
      </c>
      <c r="AC1199" s="144">
        <f t="shared" ref="AC1199" si="1293">AVERAGE(G1170:G1199)-_xlfn.NORM.S.INV(0.95)*_xlfn.STDEV.S(G1170:G1199)</f>
        <v>-4.2822698747535963E-2</v>
      </c>
      <c r="AD1199" s="144">
        <f t="shared" ref="AD1199" si="1294">AVERAGE(G1110:G1199)-_xlfn.NORM.S.INV(0.95)*_xlfn.STDEV.S(G1110:G1199)</f>
        <v>-3.8852830641806516E-2</v>
      </c>
      <c r="AE1199" s="144">
        <f t="shared" ref="AE1199" si="1295">AVERAGE(G835:G1199)-_xlfn.NORM.S.INV(0.95)*_xlfn.STDEV.S(G835:G1199)</f>
        <v>-4.8513330708592275E-2</v>
      </c>
    </row>
    <row r="1200" spans="1:31">
      <c r="A1200" s="88">
        <v>45702</v>
      </c>
      <c r="B1200" s="78">
        <v>66615111.351361498</v>
      </c>
      <c r="D1200" s="67">
        <f t="shared" ref="D1200" si="1296">B1200</f>
        <v>66615111.351361498</v>
      </c>
      <c r="E1200" s="67">
        <f t="shared" ref="E1200" si="1297">IF(MONTH(A1200)=MONTH(A1199),E1199,D1199)</f>
        <v>66302018.384809397</v>
      </c>
      <c r="F1200" s="67">
        <f t="shared" ref="F1200" si="1298">B1200-C1200-D1199</f>
        <v>29578.204681098461</v>
      </c>
      <c r="G1200" s="70">
        <f t="shared" ref="G1200" si="1299">F1200/B1199</f>
        <v>4.4421367950814512E-4</v>
      </c>
      <c r="H1200" s="67">
        <f t="shared" ref="H1200" si="1300">IF(WEEKNUM(A1200)=WEEKNUM(A1199),H1199+F1200,F1200)</f>
        <v>200086.442597799</v>
      </c>
      <c r="I1200" s="70">
        <f t="shared" ref="I1200" si="1301">IF(WEEKNUM(A1200)=WEEKNUM(A1199),I1199+G1200,G1200)</f>
        <v>3.0108225232103156E-3</v>
      </c>
      <c r="J1200" s="67">
        <f t="shared" ref="J1200" si="1302">IF(MONTH(A1200)=MONTH(A1199),J1199+F1200,F1200)</f>
        <v>313092.96655210108</v>
      </c>
      <c r="K1200" s="70">
        <f t="shared" ref="K1200" si="1303">(1+K1199)*(1+G1200)-1</f>
        <v>4.7222237599906514E-3</v>
      </c>
      <c r="L1200" s="70">
        <f t="shared" ref="L1200" si="1304">1+G1200</f>
        <v>1.0004442136795082</v>
      </c>
      <c r="M1200" s="70">
        <f>PRODUCT($L$2:L1200)-1</f>
        <v>0.7046450825020365</v>
      </c>
      <c r="N1200" s="70">
        <f>PRODUCT($L$1169:L1200)-1</f>
        <v>6.8651093749808378E-2</v>
      </c>
      <c r="O1200" s="70">
        <f>AVERAGE($G$1169:G1200)*252</f>
        <v>0.6097740359359185</v>
      </c>
      <c r="P1200" s="70">
        <f>STDEV($G$1169:G1200)*252^0.5</f>
        <v>0.42063758089541825</v>
      </c>
      <c r="Q1200" s="67">
        <f t="shared" ref="Q1200" si="1305">B1200-C1200-D1169</f>
        <v>3359644.7912534997</v>
      </c>
      <c r="R1200" s="70">
        <f t="shared" ref="R1200" si="1306">Q1200/B1169</f>
        <v>5.3112323312974448E-2</v>
      </c>
      <c r="S1200" s="67">
        <f t="shared" ref="S1200" si="1307">B1200-C1200-D1111</f>
        <v>-4953049.2464020997</v>
      </c>
      <c r="T1200" s="70">
        <f t="shared" ref="T1200" si="1308">S1200/B1109</f>
        <v>-7.1469331409724751E-2</v>
      </c>
      <c r="U1200" s="67">
        <f t="shared" ref="U1200" si="1309">B1200-C1200-D836</f>
        <v>31596841.431361496</v>
      </c>
      <c r="V1200" s="70">
        <f t="shared" ref="V1200" si="1310">U1200/B834</f>
        <v>0.87495832072080826</v>
      </c>
      <c r="W1200" s="87">
        <f t="shared" ref="W1200" si="1311">O1200/P1200</f>
        <v>1.449642313551448</v>
      </c>
      <c r="X1200" s="142">
        <f t="shared" si="656"/>
        <v>1.7857142857142857E-4</v>
      </c>
      <c r="Y1200" s="139">
        <f t="shared" ref="Y1200" si="1312">G1200-X1200</f>
        <v>2.6564225093671657E-4</v>
      </c>
      <c r="Z1200" s="139">
        <f t="shared" ref="Z1200" si="1313">IF(Y1200&lt;0,Y1200,0)</f>
        <v>0</v>
      </c>
      <c r="AA1200" s="139">
        <f t="shared" ref="AA1200" si="1314">Z1200^2</f>
        <v>0</v>
      </c>
      <c r="AB1200" s="144">
        <f t="shared" ref="AB1200" si="1315">AVERAGE(Y949:Y1200)/AVERAGE(AA949:AA1200)</f>
        <v>4.0441954761483982</v>
      </c>
      <c r="AC1200" s="144">
        <f t="shared" ref="AC1200" si="1316">AVERAGE(G1171:G1200)-_xlfn.NORM.S.INV(0.95)*_xlfn.STDEV.S(G1171:G1200)</f>
        <v>-4.2016472197039044E-2</v>
      </c>
      <c r="AD1200" s="144">
        <f t="shared" ref="AD1200" si="1317">AVERAGE(G1111:G1200)-_xlfn.NORM.S.INV(0.95)*_xlfn.STDEV.S(G1111:G1200)</f>
        <v>-3.8925592889824223E-2</v>
      </c>
      <c r="AE1200" s="144">
        <f t="shared" ref="AE1200" si="1318">AVERAGE(G836:G1200)-_xlfn.NORM.S.INV(0.95)*_xlfn.STDEV.S(G836:G1200)</f>
        <v>-4.8495437885645996E-2</v>
      </c>
    </row>
    <row r="1201" spans="1:31">
      <c r="A1201" s="88">
        <v>45705</v>
      </c>
      <c r="B1201" s="78">
        <v>66617016.363238297</v>
      </c>
      <c r="D1201" s="67">
        <f t="shared" ref="D1201" si="1319">B1201</f>
        <v>66617016.363238297</v>
      </c>
      <c r="E1201" s="67">
        <f t="shared" ref="E1201" si="1320">IF(MONTH(A1201)=MONTH(A1200),E1200,D1200)</f>
        <v>66302018.384809397</v>
      </c>
      <c r="F1201" s="67">
        <f t="shared" ref="F1201" si="1321">B1201-C1201-D1200</f>
        <v>1905.0118767991662</v>
      </c>
      <c r="G1201" s="70">
        <f t="shared" ref="G1201" si="1322">F1201/B1200</f>
        <v>2.859729328907338E-5</v>
      </c>
      <c r="H1201" s="67">
        <f t="shared" ref="H1201" si="1323">IF(WEEKNUM(A1201)=WEEKNUM(A1200),H1200+F1201,F1201)</f>
        <v>1905.0118767991662</v>
      </c>
      <c r="I1201" s="70">
        <f t="shared" ref="I1201" si="1324">IF(WEEKNUM(A1201)=WEEKNUM(A1200),I1200+G1201,G1201)</f>
        <v>2.859729328907338E-5</v>
      </c>
      <c r="J1201" s="67">
        <f t="shared" ref="J1201" si="1325">IF(MONTH(A1201)=MONTH(A1200),J1200+F1201,F1201)</f>
        <v>314997.97842890024</v>
      </c>
      <c r="K1201" s="70">
        <f t="shared" ref="K1201" si="1326">(1+K1200)*(1+G1201)-1</f>
        <v>4.7509560960974362E-3</v>
      </c>
      <c r="L1201" s="70">
        <f t="shared" ref="L1201" si="1327">1+G1201</f>
        <v>1.000028597293289</v>
      </c>
      <c r="M1201" s="70">
        <f>PRODUCT($L$2:L1201)-1</f>
        <v>0.70469383073741443</v>
      </c>
      <c r="N1201" s="70">
        <f>PRODUCT($L$1169:L1201)-1</f>
        <v>6.8681654278559989E-2</v>
      </c>
      <c r="O1201" s="70">
        <f>AVERAGE($G$1169:G1201)*252</f>
        <v>0.59151441417752237</v>
      </c>
      <c r="P1201" s="70">
        <f>STDEV($G$1169:G1201)*252^0.5</f>
        <v>0.41406567907621206</v>
      </c>
      <c r="Q1201" s="67">
        <f t="shared" ref="Q1201" si="1328">B1201-C1201-D1170</f>
        <v>268853.88485969603</v>
      </c>
      <c r="R1201" s="70">
        <f t="shared" ref="R1201" si="1329">Q1201/B1170</f>
        <v>4.052167758938457E-3</v>
      </c>
      <c r="S1201" s="67">
        <f t="shared" ref="S1201" si="1330">B1201-C1201-D1112</f>
        <v>-6701154.2927035019</v>
      </c>
      <c r="T1201" s="70">
        <f t="shared" ref="T1201" si="1331">S1201/B1110</f>
        <v>-9.58592604527891E-2</v>
      </c>
      <c r="U1201" s="67">
        <f t="shared" ref="U1201" si="1332">B1201-C1201-D837</f>
        <v>32954619.9232383</v>
      </c>
      <c r="V1201" s="70">
        <f t="shared" ref="V1201" si="1333">U1201/B835</f>
        <v>0.91697799316415585</v>
      </c>
      <c r="W1201" s="87">
        <f t="shared" ref="W1201" si="1334">O1201/P1201</f>
        <v>1.4285521453920103</v>
      </c>
      <c r="X1201" s="142">
        <f t="shared" si="656"/>
        <v>1.7857142857142857E-4</v>
      </c>
      <c r="Y1201" s="139">
        <f t="shared" ref="Y1201" si="1335">G1201-X1201</f>
        <v>-1.4997413528235518E-4</v>
      </c>
      <c r="Z1201" s="139">
        <f t="shared" ref="Z1201" si="1336">IF(Y1201&lt;0,Y1201,0)</f>
        <v>-1.4997413528235518E-4</v>
      </c>
      <c r="AA1201" s="139">
        <f t="shared" ref="AA1201" si="1337">Z1201^2</f>
        <v>2.2492241253690174E-8</v>
      </c>
      <c r="AB1201" s="144">
        <f t="shared" ref="AB1201" si="1338">AVERAGE(Y950:Y1201)/AVERAGE(AA950:AA1201)</f>
        <v>4.061152050022609</v>
      </c>
      <c r="AC1201" s="144">
        <f t="shared" ref="AC1201" si="1339">AVERAGE(G1172:G1201)-_xlfn.NORM.S.INV(0.95)*_xlfn.STDEV.S(G1172:G1201)</f>
        <v>-4.195222572171161E-2</v>
      </c>
      <c r="AD1201" s="144">
        <f t="shared" ref="AD1201" si="1340">AVERAGE(G1112:G1201)-_xlfn.NORM.S.INV(0.95)*_xlfn.STDEV.S(G1112:G1201)</f>
        <v>-3.9000249139654511E-2</v>
      </c>
      <c r="AE1201" s="144">
        <f t="shared" ref="AE1201" si="1341">AVERAGE(G837:G1201)-_xlfn.NORM.S.INV(0.95)*_xlfn.STDEV.S(G837:G1201)</f>
        <v>-4.8368431982559815E-2</v>
      </c>
    </row>
    <row r="1202" spans="1:31">
      <c r="A1202" s="88">
        <v>45706</v>
      </c>
      <c r="B1202" s="78">
        <v>66633264.731376797</v>
      </c>
      <c r="D1202" s="67">
        <f t="shared" ref="D1202" si="1342">B1202</f>
        <v>66633264.731376797</v>
      </c>
      <c r="E1202" s="67">
        <f t="shared" ref="E1202" si="1343">IF(MONTH(A1202)=MONTH(A1201),E1201,D1201)</f>
        <v>66302018.384809397</v>
      </c>
      <c r="F1202" s="67">
        <f t="shared" ref="F1202" si="1344">B1202-C1202-D1201</f>
        <v>16248.368138499558</v>
      </c>
      <c r="G1202" s="70">
        <f t="shared" ref="G1202" si="1345">F1202/B1201</f>
        <v>2.4390717305475124E-4</v>
      </c>
      <c r="H1202" s="67">
        <f t="shared" ref="H1202" si="1346">IF(WEEKNUM(A1202)=WEEKNUM(A1201),H1201+F1202,F1202)</f>
        <v>18153.380015298724</v>
      </c>
      <c r="I1202" s="70">
        <f t="shared" ref="I1202" si="1347">IF(WEEKNUM(A1202)=WEEKNUM(A1201),I1201+G1202,G1202)</f>
        <v>2.7250446634382463E-4</v>
      </c>
      <c r="J1202" s="67">
        <f t="shared" ref="J1202" si="1348">IF(MONTH(A1202)=MONTH(A1201),J1201+F1202,F1202)</f>
        <v>331246.3465673998</v>
      </c>
      <c r="K1202" s="70">
        <f t="shared" ref="K1202" si="1349">(1+K1201)*(1+G1202)-1</f>
        <v>4.9960220614229112E-3</v>
      </c>
      <c r="L1202" s="70">
        <f t="shared" ref="L1202" si="1350">1+G1202</f>
        <v>1.0002439071730547</v>
      </c>
      <c r="M1202" s="70">
        <f>PRODUCT($L$2:L1202)-1</f>
        <v>0.70510961779059333</v>
      </c>
      <c r="N1202" s="70">
        <f>PRODUCT($L$1169:L1202)-1</f>
        <v>6.8942313399750432E-2</v>
      </c>
      <c r="O1202" s="70">
        <f>AVERAGE($G$1169:G1202)*252</f>
        <v>0.57592471398435408</v>
      </c>
      <c r="P1202" s="70">
        <f>STDEV($G$1169:G1202)*252^0.5</f>
        <v>0.40778390266331255</v>
      </c>
      <c r="Q1202" s="67">
        <f t="shared" ref="Q1202" si="1351">B1202-C1202-D1171</f>
        <v>-1812714.4723073095</v>
      </c>
      <c r="R1202" s="70">
        <f t="shared" ref="R1202" si="1352">Q1202/B1171</f>
        <v>-2.6483870833565928E-2</v>
      </c>
      <c r="S1202" s="67">
        <f t="shared" ref="S1202" si="1353">B1202-C1202-D1113</f>
        <v>-3153550.7669457048</v>
      </c>
      <c r="T1202" s="70">
        <f t="shared" ref="T1202" si="1354">S1202/B1111</f>
        <v>-4.4063599519759751E-2</v>
      </c>
      <c r="U1202" s="67">
        <f t="shared" ref="U1202" si="1355">B1202-C1202-D838</f>
        <v>32812252.281376794</v>
      </c>
      <c r="V1202" s="70">
        <f t="shared" ref="V1202" si="1356">U1202/B836</f>
        <v>0.93700380847874831</v>
      </c>
      <c r="W1202" s="87">
        <f t="shared" ref="W1202" si="1357">O1202/P1202</f>
        <v>1.4123282214498478</v>
      </c>
      <c r="X1202" s="142">
        <f t="shared" si="656"/>
        <v>1.7857142857142857E-4</v>
      </c>
      <c r="Y1202" s="139">
        <f t="shared" ref="Y1202" si="1358">G1202-X1202</f>
        <v>6.533574448332267E-5</v>
      </c>
      <c r="Z1202" s="139">
        <f t="shared" ref="Z1202" si="1359">IF(Y1202&lt;0,Y1202,0)</f>
        <v>0</v>
      </c>
      <c r="AA1202" s="139">
        <f t="shared" ref="AA1202" si="1360">Z1202^2</f>
        <v>0</v>
      </c>
      <c r="AB1202" s="144">
        <f t="shared" ref="AB1202" si="1361">AVERAGE(Y951:Y1202)/AVERAGE(AA951:AA1202)</f>
        <v>4.1189458301085686</v>
      </c>
      <c r="AC1202" s="144">
        <f t="shared" ref="AC1202" si="1362">AVERAGE(G1173:G1202)-_xlfn.NORM.S.INV(0.95)*_xlfn.STDEV.S(G1173:G1202)</f>
        <v>-3.675737361916321E-2</v>
      </c>
      <c r="AD1202" s="144">
        <f t="shared" ref="AD1202" si="1363">AVERAGE(G1113:G1202)-_xlfn.NORM.S.INV(0.95)*_xlfn.STDEV.S(G1113:G1202)</f>
        <v>-3.9062323485727961E-2</v>
      </c>
      <c r="AE1202" s="144">
        <f t="shared" ref="AE1202" si="1364">AVERAGE(G838:G1202)-_xlfn.NORM.S.INV(0.95)*_xlfn.STDEV.S(G838:G1202)</f>
        <v>-4.8137830333182113E-2</v>
      </c>
    </row>
    <row r="1203" spans="1:31">
      <c r="A1203" s="88">
        <v>45707</v>
      </c>
      <c r="B1203" s="78">
        <v>66632430.286605299</v>
      </c>
      <c r="D1203" s="67">
        <f t="shared" ref="D1203" si="1365">B1203</f>
        <v>66632430.286605299</v>
      </c>
      <c r="E1203" s="67">
        <f t="shared" ref="E1203" si="1366">IF(MONTH(A1203)=MONTH(A1202),E1202,D1202)</f>
        <v>66302018.384809397</v>
      </c>
      <c r="F1203" s="67">
        <f t="shared" ref="F1203" si="1367">B1203-C1203-D1202</f>
        <v>-834.4447714984417</v>
      </c>
      <c r="G1203" s="70">
        <f t="shared" ref="G1203" si="1368">F1203/B1202</f>
        <v>-1.2522945931921474E-5</v>
      </c>
      <c r="H1203" s="67">
        <f t="shared" ref="H1203" si="1369">IF(WEEKNUM(A1203)=WEEKNUM(A1202),H1202+F1203,F1203)</f>
        <v>17318.935243800282</v>
      </c>
      <c r="I1203" s="70">
        <f t="shared" ref="I1203" si="1370">IF(WEEKNUM(A1203)=WEEKNUM(A1202),I1202+G1203,G1203)</f>
        <v>2.5998152041190314E-4</v>
      </c>
      <c r="J1203" s="67">
        <f t="shared" ref="J1203" si="1371">IF(MONTH(A1203)=MONTH(A1202),J1202+F1203,F1203)</f>
        <v>330411.90179590136</v>
      </c>
      <c r="K1203" s="70">
        <f t="shared" ref="K1203" si="1372">(1+K1202)*(1+G1203)-1</f>
        <v>4.9834365505767586E-3</v>
      </c>
      <c r="L1203" s="70">
        <f t="shared" ref="L1203" si="1373">1+G1203</f>
        <v>0.9999874770540681</v>
      </c>
      <c r="M1203" s="70">
        <f>PRODUCT($L$2:L1203)-1</f>
        <v>0.70508826479504183</v>
      </c>
      <c r="N1203" s="70">
        <f>PRODUCT($L$1169:L1203)-1</f>
        <v>6.8928927092955394E-2</v>
      </c>
      <c r="O1203" s="70">
        <f>AVERAGE($G$1169:G1203)*252</f>
        <v>0.55937955694551977</v>
      </c>
      <c r="P1203" s="70">
        <f>STDEV($G$1169:G1203)*252^0.5</f>
        <v>0.40178964146292756</v>
      </c>
      <c r="Q1203" s="67">
        <f t="shared" ref="Q1203" si="1374">B1203-C1203-D1172</f>
        <v>1847660.0916917995</v>
      </c>
      <c r="R1203" s="70">
        <f t="shared" ref="R1203" si="1375">Q1203/B1172</f>
        <v>2.8519976008757476E-2</v>
      </c>
      <c r="S1203" s="67">
        <f t="shared" ref="S1203" si="1376">B1203-C1203-D1114</f>
        <v>-4773001.373568505</v>
      </c>
      <c r="T1203" s="70">
        <f t="shared" ref="T1203" si="1377">S1203/B1112</f>
        <v>-6.5099842656558354E-2</v>
      </c>
      <c r="U1203" s="67">
        <f t="shared" ref="U1203" si="1378">B1203-C1203-D839</f>
        <v>32741026.946605295</v>
      </c>
      <c r="V1203" s="70">
        <f t="shared" ref="V1203" si="1379">U1203/B837</f>
        <v>0.97262911762574733</v>
      </c>
      <c r="W1203" s="87">
        <f t="shared" ref="W1203" si="1380">O1203/P1203</f>
        <v>1.392219955967015</v>
      </c>
      <c r="X1203" s="142">
        <f t="shared" si="656"/>
        <v>1.7857142857142857E-4</v>
      </c>
      <c r="Y1203" s="139">
        <f t="shared" ref="Y1203" si="1381">G1203-X1203</f>
        <v>-1.9109437450335004E-4</v>
      </c>
      <c r="Z1203" s="139">
        <f t="shared" ref="Z1203" si="1382">IF(Y1203&lt;0,Y1203,0)</f>
        <v>-1.9109437450335004E-4</v>
      </c>
      <c r="AA1203" s="139">
        <f t="shared" ref="AA1203" si="1383">Z1203^2</f>
        <v>3.6517059966826598E-8</v>
      </c>
      <c r="AB1203" s="144">
        <f t="shared" ref="AB1203" si="1384">AVERAGE(Y952:Y1203)/AVERAGE(AA952:AA1203)</f>
        <v>4.0738566309298854</v>
      </c>
      <c r="AC1203" s="144">
        <f t="shared" ref="AC1203" si="1385">AVERAGE(G1174:G1203)-_xlfn.NORM.S.INV(0.95)*_xlfn.STDEV.S(G1174:G1203)</f>
        <v>-3.6480270823592759E-2</v>
      </c>
      <c r="AD1203" s="144">
        <f t="shared" ref="AD1203" si="1386">AVERAGE(G1114:G1203)-_xlfn.NORM.S.INV(0.95)*_xlfn.STDEV.S(G1114:G1203)</f>
        <v>-3.7590698539100159E-2</v>
      </c>
      <c r="AE1203" s="144">
        <f t="shared" ref="AE1203" si="1387">AVERAGE(G839:G1203)-_xlfn.NORM.S.INV(0.95)*_xlfn.STDEV.S(G839:G1203)</f>
        <v>-4.815087189912233E-2</v>
      </c>
    </row>
    <row r="1204" spans="1:31">
      <c r="A1204" s="88">
        <v>45708</v>
      </c>
      <c r="B1204" s="78">
        <v>66647365.624395996</v>
      </c>
      <c r="D1204" s="67">
        <f t="shared" ref="D1204" si="1388">B1204</f>
        <v>66647365.624395996</v>
      </c>
      <c r="E1204" s="67">
        <f t="shared" ref="E1204" si="1389">IF(MONTH(A1204)=MONTH(A1203),E1203,D1203)</f>
        <v>66302018.384809397</v>
      </c>
      <c r="F1204" s="67">
        <f t="shared" ref="F1204" si="1390">B1204-C1204-D1203</f>
        <v>14935.337790697813</v>
      </c>
      <c r="G1204" s="70">
        <f t="shared" ref="G1204" si="1391">F1204/B1203</f>
        <v>2.2414517565180525E-4</v>
      </c>
      <c r="H1204" s="67">
        <f t="shared" ref="H1204" si="1392">IF(WEEKNUM(A1204)=WEEKNUM(A1203),H1203+F1204,F1204)</f>
        <v>32254.273034498096</v>
      </c>
      <c r="I1204" s="70">
        <f t="shared" ref="I1204" si="1393">IF(WEEKNUM(A1204)=WEEKNUM(A1203),I1203+G1204,G1204)</f>
        <v>4.8412669606370839E-4</v>
      </c>
      <c r="J1204" s="67">
        <f t="shared" ref="J1204" si="1394">IF(MONTH(A1204)=MONTH(A1203),J1203+F1204,F1204)</f>
        <v>345347.23958659917</v>
      </c>
      <c r="K1204" s="70">
        <f t="shared" ref="K1204" si="1395">(1+K1203)*(1+G1204)-1</f>
        <v>5.2086987394894813E-3</v>
      </c>
      <c r="L1204" s="70">
        <f t="shared" ref="L1204" si="1396">1+G1204</f>
        <v>1.0002241451756517</v>
      </c>
      <c r="M1204" s="70">
        <f>PRODUCT($L$2:L1204)-1</f>
        <v>0.70547045210365611</v>
      </c>
      <c r="N1204" s="70">
        <f>PRODUCT($L$1169:L1204)-1</f>
        <v>6.9168522355077755E-2</v>
      </c>
      <c r="O1204" s="70">
        <f>AVERAGE($G$1169:G1204)*252</f>
        <v>0.545410252148818</v>
      </c>
      <c r="P1204" s="70">
        <f>STDEV($G$1169:G1204)*252^0.5</f>
        <v>0.39604339051376625</v>
      </c>
      <c r="Q1204" s="67">
        <f t="shared" ref="Q1204" si="1397">B1204-C1204-D1173</f>
        <v>2268941.7570285946</v>
      </c>
      <c r="R1204" s="70">
        <f t="shared" ref="R1204" si="1398">Q1204/B1173</f>
        <v>3.5243822708413523E-2</v>
      </c>
      <c r="S1204" s="67">
        <f t="shared" ref="S1204" si="1399">B1204-C1204-D1115</f>
        <v>-6586540.0202061981</v>
      </c>
      <c r="T1204" s="70">
        <f t="shared" ref="T1204" si="1400">S1204/B1113</f>
        <v>-9.4380865112902626E-2</v>
      </c>
      <c r="U1204" s="67">
        <f t="shared" ref="U1204" si="1401">B1204-C1204-D840</f>
        <v>33581834.134396002</v>
      </c>
      <c r="V1204" s="70">
        <f t="shared" ref="V1204" si="1402">U1204/B838</f>
        <v>0.99292811485293064</v>
      </c>
      <c r="W1204" s="87">
        <f t="shared" ref="W1204" si="1403">O1204/P1204</f>
        <v>1.3771477197013338</v>
      </c>
      <c r="X1204" s="142">
        <f t="shared" si="656"/>
        <v>1.7857142857142857E-4</v>
      </c>
      <c r="Y1204" s="139">
        <f t="shared" ref="Y1204" si="1404">G1204-X1204</f>
        <v>4.557374708037668E-5</v>
      </c>
      <c r="Z1204" s="139">
        <f t="shared" ref="Z1204" si="1405">IF(Y1204&lt;0,Y1204,0)</f>
        <v>0</v>
      </c>
      <c r="AA1204" s="139">
        <f t="shared" ref="AA1204" si="1406">Z1204^2</f>
        <v>0</v>
      </c>
      <c r="AB1204" s="144">
        <f t="shared" ref="AB1204" si="1407">AVERAGE(Y953:Y1204)/AVERAGE(AA953:AA1204)</f>
        <v>3.7940652893708915</v>
      </c>
      <c r="AC1204" s="144">
        <f t="shared" ref="AC1204" si="1408">AVERAGE(G1175:G1204)-_xlfn.NORM.S.INV(0.95)*_xlfn.STDEV.S(G1175:G1204)</f>
        <v>-3.645004980154997E-2</v>
      </c>
      <c r="AD1204" s="144">
        <f t="shared" ref="AD1204" si="1409">AVERAGE(G1115:G1204)-_xlfn.NORM.S.INV(0.95)*_xlfn.STDEV.S(G1115:G1204)</f>
        <v>-3.7660232027821247E-2</v>
      </c>
      <c r="AE1204" s="144">
        <f t="shared" ref="AE1204" si="1410">AVERAGE(G840:G1204)-_xlfn.NORM.S.INV(0.95)*_xlfn.STDEV.S(G840:G1204)</f>
        <v>-4.8156322220758323E-2</v>
      </c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B1221" s="7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A1222" s="88"/>
      <c r="B1222" s="7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A1223" s="88"/>
      <c r="B1223" s="78"/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A1224" s="88"/>
      <c r="B1224" s="78"/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A1225" s="88"/>
      <c r="B1225" s="78"/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A1226" s="88"/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A1227" s="88"/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4:31">
      <c r="D1245" s="67"/>
      <c r="E1245" s="67"/>
      <c r="F1245" s="67"/>
      <c r="G1245" s="70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4:31">
      <c r="D1246" s="67"/>
      <c r="E1246" s="67"/>
      <c r="F1246" s="67"/>
      <c r="G1246" s="70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4:31">
      <c r="D1247" s="67"/>
      <c r="E1247" s="67"/>
      <c r="F1247" s="67"/>
      <c r="G1247" s="70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4:31">
      <c r="D1248" s="67"/>
      <c r="E1248" s="67"/>
      <c r="F1248" s="67"/>
      <c r="G1248" s="70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  <c r="AD1248" s="144"/>
      <c r="AE1248" s="144"/>
    </row>
    <row r="1249" spans="4:29">
      <c r="D1249" s="67"/>
      <c r="E1249" s="67"/>
      <c r="F1249" s="67"/>
      <c r="G1249" s="70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42"/>
      <c r="Y1249" s="139"/>
      <c r="Z1249" s="139"/>
      <c r="AA1249" s="139"/>
      <c r="AB1249" s="144"/>
      <c r="AC1249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350</v>
      </c>
      <c r="B3" s="153" t="s">
        <v>23</v>
      </c>
      <c r="C3" s="153" t="s">
        <v>38</v>
      </c>
      <c r="D3" s="153">
        <v>0</v>
      </c>
      <c r="E3" s="153">
        <v>349.15</v>
      </c>
      <c r="F3" s="153">
        <v>0</v>
      </c>
      <c r="G3" s="153">
        <v>1</v>
      </c>
      <c r="H3" s="153">
        <v>0</v>
      </c>
      <c r="I3" s="218">
        <v>0</v>
      </c>
      <c r="J3"/>
      <c r="K3"/>
    </row>
    <row r="4" spans="1:11">
      <c r="A4" s="221" t="s">
        <v>344</v>
      </c>
      <c r="B4" s="153" t="s">
        <v>140</v>
      </c>
      <c r="C4" s="153" t="s">
        <v>38</v>
      </c>
      <c r="D4" s="153">
        <v>10</v>
      </c>
      <c r="E4" s="153">
        <v>44.29</v>
      </c>
      <c r="F4" s="153">
        <v>442.9</v>
      </c>
      <c r="G4" s="153">
        <v>1</v>
      </c>
      <c r="H4" s="153">
        <v>442.9</v>
      </c>
      <c r="I4" s="218">
        <v>0</v>
      </c>
      <c r="J4"/>
      <c r="K4"/>
    </row>
    <row r="5" spans="1:11">
      <c r="A5" s="221" t="s">
        <v>345</v>
      </c>
      <c r="B5" s="153" t="s">
        <v>42</v>
      </c>
      <c r="C5" s="153" t="s">
        <v>38</v>
      </c>
      <c r="D5" s="153">
        <v>625000</v>
      </c>
      <c r="E5" s="153">
        <v>100.54</v>
      </c>
      <c r="F5" s="153">
        <v>62837500.000000007</v>
      </c>
      <c r="G5" s="153">
        <v>1</v>
      </c>
      <c r="H5" s="153">
        <v>62837500</v>
      </c>
      <c r="I5" s="218">
        <v>100</v>
      </c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12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  <row r="207" spans="1:12">
      <c r="A207" s="170">
        <f>'Historical NAV'!A1199</f>
        <v>45701</v>
      </c>
      <c r="B207" s="159">
        <v>0</v>
      </c>
      <c r="C207" s="159">
        <v>0</v>
      </c>
      <c r="D207" s="159">
        <v>0</v>
      </c>
      <c r="E207" s="159">
        <v>145241.37</v>
      </c>
      <c r="F207" s="159">
        <v>0</v>
      </c>
      <c r="G207" s="159">
        <v>0</v>
      </c>
      <c r="H207" s="159">
        <v>3058.3</v>
      </c>
      <c r="I207" s="159"/>
      <c r="J207" s="159"/>
      <c r="K207" s="159"/>
      <c r="L207" s="159">
        <f t="shared" ref="L207" si="50">SUM(B207:K207)</f>
        <v>148299.66999999998</v>
      </c>
    </row>
    <row r="208" spans="1:12">
      <c r="A208" s="170">
        <f>'Historical NAV'!A1200</f>
        <v>45702</v>
      </c>
      <c r="B208" s="159">
        <v>0</v>
      </c>
      <c r="C208" s="159">
        <v>0</v>
      </c>
      <c r="D208" s="159">
        <v>0</v>
      </c>
      <c r="E208" s="159">
        <v>25000</v>
      </c>
      <c r="F208" s="159">
        <v>0</v>
      </c>
      <c r="G208" s="159">
        <v>0</v>
      </c>
      <c r="H208" s="159">
        <v>2407.6</v>
      </c>
      <c r="I208" s="159"/>
      <c r="J208" s="159"/>
      <c r="K208" s="159"/>
      <c r="L208" s="159">
        <f t="shared" ref="L208" si="51">SUM(B208:K208)</f>
        <v>27407.599999999999</v>
      </c>
    </row>
    <row r="209" spans="1:12">
      <c r="A209" s="170">
        <f>'Historical NAV'!A1201</f>
        <v>45705</v>
      </c>
      <c r="B209" s="159">
        <v>0</v>
      </c>
      <c r="C209" s="159">
        <v>0</v>
      </c>
      <c r="D209" s="159">
        <v>0</v>
      </c>
      <c r="E209" s="159">
        <v>0</v>
      </c>
      <c r="F209" s="159">
        <v>0</v>
      </c>
      <c r="G209" s="159">
        <v>0</v>
      </c>
      <c r="H209" s="159">
        <v>0</v>
      </c>
      <c r="I209" s="159"/>
      <c r="J209" s="159"/>
      <c r="K209" s="159"/>
      <c r="L209" s="159">
        <f t="shared" ref="L209" si="52">SUM(B209:K209)</f>
        <v>0</v>
      </c>
    </row>
    <row r="210" spans="1:12">
      <c r="A210" s="170">
        <f>'Historical NAV'!A1202</f>
        <v>45706</v>
      </c>
      <c r="B210" s="159">
        <v>227.37</v>
      </c>
      <c r="C210" s="159">
        <v>0</v>
      </c>
      <c r="D210" s="159">
        <v>0</v>
      </c>
      <c r="E210" s="159">
        <v>12500</v>
      </c>
      <c r="F210" s="159">
        <v>0</v>
      </c>
      <c r="G210" s="159">
        <v>0</v>
      </c>
      <c r="H210" s="159">
        <v>465</v>
      </c>
      <c r="I210" s="159"/>
      <c r="J210" s="159"/>
      <c r="K210" s="159"/>
      <c r="L210" s="159">
        <f t="shared" ref="L210" si="53">SUM(B210:K210)</f>
        <v>13192.37</v>
      </c>
    </row>
    <row r="211" spans="1:12">
      <c r="A211" s="170">
        <f>'Historical NAV'!A1203</f>
        <v>45707</v>
      </c>
      <c r="B211" s="159">
        <v>0</v>
      </c>
      <c r="C211" s="159">
        <v>0</v>
      </c>
      <c r="D211" s="159">
        <v>0</v>
      </c>
      <c r="E211" s="159">
        <v>0</v>
      </c>
      <c r="F211" s="159">
        <v>0</v>
      </c>
      <c r="G211" s="159">
        <v>0</v>
      </c>
      <c r="H211" s="159">
        <v>-374.5</v>
      </c>
      <c r="I211" s="159"/>
      <c r="J211" s="159"/>
      <c r="K211" s="159"/>
      <c r="L211" s="159">
        <f t="shared" ref="L211" si="54">SUM(B211:K211)</f>
        <v>-374.5</v>
      </c>
    </row>
    <row r="212" spans="1:12">
      <c r="A212" s="170">
        <f>'Historical NAV'!A1204</f>
        <v>45708</v>
      </c>
      <c r="B212" s="159">
        <v>0</v>
      </c>
      <c r="C212" s="159">
        <v>0</v>
      </c>
      <c r="D212" s="159">
        <v>789.6</v>
      </c>
      <c r="E212" s="159">
        <v>12500</v>
      </c>
      <c r="F212" s="159">
        <v>0</v>
      </c>
      <c r="G212" s="159">
        <v>0</v>
      </c>
      <c r="H212" s="159">
        <v>636.1</v>
      </c>
      <c r="I212" s="159"/>
      <c r="J212" s="159"/>
      <c r="K212" s="159"/>
      <c r="L212" s="159">
        <f t="shared" ref="L212" si="55">SUM(B212:K212)</f>
        <v>13925.7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D17" sqref="D17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si="0">IF(E18=0, "", E18)</f>
        <v>3.0108225232103156E-3</v>
      </c>
      <c r="F4" s="8">
        <f t="shared" ca="1" si="0"/>
        <v>4.8412669606370839E-4</v>
      </c>
      <c r="G4" s="8" t="str">
        <f t="shared" si="0"/>
        <v/>
      </c>
      <c r="H4" s="8" t="str">
        <f t="shared" si="0"/>
        <v/>
      </c>
      <c r="I4" s="8">
        <f t="shared" ca="1" si="0"/>
        <v>2.2414517565180525E-4</v>
      </c>
      <c r="J4" s="8">
        <f t="shared" ca="1" si="0"/>
        <v>5.2086987394894813E-3</v>
      </c>
      <c r="K4" s="8">
        <f ca="1">J4</f>
        <v>5.2086987394894813E-3</v>
      </c>
      <c r="L4" s="8">
        <f t="shared" ca="1" si="0"/>
        <v>6.9168522355077755E-2</v>
      </c>
      <c r="N4" t="s">
        <v>290</v>
      </c>
      <c r="O4" s="280">
        <f>T3</f>
        <v>66302018.380000003</v>
      </c>
      <c r="P4" s="293">
        <f>P16</f>
        <v>2307179.61</v>
      </c>
      <c r="Q4" s="280">
        <f>SUM(O4:P4)</f>
        <v>68609197.99000001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>
        <f t="shared" si="0"/>
        <v>0.01</v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0.01</v>
      </c>
      <c r="K5" s="8">
        <f>J5</f>
        <v>0.01</v>
      </c>
      <c r="L5" s="8">
        <f>L19+J5</f>
        <v>8.299999999999999E-2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0.28157398167072678</v>
      </c>
      <c r="E6" s="8">
        <f t="array" ref="E6">IFERROR(_xll.BDP($B6,"INTERVAL_PERCENT_CHANGE", "END_DATE_OVERRIDE="&amp;TEXT(E$17,"yyyymmdd"), "START_DATE_OVERRIDE="&amp;TEXT(E$16,"yyyymmdd"))/100, "")</f>
        <v>0.28816179003222009</v>
      </c>
      <c r="F6" s="8">
        <f t="array" ref="F6">IFERROR(_xll.BDP($B6,"INTERVAL_PERCENT_CHANGE", "END_DATE_OVERRIDE="&amp;TEXT(F$17,"yyyymmdd"), "START_DATE_OVERRIDE="&amp;TEXT(F$16,"yyyymmdd"))/100, "")</f>
        <v>0.3056752945803472</v>
      </c>
      <c r="G6" s="8">
        <f t="array" ref="G6">IFERROR(_xll.BDP($B6,"INTERVAL_PERCENT_CHANGE", "END_DATE_OVERRIDE="&amp;TEXT(G$17,"yyyymmdd"), "START_DATE_OVERRIDE="&amp;TEXT(G$16,"yyyymmdd"))/100, "")</f>
        <v>0.43160336054904741</v>
      </c>
      <c r="H6" s="8">
        <f t="array" ref="H6">IFERROR(_xll.BDP($B6,"INTERVAL_PERCENT_CHANGE", "END_DATE_OVERRIDE="&amp;TEXT(H$17,"yyyymmdd"), "START_DATE_OVERRIDE="&amp;TEXT(H$16,"yyyymmdd"))/100, "")</f>
        <v>0.3832542277056632</v>
      </c>
      <c r="I6" s="8">
        <f>_xll.BDP(B6,"CHG_PCT_1D")/100</f>
        <v>1.360144E-4</v>
      </c>
      <c r="J6" s="8">
        <f>_xll.BDP($B6,"CURRENT_TRR_MTD")/100</f>
        <v>-1.29131E-2</v>
      </c>
      <c r="K6" s="8">
        <f>_xll.BDP(B6,"CHG_PCT_1M")/100</f>
        <v>-9.3508170000000009E-3</v>
      </c>
      <c r="L6" s="8">
        <f t="array" ref="L6">_xll.BDP($B6,"CHG_PCT_YTD")/100</f>
        <v>1.265469E-2</v>
      </c>
      <c r="N6" t="s">
        <v>300</v>
      </c>
      <c r="O6" s="278">
        <f>SUM(O4:O5)/SUM(O4:P5)</f>
        <v>0.96637215304081703</v>
      </c>
      <c r="P6" s="278">
        <f>SUM(P4:P5)/SUM(O4:P5)</f>
        <v>3.362784695918291E-2</v>
      </c>
      <c r="Q6" s="278">
        <f>SUM(O6:P6)</f>
        <v>0.99999999999999989</v>
      </c>
      <c r="S6" t="s">
        <v>291</v>
      </c>
      <c r="T6" s="286">
        <f>($T$3+T$4)*U6</f>
        <v>25562.790260842055</v>
      </c>
      <c r="U6" s="8">
        <f>VLOOKUP("new_equity", 'Email input'!F:G, 2, FALSE)/100</f>
        <v>3.8555071000000006E-4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0.38788182624008066</v>
      </c>
      <c r="E7" s="8">
        <f t="array" ref="E7">IFERROR(_xll.BDP($B7,"INTERVAL_PERCENT_CHANGE", "END_DATE_OVERRIDE="&amp;TEXT(E$17,"yyyymmdd"), "START_DATE_OVERRIDE="&amp;TEXT(E$16,"yyyymmdd"))/100, "")</f>
        <v>0.4061962042802798</v>
      </c>
      <c r="F7" s="8">
        <f t="array" ref="F7">IFERROR(_xll.BDP($B7,"INTERVAL_PERCENT_CHANGE", "END_DATE_OVERRIDE="&amp;TEXT(F$17,"yyyymmdd"), "START_DATE_OVERRIDE="&amp;TEXT(F$16,"yyyymmdd"))/100, "")</f>
        <v>0.42138603800148461</v>
      </c>
      <c r="G7" s="8">
        <f t="array" ref="G7">IFERROR(_xll.BDP($B7,"INTERVAL_PERCENT_CHANGE", "END_DATE_OVERRIDE="&amp;TEXT(G$17,"yyyymmdd"), "START_DATE_OVERRIDE="&amp;TEXT(G$16,"yyyymmdd"))/100, "")</f>
        <v>0.59640414140344911</v>
      </c>
      <c r="H7" s="8">
        <f t="array" ref="H7">IFERROR(_xll.BDP($B7,"INTERVAL_PERCENT_CHANGE", "END_DATE_OVERRIDE="&amp;TEXT(H$17,"yyyymmdd"), "START_DATE_OVERRIDE="&amp;TEXT(H$16,"yyyymmdd"))/100, "")</f>
        <v>0.50684548737019697</v>
      </c>
      <c r="I7" s="8">
        <f t="array" ref="I7">_xll.BDP(B7,"CHG_PCT_1D")/100</f>
        <v>2.1657640000000001E-3</v>
      </c>
      <c r="J7" s="8">
        <f t="array" ref="J7">_xll.BDP($B7,"CURRENT_TRR_MTD")/100</f>
        <v>-1.5440270000000001E-2</v>
      </c>
      <c r="K7" s="8">
        <f>_xll.BDP(B7,"CHG_PCT_1M")/100</f>
        <v>2.6698299999999999E-4</v>
      </c>
      <c r="L7" s="8">
        <f t="array" ref="L7">_xll.BDP($B7,"CHG_PCT_YTD")/100</f>
        <v>5.7466700000000006E-3</v>
      </c>
      <c r="N7" s="47" t="s">
        <v>95</v>
      </c>
      <c r="O7" s="295">
        <f ca="1">OFFSET('Historical NAV'!F1,COUNT('Historical NAV'!A:A),,,)</f>
        <v>14935.337790697813</v>
      </c>
      <c r="P7" s="296" t="s">
        <v>58</v>
      </c>
      <c r="Q7" s="297">
        <f ca="1">SUM(O7:P7)</f>
        <v>14935.337790697813</v>
      </c>
      <c r="S7" t="s">
        <v>292</v>
      </c>
      <c r="T7" s="286">
        <f>($T$3+T$4)*U7</f>
        <v>109564.51036888783</v>
      </c>
      <c r="U7" s="8">
        <f>VLOOKUP("Fixed Income", 'Email input'!F:G, 2, FALSE)/100</f>
        <v>1.6525064100000001E-3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0.19076124656372836</v>
      </c>
      <c r="E8" s="8">
        <f t="array" ref="E8">IFERROR(_xll.BDP($B8,"INTERVAL_PERCENT_CHANGE", "END_DATE_OVERRIDE="&amp;TEXT(E$17,"yyyymmdd"), "START_DATE_OVERRIDE="&amp;TEXT(E$16,"yyyymmdd"))/100, "")</f>
        <v>0.19476276268588427</v>
      </c>
      <c r="F8" s="8">
        <f t="array" ref="F8">IFERROR(_xll.BDP($B8,"INTERVAL_PERCENT_CHANGE", "END_DATE_OVERRIDE="&amp;TEXT(F$17,"yyyymmdd"), "START_DATE_OVERRIDE="&amp;TEXT(F$16,"yyyymmdd"))/100, "")</f>
        <v>0.20330426201438428</v>
      </c>
      <c r="G8" s="8">
        <f t="array" ref="G8">IFERROR(_xll.BDP($B8,"INTERVAL_PERCENT_CHANGE", "END_DATE_OVERRIDE="&amp;TEXT(G$17,"yyyymmdd"), "START_DATE_OVERRIDE="&amp;TEXT(G$16,"yyyymmdd"))/100, "")</f>
        <v>0.31208216324720822</v>
      </c>
      <c r="H8" s="8">
        <f t="array" ref="H8">IFERROR(_xll.BDP($B8,"INTERVAL_PERCENT_CHANGE", "END_DATE_OVERRIDE="&amp;TEXT(H$17,"yyyymmdd"), "START_DATE_OVERRIDE="&amp;TEXT(H$16,"yyyymmdd"))/100, "")</f>
        <v>0.29417658489191167</v>
      </c>
      <c r="I8" s="8">
        <f t="array" ref="I8">_xll.BDP(B8,"CHG_PCT_1D")/100</f>
        <v>1.7546909999999998E-3</v>
      </c>
      <c r="J8" s="8">
        <f t="array" ref="J8">_xll.BDP($B8,"CURRENT_TRR_MTD")/100</f>
        <v>-2.8782090000000001E-3</v>
      </c>
      <c r="K8" s="8">
        <f>_xll.BDP(B8,"CHG_PCT_1M")/100</f>
        <v>2.0215889999999999E-3</v>
      </c>
      <c r="L8" s="8">
        <f t="array" ref="L8">_xll.BDP($B8,"CHG_PCT_YTD")/100</f>
        <v>3.0529630000000002E-2</v>
      </c>
      <c r="N8" t="s">
        <v>301</v>
      </c>
      <c r="O8" s="69">
        <f ca="1">OFFSET('Historical NAV'!J1,COUNT('Historical NAV'!A:A),,,)</f>
        <v>345347.23958659917</v>
      </c>
      <c r="P8" s="280">
        <f>SUM(P4:P5)*P9</f>
        <v>23071.7961</v>
      </c>
      <c r="Q8" s="280">
        <f ca="1">SUM(O8:P8)</f>
        <v>368419.03568659915</v>
      </c>
      <c r="S8" s="47" t="s">
        <v>293</v>
      </c>
      <c r="T8" s="287">
        <f>($T$3+T$4)*U8</f>
        <v>194892.03083122702</v>
      </c>
      <c r="U8" s="207">
        <f>VLOOKUP("Cash", 'Email input'!F:G, 2, FALSE)/100</f>
        <v>2.9394584899999996E-3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-0.15068935662039112</v>
      </c>
      <c r="E9" s="8">
        <f t="array" ref="E9">IFERROR(_xll.BDP($B9,"INTERVAL_PERCENT_CHANGE", "END_DATE_OVERRIDE="&amp;TEXT(E$17,"yyyymmdd"), "START_DATE_OVERRIDE="&amp;TEXT(E$16,"yyyymmdd"))/100, "")</f>
        <v>-0.14623118063772469</v>
      </c>
      <c r="F9" s="8">
        <f t="array" ref="F9">IFERROR(_xll.BDP($B9,"INTERVAL_PERCENT_CHANGE", "END_DATE_OVERRIDE="&amp;TEXT(F$17,"yyyymmdd"), "START_DATE_OVERRIDE="&amp;TEXT(F$16,"yyyymmdd"))/100, "")</f>
        <v>-0.14696936060331708</v>
      </c>
      <c r="G9" s="8">
        <f t="array" ref="G9">IFERROR(_xll.BDP($B9,"INTERVAL_PERCENT_CHANGE", "END_DATE_OVERRIDE="&amp;TEXT(G$17,"yyyymmdd"), "START_DATE_OVERRIDE="&amp;TEXT(G$16,"yyyymmdd"))/100, "")</f>
        <v>-0.13491480344872059</v>
      </c>
      <c r="H9" s="8">
        <f t="array" ref="H9">IFERROR(_xll.BDP($B9,"INTERVAL_PERCENT_CHANGE", "END_DATE_OVERRIDE="&amp;TEXT(H$17,"yyyymmdd"), "START_DATE_OVERRIDE="&amp;TEXT(H$16,"yyyymmdd"))/100, "")</f>
        <v>-0.13341529908373975</v>
      </c>
      <c r="I9" s="8">
        <f t="array" ref="I9">_xll.BDP(B9,"CHG_PCT_1D")/100</f>
        <v>1.7212730000000002E-3</v>
      </c>
      <c r="J9" s="8">
        <f t="array" ref="J9">_xll.BDP($B9,"CURRENT_TRR_MTD")/100</f>
        <v>1.6653029999999999E-2</v>
      </c>
      <c r="K9" s="8">
        <f>_xll.BDP(B9,"CHG_PCT_1M")/100</f>
        <v>1.4584129999999999E-2</v>
      </c>
      <c r="L9" s="8">
        <f t="array" ref="L9">_xll.BDP($B9,"CHG_PCT_YTD")/100</f>
        <v>2.1370360000000001E-2</v>
      </c>
      <c r="N9" t="s">
        <v>302</v>
      </c>
      <c r="O9" s="8">
        <f ca="1">OFFSET('Historical NAV'!K1,COUNT('Historical NAV'!A:A),,,)</f>
        <v>5.2086987394894813E-3</v>
      </c>
      <c r="P9" s="285">
        <f>J5</f>
        <v>0.01</v>
      </c>
      <c r="S9" t="s">
        <v>294</v>
      </c>
      <c r="T9" s="288">
        <f>SUM(T5:T8)</f>
        <v>330019.33146095689</v>
      </c>
      <c r="V9" s="311">
        <f>T9/(T3+T4)</f>
        <v>4.9775156099999994E-3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-0.10435881112120773</v>
      </c>
      <c r="E10" s="8">
        <f t="array" ref="E10">IFERROR(_xll.BDP($B10,"INTERVAL_PERCENT_CHANGE", "END_DATE_OVERRIDE="&amp;TEXT(E$17,"yyyymmdd"), "START_DATE_OVERRIDE="&amp;TEXT(E$16,"yyyymmdd"))/100, "")</f>
        <v>-9.3448329278404921E-2</v>
      </c>
      <c r="F10" s="8">
        <f t="array" ref="F10">IFERROR(_xll.BDP($B10,"INTERVAL_PERCENT_CHANGE", "END_DATE_OVERRIDE="&amp;TEXT(F$17,"yyyymmdd"), "START_DATE_OVERRIDE="&amp;TEXT(F$16,"yyyymmdd"))/100, "")</f>
        <v>-8.0104590146318863E-2</v>
      </c>
      <c r="G10" s="8">
        <f t="array" ref="G10">IFERROR(_xll.BDP($B10,"INTERVAL_PERCENT_CHANGE", "END_DATE_OVERRIDE="&amp;TEXT(G$17,"yyyymmdd"), "START_DATE_OVERRIDE="&amp;TEXT(G$16,"yyyymmdd"))/100, "")</f>
        <v>-9.5390815565279133E-2</v>
      </c>
      <c r="H10" s="8">
        <f t="array" ref="H10">IFERROR(_xll.BDP($B10,"INTERVAL_PERCENT_CHANGE", "END_DATE_OVERRIDE="&amp;TEXT(H$17,"yyyymmdd"), "START_DATE_OVERRIDE="&amp;TEXT(H$16,"yyyymmdd"))/100, "")</f>
        <v>-0.16477791582480275</v>
      </c>
      <c r="I10" s="8">
        <f>_xll.BDP(B10,"CHG_PCT_1D")/100</f>
        <v>-1.356215E-3</v>
      </c>
      <c r="J10" s="8">
        <f t="array" ref="J10">_xll.BDP($B10,"CURRENT_TRR_MTD")/100</f>
        <v>2.1460130000000001E-2</v>
      </c>
      <c r="K10" s="8">
        <f>_xll.BDP(B10,"CHG_PCT_1M")/100</f>
        <v>2.6221370000000001E-2</v>
      </c>
      <c r="L10" s="8">
        <f t="array" ref="L10">_xll.BDP($B10,"CHG_PCT_YTD")/100</f>
        <v>5.7982370000000005E-2</v>
      </c>
      <c r="N10" s="275" t="s">
        <v>297</v>
      </c>
      <c r="O10" s="281">
        <f ca="1">O4+O5+O8</f>
        <v>66647365.619586602</v>
      </c>
      <c r="P10" s="276">
        <f>P4+P5+P8</f>
        <v>2330251.4060999998</v>
      </c>
      <c r="Q10" s="281">
        <f ca="1">SUM(O10:P10)</f>
        <v>68977617.025686607</v>
      </c>
      <c r="S10" t="s">
        <v>295</v>
      </c>
      <c r="T10" s="286">
        <f>SUM('Email input'!D5:D6)</f>
        <v>163158.58000000002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-170897.33043396473</v>
      </c>
      <c r="U11" s="8"/>
    </row>
    <row r="12" spans="2:22" ht="15.75" collapsed="1" thickTop="1">
      <c r="S12" t="s">
        <v>296</v>
      </c>
      <c r="T12" s="280">
        <f>SUM('Email input'!D7:D9)</f>
        <v>23066.66336900002</v>
      </c>
      <c r="U12" s="8"/>
      <c r="V12" s="41"/>
    </row>
    <row r="13" spans="2:22" ht="15.75" thickBot="1">
      <c r="S13" s="275" t="s">
        <v>297</v>
      </c>
      <c r="T13" s="281">
        <f>T3+T4+T9+T10+T12+T11</f>
        <v>66647365.624395996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44594</v>
      </c>
      <c r="E16" s="291">
        <f>D16+7</f>
        <v>44601</v>
      </c>
      <c r="F16" s="291">
        <f>E16+7</f>
        <v>44608</v>
      </c>
      <c r="G16" s="291">
        <f t="shared" ref="E16:H17" si="1">F16+7</f>
        <v>44615</v>
      </c>
      <c r="H16" s="291">
        <f t="shared" si="1"/>
        <v>44622</v>
      </c>
      <c r="N16" t="s">
        <v>323</v>
      </c>
      <c r="P16" s="310">
        <v>2307179.61</v>
      </c>
      <c r="S16" t="s">
        <v>322</v>
      </c>
      <c r="T16" s="282">
        <f ca="1">OFFSET('Historical NAV'!B1,COUNT('Historical NAV'!A:A),,,)</f>
        <v>66647365.624395996</v>
      </c>
    </row>
    <row r="17" spans="2:21">
      <c r="B17" t="s">
        <v>325</v>
      </c>
      <c r="D17" s="291">
        <v>45657</v>
      </c>
      <c r="E17" s="291">
        <f t="shared" si="1"/>
        <v>45664</v>
      </c>
      <c r="F17" s="291">
        <f t="shared" si="1"/>
        <v>45671</v>
      </c>
      <c r="G17" s="291">
        <f t="shared" si="1"/>
        <v>45678</v>
      </c>
      <c r="H17" s="291">
        <f t="shared" si="1"/>
        <v>45685</v>
      </c>
      <c r="P17" s="314">
        <v>45688</v>
      </c>
      <c r="T17" s="69">
        <f>T13</f>
        <v>66647365.624395996</v>
      </c>
    </row>
    <row r="18" spans="2:21">
      <c r="B18" t="s">
        <v>326</v>
      </c>
      <c r="D18" s="298">
        <v>1.6999999999999999E-3</v>
      </c>
      <c r="E18" s="298">
        <v>3.0108225232103156E-3</v>
      </c>
      <c r="F18" s="298">
        <f ca="1">Dashboard!$B$4</f>
        <v>4.8412669606370839E-4</v>
      </c>
      <c r="G18" s="298"/>
      <c r="H18" s="298"/>
      <c r="I18" s="8">
        <f ca="1">Dashboard!B9</f>
        <v>2.2414517565180525E-4</v>
      </c>
      <c r="J18" s="8">
        <f ca="1">Dashboard!B5</f>
        <v>5.2086987394894813E-3</v>
      </c>
      <c r="K18" s="8"/>
      <c r="L18" s="69">
        <f ca="1">Dashboard!B6</f>
        <v>6.9168522355077755E-2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>
        <v>0.01</v>
      </c>
      <c r="F19" s="298"/>
      <c r="G19" s="298"/>
      <c r="H19" s="298"/>
      <c r="J19">
        <f>SUM(D19:H19)</f>
        <v>0.01</v>
      </c>
      <c r="L19" s="41">
        <v>7.2999999999999995E-2</v>
      </c>
      <c r="M19" s="314">
        <f>P17</f>
        <v>45688</v>
      </c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2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161243.99889779001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349</v>
      </c>
      <c r="D4" s="282">
        <v>1452.82</v>
      </c>
      <c r="F4" t="s">
        <v>292</v>
      </c>
      <c r="G4">
        <v>0.165250641</v>
      </c>
    </row>
    <row r="5" spans="1:7">
      <c r="A5" t="s">
        <v>337</v>
      </c>
      <c r="B5" s="282" t="s">
        <v>320</v>
      </c>
      <c r="C5" t="s">
        <v>346</v>
      </c>
      <c r="D5" s="282">
        <v>164167.45000000001</v>
      </c>
      <c r="F5" t="s">
        <v>293</v>
      </c>
      <c r="G5">
        <v>0.29394584899999998</v>
      </c>
    </row>
    <row r="6" spans="1:7">
      <c r="A6" t="s">
        <v>337</v>
      </c>
      <c r="B6" s="282" t="s">
        <v>320</v>
      </c>
      <c r="C6" t="s">
        <v>348</v>
      </c>
      <c r="D6" s="282">
        <v>-1008.87</v>
      </c>
    </row>
    <row r="7" spans="1:7">
      <c r="A7" t="s">
        <v>337</v>
      </c>
      <c r="B7" s="282" t="s">
        <v>320</v>
      </c>
      <c r="C7" t="s">
        <v>347</v>
      </c>
      <c r="D7" s="282">
        <v>-472182.14569440001</v>
      </c>
    </row>
    <row r="8" spans="1:7">
      <c r="A8" t="s">
        <v>337</v>
      </c>
      <c r="B8" s="282" t="s">
        <v>320</v>
      </c>
      <c r="C8" t="s">
        <v>317</v>
      </c>
      <c r="D8" s="282">
        <v>495445.24906340003</v>
      </c>
    </row>
    <row r="9" spans="1:7">
      <c r="A9" t="s">
        <v>337</v>
      </c>
      <c r="B9" s="282" t="s">
        <v>320</v>
      </c>
      <c r="C9" t="s">
        <v>43</v>
      </c>
      <c r="D9" s="282">
        <v>-196.44</v>
      </c>
      <c r="F9" t="s">
        <v>321</v>
      </c>
      <c r="G9">
        <v>3.8555071000000003E-2</v>
      </c>
    </row>
    <row r="10" spans="1:7">
      <c r="A10" t="s">
        <v>337</v>
      </c>
      <c r="B10" s="282" t="s">
        <v>320</v>
      </c>
      <c r="C10" t="s">
        <v>18</v>
      </c>
      <c r="D10" s="282">
        <v>-3444.8210347999998</v>
      </c>
    </row>
    <row r="11" spans="1:7">
      <c r="A11" t="s">
        <v>337</v>
      </c>
      <c r="B11" s="282" t="s">
        <v>320</v>
      </c>
      <c r="C11" t="s">
        <v>318</v>
      </c>
      <c r="D11" s="282">
        <v>-130.0016454</v>
      </c>
    </row>
    <row r="12" spans="1:7">
      <c r="A12" t="s">
        <v>337</v>
      </c>
      <c r="B12" s="282" t="s">
        <v>320</v>
      </c>
      <c r="C12" t="s">
        <v>297</v>
      </c>
      <c r="D12" s="282">
        <v>66647365.624395996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66647365.624395996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345347.23958659917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5.2086987394894813E-3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5.1727782440333048E-2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2.2414517565180525E-4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52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202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>
        <f>'Historical NAV'!A1197</f>
        <v>45699</v>
      </c>
      <c r="B1197" s="173">
        <f>'Historical NAV'!B1197</f>
        <v>66430092.593976997</v>
      </c>
      <c r="C1197" s="173">
        <f>'Historical NAV'!C1197</f>
        <v>0</v>
      </c>
      <c r="D1197" s="173" t="e">
        <f>'Historical NAV'!#REF!</f>
        <v>#REF!</v>
      </c>
      <c r="E1197" s="173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6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42">
        <f t="shared" si="192"/>
        <v>1.7857142857142857E-4</v>
      </c>
      <c r="Y1197" s="139">
        <f t="shared" ref="Y1197" si="1209">I1197-X1197</f>
        <v>-1.9448893251861743E-4</v>
      </c>
      <c r="Z1197" s="139">
        <f t="shared" ref="Z1197" si="1210">IF(Y1197&lt;0,Y1197,0)</f>
        <v>-1.9448893251861743E-4</v>
      </c>
      <c r="AA1197" s="139">
        <f t="shared" ref="AA1197" si="1211">Z1197^2</f>
        <v>3.7825944872231323E-8</v>
      </c>
      <c r="AB1197" s="144">
        <f t="shared" ref="AB1197" si="1212">AVERAGE(Y944:Y1197)/AVERAGE(AA944:AA1197)</f>
        <v>2.7788396856785682</v>
      </c>
      <c r="AC1197" s="144">
        <f t="shared" ref="AC1197" si="1213">AVERAGE(I1166:I1197)-_xlfn.NORM.S.INV(0.95)*_xlfn.STDEV.S(I1166:I1197)</f>
        <v>-4.6218896301420613E-2</v>
      </c>
      <c r="AD1197" s="144">
        <f t="shared" ref="AD1197" si="1214">AVERAGE(I1106:I1197)-_xlfn.NORM.S.INV(0.95)*_xlfn.STDEV.S(I1106:I1197)</f>
        <v>-3.910519564423761E-2</v>
      </c>
      <c r="AE1197" s="144">
        <f t="shared" ref="AE1197" si="1215">AVERAGE(I831:I1197)-_xlfn.NORM.S.INV(0.95)*_xlfn.STDEV.S(I831:I1197)</f>
        <v>-4.8681495417721612E-2</v>
      </c>
    </row>
    <row r="1198" spans="1:31">
      <c r="A1198" s="172">
        <f>'Historical NAV'!A1198</f>
        <v>45700</v>
      </c>
      <c r="B1198" s="173">
        <f>'Historical NAV'!B1198</f>
        <v>66435397.653966203</v>
      </c>
      <c r="C1198" s="173">
        <f>'Historical NAV'!C1198</f>
        <v>0</v>
      </c>
      <c r="D1198" s="173" t="e">
        <f>'Historical NAV'!#REF!</f>
        <v>#REF!</v>
      </c>
      <c r="E1198" s="173" t="e">
        <f>'Historical NAV'!#REF!</f>
        <v>#REF!</v>
      </c>
      <c r="F1198" s="67">
        <f t="shared" ref="F1198" si="1216">B1198</f>
        <v>66435397.653966203</v>
      </c>
      <c r="G1198" s="67">
        <f t="shared" ref="G1198" si="1217">IF(MONTH(A1198)=MONTH(A1197),G1197,F1197)</f>
        <v>66302018.384809397</v>
      </c>
      <c r="H1198" s="176">
        <f>B1198-C1198-F1197-'Daily P&amp;L breakdown'!H206</f>
        <v>6594.0599892064929</v>
      </c>
      <c r="I1198" s="70">
        <f t="shared" ref="I1198" si="1218">H1198/B1197</f>
        <v>9.9263146139350026E-5</v>
      </c>
      <c r="J1198" s="67">
        <f t="shared" ref="J1198" si="1219">IF(MONTH(A1198)=MONTH(A1197),J1197+H1198,H1198)</f>
        <v>119268.62915680617</v>
      </c>
      <c r="K1198" s="70">
        <f t="shared" ref="K1198" si="1220">(1+K1197)*(1+I1198)-1</f>
        <v>0.13347974358183579</v>
      </c>
      <c r="L1198" s="70">
        <f t="shared" ref="L1198" si="1221">1+I1198</f>
        <v>1.0000992631461394</v>
      </c>
      <c r="M1198" s="70">
        <f>PRODUCT($L$2:L1198)-1</f>
        <v>0.46358484929785693</v>
      </c>
      <c r="N1198" s="70">
        <f>PRODUCT($L$909:L1198)-1</f>
        <v>0.15654498576829257</v>
      </c>
      <c r="O1198" s="70">
        <f>AVERAGE($I$909:I1198)*252</f>
        <v>0.24708257129158676</v>
      </c>
      <c r="P1198" s="70">
        <f>STDEV($I$909:I1198)*252^0.5</f>
        <v>0.49027739425473238</v>
      </c>
      <c r="Q1198" s="67">
        <f t="shared" ref="Q1198" si="1222">B1198-C1198-F1167</f>
        <v>-5839607.1395113021</v>
      </c>
      <c r="R1198" s="70">
        <f t="shared" ref="R1198" si="1223">Q1198/B1167</f>
        <v>-8.0797049494465076E-2</v>
      </c>
      <c r="S1198" s="67">
        <f t="shared" ref="S1198" si="1224">B1198-C1198-F1107</f>
        <v>-1209858.7924968898</v>
      </c>
      <c r="T1198" s="70">
        <f t="shared" ref="T1198" si="1225">S1198/B1107</f>
        <v>-1.7885345640672023E-2</v>
      </c>
      <c r="U1198" s="67">
        <f t="shared" ref="U1198" si="1226">B1198-C1198-F832</f>
        <v>28955514.7039662</v>
      </c>
      <c r="V1198" s="70">
        <f t="shared" ref="V1198" si="1227">U1198/B832</f>
        <v>0.77256150299600113</v>
      </c>
      <c r="W1198" s="87">
        <f t="shared" ref="W1198" si="1228">O1198/P1198</f>
        <v>0.50396484558945542</v>
      </c>
      <c r="X1198" s="142">
        <f t="shared" si="192"/>
        <v>1.7857142857142857E-4</v>
      </c>
      <c r="Y1198" s="139">
        <f t="shared" ref="Y1198" si="1229">I1198-X1198</f>
        <v>-7.9308282432078545E-5</v>
      </c>
      <c r="Z1198" s="139">
        <f t="shared" ref="Z1198" si="1230">IF(Y1198&lt;0,Y1198,0)</f>
        <v>-7.9308282432078545E-5</v>
      </c>
      <c r="AA1198" s="139">
        <f t="shared" ref="AA1198" si="1231">Z1198^2</f>
        <v>6.2898036623263385E-9</v>
      </c>
      <c r="AB1198" s="144">
        <f t="shared" ref="AB1198" si="1232">AVERAGE(Y945:Y1198)/AVERAGE(AA945:AA1198)</f>
        <v>2.8259714838529155</v>
      </c>
      <c r="AC1198" s="144">
        <f t="shared" ref="AC1198" si="1233">AVERAGE(I1167:I1198)-_xlfn.NORM.S.INV(0.95)*_xlfn.STDEV.S(I1167:I1198)</f>
        <v>-4.4757785035203966E-2</v>
      </c>
      <c r="AD1198" s="144">
        <f t="shared" ref="AD1198" si="1234">AVERAGE(I1107:I1198)-_xlfn.NORM.S.INV(0.95)*_xlfn.STDEV.S(I1107:I1198)</f>
        <v>-3.9104010750582605E-2</v>
      </c>
      <c r="AE1198" s="144">
        <f t="shared" ref="AE1198" si="1235">AVERAGE(I832:I1198)-_xlfn.NORM.S.INV(0.95)*_xlfn.STDEV.S(I832:I1198)</f>
        <v>-4.8695547778249741E-2</v>
      </c>
    </row>
    <row r="1199" spans="1:31">
      <c r="A1199" s="172">
        <f>'Historical NAV'!A1199</f>
        <v>45701</v>
      </c>
      <c r="B1199" s="173">
        <f>'Historical NAV'!B1199</f>
        <v>66585533.1466804</v>
      </c>
      <c r="C1199" s="173">
        <f>'Historical NAV'!C1199</f>
        <v>0</v>
      </c>
      <c r="D1199" s="173" t="e">
        <f>'Historical NAV'!#REF!</f>
        <v>#REF!</v>
      </c>
      <c r="E1199" s="173" t="e">
        <f>'Historical NAV'!#REF!</f>
        <v>#REF!</v>
      </c>
      <c r="F1199" s="67">
        <f t="shared" ref="F1199" si="1236">B1199</f>
        <v>66585533.1466804</v>
      </c>
      <c r="G1199" s="67">
        <f t="shared" ref="G1199" si="1237">IF(MONTH(A1199)=MONTH(A1198),G1198,F1198)</f>
        <v>66302018.384809397</v>
      </c>
      <c r="H1199" s="176">
        <f>B1199-C1199-F1198-'Daily P&amp;L breakdown'!H207</f>
        <v>147077.19271419646</v>
      </c>
      <c r="I1199" s="70">
        <f t="shared" ref="I1199" si="1238">H1199/B1198</f>
        <v>2.2138377718495666E-3</v>
      </c>
      <c r="J1199" s="67">
        <f t="shared" ref="J1199" si="1239">IF(MONTH(A1199)=MONTH(A1198),J1198+H1199,H1199)</f>
        <v>266345.82187100261</v>
      </c>
      <c r="K1199" s="70">
        <f t="shared" ref="K1199" si="1240">(1+K1198)*(1+I1199)-1</f>
        <v>0.13598908385180342</v>
      </c>
      <c r="L1199" s="70">
        <f t="shared" ref="L1199" si="1241">1+I1199</f>
        <v>1.0022138377718495</v>
      </c>
      <c r="M1199" s="70">
        <f>PRODUCT($L$2:L1199)-1</f>
        <v>0.46682498871953904</v>
      </c>
      <c r="N1199" s="70">
        <f>PRODUCT($L$909:L1199)-1</f>
        <v>0.15910538874262947</v>
      </c>
      <c r="O1199" s="70">
        <f>AVERAGE($I$909:I1199)*252</f>
        <v>0.24815062815486685</v>
      </c>
      <c r="P1199" s="70">
        <f>STDEV($I$909:I1199)*252^0.5</f>
        <v>0.48943270416423995</v>
      </c>
      <c r="Q1199" s="67">
        <f t="shared" ref="Q1199" si="1242">B1199-C1199-F1168</f>
        <v>-4619299.4747637063</v>
      </c>
      <c r="R1199" s="70">
        <f t="shared" ref="R1199" si="1243">Q1199/B1168</f>
        <v>-6.4873398401508978E-2</v>
      </c>
      <c r="S1199" s="67">
        <f t="shared" ref="S1199" si="1244">B1199-C1199-F1108</f>
        <v>-2057126.0375107974</v>
      </c>
      <c r="T1199" s="70">
        <f t="shared" ref="T1199" si="1245">S1199/B1108</f>
        <v>-2.9968623913459422E-2</v>
      </c>
      <c r="U1199" s="67">
        <f t="shared" ref="U1199" si="1246">B1199-C1199-F833</f>
        <v>30338426.796680398</v>
      </c>
      <c r="V1199" s="70">
        <f t="shared" ref="V1199" si="1247">U1199/B833</f>
        <v>0.83698893102622518</v>
      </c>
      <c r="W1199" s="87">
        <f t="shared" ref="W1199" si="1248">O1199/P1199</f>
        <v>0.50701685041380973</v>
      </c>
      <c r="X1199" s="142">
        <f t="shared" si="192"/>
        <v>1.7857142857142857E-4</v>
      </c>
      <c r="Y1199" s="139">
        <f t="shared" ref="Y1199" si="1249">I1199-X1199</f>
        <v>2.0352663432781381E-3</v>
      </c>
      <c r="Z1199" s="139">
        <f t="shared" ref="Z1199" si="1250">IF(Y1199&lt;0,Y1199,0)</f>
        <v>0</v>
      </c>
      <c r="AA1199" s="139">
        <f t="shared" ref="AA1199" si="1251">Z1199^2</f>
        <v>0</v>
      </c>
      <c r="AB1199" s="144">
        <f t="shared" ref="AB1199" si="1252">AVERAGE(Y946:Y1199)/AVERAGE(AA946:AA1199)</f>
        <v>2.9272911513388515</v>
      </c>
      <c r="AC1199" s="144">
        <f t="shared" ref="AC1199" si="1253">AVERAGE(I1168:I1199)-_xlfn.NORM.S.INV(0.95)*_xlfn.STDEV.S(I1168:I1199)</f>
        <v>-4.3880294183188916E-2</v>
      </c>
      <c r="AD1199" s="144">
        <f t="shared" ref="AD1199" si="1254">AVERAGE(I1108:I1199)-_xlfn.NORM.S.INV(0.95)*_xlfn.STDEV.S(I1108:I1199)</f>
        <v>-3.901247475273515E-2</v>
      </c>
      <c r="AE1199" s="144">
        <f t="shared" ref="AE1199" si="1255">AVERAGE(I833:I1199)-_xlfn.NORM.S.INV(0.95)*_xlfn.STDEV.S(I833:I1199)</f>
        <v>-4.8719658383609379E-2</v>
      </c>
    </row>
    <row r="1200" spans="1:31">
      <c r="A1200" s="172">
        <f>'Historical NAV'!A1200</f>
        <v>45702</v>
      </c>
      <c r="B1200" s="173">
        <f>'Historical NAV'!B1200</f>
        <v>66615111.351361498</v>
      </c>
      <c r="C1200" s="173">
        <f>'Historical NAV'!C1200</f>
        <v>0</v>
      </c>
      <c r="D1200" s="173" t="e">
        <f>'Historical NAV'!#REF!</f>
        <v>#REF!</v>
      </c>
      <c r="E1200" s="173" t="e">
        <f>'Historical NAV'!#REF!</f>
        <v>#REF!</v>
      </c>
      <c r="F1200" s="67">
        <f t="shared" ref="F1200" si="1256">B1200</f>
        <v>66615111.351361498</v>
      </c>
      <c r="G1200" s="67">
        <f t="shared" ref="G1200" si="1257">IF(MONTH(A1200)=MONTH(A1199),G1199,F1199)</f>
        <v>66302018.384809397</v>
      </c>
      <c r="H1200" s="176">
        <f>B1200-C1200-F1199-'Daily P&amp;L breakdown'!H208</f>
        <v>27170.604681098463</v>
      </c>
      <c r="I1200" s="70">
        <f t="shared" ref="I1200" si="1258">H1200/B1199</f>
        <v>4.0805567511556441E-4</v>
      </c>
      <c r="J1200" s="67">
        <f t="shared" ref="J1200" si="1259">IF(MONTH(A1200)=MONTH(A1199),J1199+H1200,H1200)</f>
        <v>293516.4265521011</v>
      </c>
      <c r="K1200" s="70">
        <f t="shared" ref="K1200" si="1260">(1+K1199)*(1+I1200)-1</f>
        <v>0.13645263064433855</v>
      </c>
      <c r="L1200" s="70">
        <f t="shared" ref="L1200" si="1261">1+I1200</f>
        <v>1.0004080556751156</v>
      </c>
      <c r="M1200" s="70">
        <f>PRODUCT($L$2:L1200)-1</f>
        <v>0.46742353498058731</v>
      </c>
      <c r="N1200" s="70">
        <f>PRODUCT($L$909:L1200)-1</f>
        <v>0.15957836827456306</v>
      </c>
      <c r="O1200" s="70">
        <f>AVERAGE($I$909:I1200)*252</f>
        <v>0.24765295487395672</v>
      </c>
      <c r="P1200" s="70">
        <f>STDEV($I$909:I1200)*252^0.5</f>
        <v>0.48859132448554143</v>
      </c>
      <c r="Q1200" s="67">
        <f t="shared" ref="Q1200" si="1262">B1200-C1200-F1169</f>
        <v>3359644.7912534997</v>
      </c>
      <c r="R1200" s="70">
        <f t="shared" ref="R1200" si="1263">Q1200/B1169</f>
        <v>5.3112323312974448E-2</v>
      </c>
      <c r="S1200" s="67">
        <f t="shared" ref="S1200" si="1264">B1200-C1200-F1109</f>
        <v>-2688030.9714187086</v>
      </c>
      <c r="T1200" s="70">
        <f t="shared" ref="T1200" si="1265">S1200/B1109</f>
        <v>-3.8786566976994674E-2</v>
      </c>
      <c r="U1200" s="67">
        <f t="shared" ref="U1200" si="1266">B1200-C1200-F834</f>
        <v>30502715.2713615</v>
      </c>
      <c r="V1200" s="70">
        <f t="shared" ref="V1200" si="1267">U1200/B834</f>
        <v>0.8446605205533485</v>
      </c>
      <c r="W1200" s="87">
        <f t="shared" ref="W1200" si="1268">O1200/P1200</f>
        <v>0.50687137176396047</v>
      </c>
      <c r="X1200" s="142">
        <f t="shared" si="192"/>
        <v>1.7857142857142857E-4</v>
      </c>
      <c r="Y1200" s="139">
        <f t="shared" ref="Y1200" si="1269">I1200-X1200</f>
        <v>2.2948424654413584E-4</v>
      </c>
      <c r="Z1200" s="139">
        <f t="shared" ref="Z1200" si="1270">IF(Y1200&lt;0,Y1200,0)</f>
        <v>0</v>
      </c>
      <c r="AA1200" s="139">
        <f t="shared" ref="AA1200" si="1271">Z1200^2</f>
        <v>0</v>
      </c>
      <c r="AB1200" s="144">
        <f t="shared" ref="AB1200" si="1272">AVERAGE(Y947:Y1200)/AVERAGE(AA947:AA1200)</f>
        <v>2.7694431063910518</v>
      </c>
      <c r="AC1200" s="144">
        <f t="shared" ref="AC1200" si="1273">AVERAGE(I1169:I1200)-_xlfn.NORM.S.INV(0.95)*_xlfn.STDEV.S(I1169:I1200)</f>
        <v>-4.167998607361862E-2</v>
      </c>
      <c r="AD1200" s="144">
        <f t="shared" ref="AD1200" si="1274">AVERAGE(I1109:I1200)-_xlfn.NORM.S.INV(0.95)*_xlfn.STDEV.S(I1109:I1200)</f>
        <v>-3.9096584782561235E-2</v>
      </c>
      <c r="AE1200" s="144">
        <f t="shared" ref="AE1200" si="1275">AVERAGE(I834:I1200)-_xlfn.NORM.S.INV(0.95)*_xlfn.STDEV.S(I834:I1200)</f>
        <v>-4.8540780199763184E-2</v>
      </c>
    </row>
    <row r="1201" spans="1:31">
      <c r="A1201" s="172">
        <f>'Historical NAV'!A1201</f>
        <v>45705</v>
      </c>
      <c r="B1201" s="173">
        <f>'Historical NAV'!B1201</f>
        <v>66617016.363238297</v>
      </c>
      <c r="C1201" s="173">
        <f>'Historical NAV'!C1201</f>
        <v>0</v>
      </c>
      <c r="D1201" s="173" t="e">
        <f>'Historical NAV'!#REF!</f>
        <v>#REF!</v>
      </c>
      <c r="E1201" s="173" t="e">
        <f>'Historical NAV'!#REF!</f>
        <v>#REF!</v>
      </c>
      <c r="F1201" s="67">
        <f t="shared" ref="F1201" si="1276">B1201</f>
        <v>66617016.363238297</v>
      </c>
      <c r="G1201" s="67">
        <f t="shared" ref="G1201" si="1277">IF(MONTH(A1201)=MONTH(A1200),G1200,F1200)</f>
        <v>66302018.384809397</v>
      </c>
      <c r="H1201" s="176">
        <f>B1201-C1201-F1200-'Daily P&amp;L breakdown'!H209</f>
        <v>1905.0118767991662</v>
      </c>
      <c r="I1201" s="70">
        <f t="shared" ref="I1201" si="1278">H1201/B1200</f>
        <v>2.859729328907338E-5</v>
      </c>
      <c r="J1201" s="67">
        <f t="shared" ref="J1201" si="1279">IF(MONTH(A1201)=MONTH(A1200),J1200+H1201,H1201)</f>
        <v>295421.43842890026</v>
      </c>
      <c r="K1201" s="70">
        <f t="shared" ref="K1201" si="1280">(1+K1200)*(1+I1201)-1</f>
        <v>0.13648513011352614</v>
      </c>
      <c r="L1201" s="70">
        <f t="shared" ref="L1201" si="1281">1+I1201</f>
        <v>1.000028597293289</v>
      </c>
      <c r="M1201" s="70">
        <f>PRODUCT($L$2:L1201)-1</f>
        <v>0.46746549932179637</v>
      </c>
      <c r="N1201" s="70">
        <f>PRODUCT($L$909:L1201)-1</f>
        <v>0.15961152907725218</v>
      </c>
      <c r="O1201" s="70">
        <f>AVERAGE($I$909:I1201)*252</f>
        <v>0.24683231857032151</v>
      </c>
      <c r="P1201" s="70">
        <f>STDEV($I$909:I1201)*252^0.5</f>
        <v>0.48775478065476674</v>
      </c>
      <c r="Q1201" s="67">
        <f t="shared" ref="Q1201" si="1282">B1201-C1201-F1170</f>
        <v>268853.88485969603</v>
      </c>
      <c r="R1201" s="70">
        <f t="shared" ref="R1201" si="1283">Q1201/B1170</f>
        <v>4.052167758938457E-3</v>
      </c>
      <c r="S1201" s="67">
        <f t="shared" ref="S1201" si="1284">B1201-C1201-F1110</f>
        <v>-3289159.2222058997</v>
      </c>
      <c r="T1201" s="70">
        <f t="shared" ref="T1201" si="1285">S1201/B1110</f>
        <v>-4.7051053711065341E-2</v>
      </c>
      <c r="U1201" s="67">
        <f t="shared" ref="U1201" si="1286">B1201-C1201-F835</f>
        <v>30678727.583238296</v>
      </c>
      <c r="V1201" s="70">
        <f t="shared" ref="V1201" si="1287">U1201/B835</f>
        <v>0.85365020496778077</v>
      </c>
      <c r="W1201" s="87">
        <f t="shared" ref="W1201" si="1288">O1201/P1201</f>
        <v>0.50605822507566489</v>
      </c>
      <c r="X1201" s="142">
        <f t="shared" si="192"/>
        <v>1.7857142857142857E-4</v>
      </c>
      <c r="Y1201" s="139">
        <f t="shared" ref="Y1201" si="1289">I1201-X1201</f>
        <v>-1.4997413528235518E-4</v>
      </c>
      <c r="Z1201" s="139">
        <f t="shared" ref="Z1201" si="1290">IF(Y1201&lt;0,Y1201,0)</f>
        <v>-1.4997413528235518E-4</v>
      </c>
      <c r="AA1201" s="139">
        <f t="shared" ref="AA1201" si="1291">Z1201^2</f>
        <v>2.2492241253690174E-8</v>
      </c>
      <c r="AB1201" s="144">
        <f t="shared" ref="AB1201" si="1292">AVERAGE(Y948:Y1201)/AVERAGE(AA948:AA1201)</f>
        <v>2.7761789023285046</v>
      </c>
      <c r="AC1201" s="144">
        <f t="shared" ref="AC1201" si="1293">AVERAGE(I1170:I1201)-_xlfn.NORM.S.INV(0.95)*_xlfn.STDEV.S(I1170:I1201)</f>
        <v>-4.1973736538052552E-2</v>
      </c>
      <c r="AD1201" s="144">
        <f t="shared" ref="AD1201" si="1294">AVERAGE(I1110:I1201)-_xlfn.NORM.S.INV(0.95)*_xlfn.STDEV.S(I1110:I1201)</f>
        <v>-3.9161740296684282E-2</v>
      </c>
      <c r="AE1201" s="144">
        <f t="shared" ref="AE1201" si="1295">AVERAGE(I835:I1201)-_xlfn.NORM.S.INV(0.95)*_xlfn.STDEV.S(I835:I1201)</f>
        <v>-4.8528533165318188E-2</v>
      </c>
    </row>
    <row r="1202" spans="1:31">
      <c r="A1202" s="172">
        <f>'Historical NAV'!A1202</f>
        <v>45706</v>
      </c>
      <c r="B1202" s="173">
        <f>'Historical NAV'!B1202</f>
        <v>66633264.731376797</v>
      </c>
      <c r="C1202" s="173">
        <f>'Historical NAV'!C1202</f>
        <v>0</v>
      </c>
      <c r="D1202" s="173" t="e">
        <f>'Historical NAV'!#REF!</f>
        <v>#REF!</v>
      </c>
      <c r="E1202" s="173" t="e">
        <f>'Historical NAV'!#REF!</f>
        <v>#REF!</v>
      </c>
      <c r="F1202" s="67">
        <f t="shared" ref="F1202" si="1296">B1202</f>
        <v>66633264.731376797</v>
      </c>
      <c r="G1202" s="67">
        <f t="shared" ref="G1202" si="1297">IF(MONTH(A1202)=MONTH(A1201),G1201,F1201)</f>
        <v>66302018.384809397</v>
      </c>
      <c r="H1202" s="176">
        <f>B1202-C1202-F1201-'Daily P&amp;L breakdown'!H210</f>
        <v>15783.368138499558</v>
      </c>
      <c r="I1202" s="70">
        <f t="shared" ref="I1202" si="1298">H1202/B1201</f>
        <v>2.3692697452012271E-4</v>
      </c>
      <c r="J1202" s="67">
        <f t="shared" ref="J1202" si="1299">IF(MONTH(A1202)=MONTH(A1201),J1201+H1202,H1202)</f>
        <v>311204.80656739982</v>
      </c>
      <c r="K1202" s="70">
        <f t="shared" ref="K1202" si="1300">(1+K1201)*(1+I1202)-1</f>
        <v>0.13675439409699108</v>
      </c>
      <c r="L1202" s="70">
        <f t="shared" ref="L1202" si="1301">1+I1202</f>
        <v>1.0002369269745202</v>
      </c>
      <c r="M1202" s="70">
        <f>PRODUCT($L$2:L1202)-1</f>
        <v>0.4678131814827633</v>
      </c>
      <c r="N1202" s="70">
        <f>PRODUCT($L$909:L1202)-1</f>
        <v>0.15988627232845509</v>
      </c>
      <c r="O1202" s="70">
        <f>AVERAGE($I$909:I1202)*252</f>
        <v>0.24619583312477303</v>
      </c>
      <c r="P1202" s="70">
        <f>STDEV($I$909:I1202)*252^0.5</f>
        <v>0.48692220853222068</v>
      </c>
      <c r="Q1202" s="67">
        <f t="shared" ref="Q1202" si="1302">B1202-C1202-F1171</f>
        <v>-1812714.4723073095</v>
      </c>
      <c r="R1202" s="70">
        <f t="shared" ref="R1202" si="1303">Q1202/B1171</f>
        <v>-2.6483870833565928E-2</v>
      </c>
      <c r="S1202" s="67">
        <f t="shared" ref="S1202" si="1304">B1202-C1202-F1111</f>
        <v>-4934895.866386801</v>
      </c>
      <c r="T1202" s="70">
        <f t="shared" ref="T1202" si="1305">S1202/B1111</f>
        <v>-6.8953789299162307E-2</v>
      </c>
      <c r="U1202" s="67">
        <f t="shared" ref="U1202" si="1306">B1202-C1202-F836</f>
        <v>31614994.811376795</v>
      </c>
      <c r="V1202" s="70">
        <f t="shared" ref="V1202" si="1307">U1202/B836</f>
        <v>0.90281429903881427</v>
      </c>
      <c r="W1202" s="87">
        <f t="shared" ref="W1202" si="1308">O1202/P1202</f>
        <v>0.50561635680349493</v>
      </c>
      <c r="X1202" s="142">
        <f t="shared" si="192"/>
        <v>1.7857142857142857E-4</v>
      </c>
      <c r="Y1202" s="139">
        <f t="shared" ref="Y1202" si="1309">I1202-X1202</f>
        <v>5.8355545948694137E-5</v>
      </c>
      <c r="Z1202" s="139">
        <f t="shared" ref="Z1202" si="1310">IF(Y1202&lt;0,Y1202,0)</f>
        <v>0</v>
      </c>
      <c r="AA1202" s="139">
        <f t="shared" ref="AA1202" si="1311">Z1202^2</f>
        <v>0</v>
      </c>
      <c r="AB1202" s="144">
        <f t="shared" ref="AB1202" si="1312">AVERAGE(Y949:Y1202)/AVERAGE(AA949:AA1202)</f>
        <v>2.8601285995229859</v>
      </c>
      <c r="AC1202" s="144">
        <f t="shared" ref="AC1202" si="1313">AVERAGE(I1171:I1202)-_xlfn.NORM.S.INV(0.95)*_xlfn.STDEV.S(I1171:I1202)</f>
        <v>-4.1226397691648327E-2</v>
      </c>
      <c r="AD1202" s="144">
        <f t="shared" ref="AD1202" si="1314">AVERAGE(I1111:I1202)-_xlfn.NORM.S.INV(0.95)*_xlfn.STDEV.S(I1111:I1202)</f>
        <v>-3.922403549798751E-2</v>
      </c>
      <c r="AE1202" s="144">
        <f t="shared" ref="AE1202" si="1315">AVERAGE(I836:I1202)-_xlfn.NORM.S.INV(0.95)*_xlfn.STDEV.S(I836:I1202)</f>
        <v>-4.8511650333664842E-2</v>
      </c>
    </row>
    <row r="1203" spans="1:31">
      <c r="A1203" s="172"/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172"/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6:31">
      <c r="F1248" s="67"/>
      <c r="G1248" s="67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  <c r="AD1248" s="144"/>
      <c r="AE1248" s="144"/>
    </row>
    <row r="1249" spans="6:31">
      <c r="F1249" s="67"/>
      <c r="G1249" s="67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42"/>
      <c r="Y1249" s="139"/>
      <c r="Z1249" s="139"/>
      <c r="AA1249" s="139"/>
      <c r="AB1249" s="144"/>
      <c r="AC1249" s="144"/>
      <c r="AD1249" s="144"/>
      <c r="AE1249" s="144"/>
    </row>
    <row r="1250" spans="6:31">
      <c r="F1250" s="67"/>
      <c r="G1250" s="67"/>
      <c r="H1250" s="67"/>
      <c r="I1250" s="70"/>
      <c r="J1250" s="67"/>
      <c r="K1250" s="70"/>
      <c r="L1250" s="70"/>
      <c r="M1250" s="70"/>
      <c r="N1250" s="70"/>
      <c r="O1250" s="70"/>
      <c r="P1250" s="70"/>
      <c r="Q1250" s="67"/>
      <c r="R1250" s="70"/>
      <c r="S1250" s="67"/>
      <c r="T1250" s="70"/>
      <c r="U1250" s="67"/>
      <c r="V1250" s="70"/>
      <c r="W1250" s="87"/>
      <c r="X1250" s="142"/>
      <c r="Y1250" s="139"/>
      <c r="Z1250" s="139"/>
      <c r="AA1250" s="139"/>
      <c r="AB1250" s="144"/>
      <c r="AC1250" s="144"/>
      <c r="AD1250" s="144"/>
      <c r="AE1250" s="144"/>
    </row>
    <row r="1251" spans="6:31">
      <c r="F1251" s="67"/>
      <c r="G1251" s="67"/>
      <c r="H1251" s="67"/>
      <c r="I1251" s="70"/>
      <c r="J1251" s="67"/>
      <c r="K1251" s="70"/>
      <c r="L1251" s="70"/>
      <c r="M1251" s="70"/>
      <c r="N1251" s="70"/>
      <c r="O1251" s="70"/>
      <c r="P1251" s="70"/>
      <c r="Q1251" s="67"/>
      <c r="R1251" s="70"/>
      <c r="S1251" s="67"/>
      <c r="T1251" s="70"/>
      <c r="U1251" s="67"/>
      <c r="V1251" s="70"/>
      <c r="W1251" s="87"/>
      <c r="X1251" s="142"/>
      <c r="Y1251" s="139"/>
      <c r="Z1251" s="139"/>
      <c r="AA1251" s="139"/>
      <c r="AB1251" s="144"/>
      <c r="AC1251" s="144"/>
      <c r="AD1251" s="144"/>
      <c r="AE1251" s="144"/>
    </row>
    <row r="1252" spans="6:31">
      <c r="F1252" s="67"/>
      <c r="G1252" s="67"/>
      <c r="H1252" s="67"/>
      <c r="I1252" s="70"/>
      <c r="J1252" s="67"/>
      <c r="K1252" s="70"/>
      <c r="L1252" s="70"/>
      <c r="M1252" s="70"/>
      <c r="N1252" s="70"/>
      <c r="O1252" s="70"/>
      <c r="P1252" s="70"/>
      <c r="Q1252" s="67"/>
      <c r="R1252" s="70"/>
      <c r="S1252" s="67"/>
      <c r="T1252" s="70"/>
      <c r="U1252" s="67"/>
      <c r="V1252" s="70"/>
      <c r="W1252" s="87"/>
      <c r="X1252" s="142"/>
      <c r="Y1252" s="139"/>
      <c r="Z1252" s="139"/>
      <c r="AA1252" s="139"/>
      <c r="AB1252" s="144"/>
      <c r="AC1252" s="144"/>
      <c r="AD1252" s="144"/>
      <c r="AE1252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66647365.624395996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345347.23958659917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5.2086987394894813E-3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14935.337790697813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2.2414517565180525E-4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2025-02-27T06:40:19Z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