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/>
  <mc:AlternateContent xmlns:mc="http://schemas.openxmlformats.org/markup-compatibility/2006">
    <mc:Choice Requires="x15">
      <x15ac:absPath xmlns:x15ac="http://schemas.microsoft.com/office/spreadsheetml/2010/11/ac" url="C:\GHFM\JY\Jing Yan_reporting backup\1. GHFM Reporting\3. GHFM_Daily\Performance Report\202507\"/>
    </mc:Choice>
  </mc:AlternateContent>
  <xr:revisionPtr revIDLastSave="0" documentId="13_ncr:1_{5949088F-B1EB-4663-9BF8-DFEC32AE415C}" xr6:coauthVersionLast="47" xr6:coauthVersionMax="47" xr10:uidLastSave="{00000000-0000-0000-0000-000000000000}"/>
  <bookViews>
    <workbookView xWindow="12330" yWindow="-16560" windowWidth="33135" windowHeight="13710" tabRatio="719" firstSheet="4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205" i="3" l="1"/>
  <c r="D1205" i="3"/>
  <c r="D7" i="16" a="1"/>
  <c r="D7" i="16" s="1"/>
  <c r="D10" i="16" a="1"/>
  <c r="D10" i="16" s="1"/>
  <c r="D9" i="16" a="1"/>
  <c r="D9" i="16" s="1"/>
  <c r="D6" i="16" a="1"/>
  <c r="D6" i="16" s="1"/>
  <c r="D8" i="16" a="1"/>
  <c r="D8" i="16" s="1"/>
  <c r="K9" i="16"/>
  <c r="K6" i="16"/>
  <c r="L9" i="16" a="1"/>
  <c r="L9" i="16" s="1"/>
  <c r="K8" i="16"/>
  <c r="K10" i="16"/>
  <c r="L10" i="16" a="1"/>
  <c r="L10" i="16" s="1"/>
  <c r="K7" i="16"/>
  <c r="J9" i="16" a="1"/>
  <c r="J9" i="16" s="1"/>
  <c r="I6" i="16"/>
  <c r="J6" i="16"/>
  <c r="J10" i="16" a="1"/>
  <c r="J10" i="16" s="1"/>
  <c r="I7" i="16" a="1"/>
  <c r="I7" i="16" s="1"/>
  <c r="L7" i="16" a="1"/>
  <c r="L7" i="16" s="1"/>
  <c r="J8" i="16" a="1"/>
  <c r="J8" i="16" s="1"/>
  <c r="I8" i="16" a="1"/>
  <c r="I8" i="16" s="1"/>
  <c r="L8" i="16" a="1"/>
  <c r="L8" i="16" s="1"/>
  <c r="I10" i="16"/>
  <c r="I9" i="16" a="1"/>
  <c r="I9" i="16" s="1"/>
  <c r="J7" i="16" a="1"/>
  <c r="J7" i="16" s="1"/>
  <c r="L6" i="16" a="1"/>
  <c r="L6" i="16" s="1"/>
  <c r="M19" i="16"/>
  <c r="J19" i="16"/>
  <c r="E17" i="16"/>
  <c r="E9" i="16" s="1" a="1"/>
  <c r="E9" i="16" s="1"/>
  <c r="T16" i="16"/>
  <c r="E16" i="16"/>
  <c r="T12" i="16"/>
  <c r="T10" i="16"/>
  <c r="E7" i="16" l="1" a="1"/>
  <c r="E7" i="16" s="1"/>
  <c r="E8" i="16" a="1"/>
  <c r="E8" i="16" s="1"/>
  <c r="E10" i="16" a="1"/>
  <c r="E10" i="16" s="1"/>
  <c r="E6" i="16" a="1"/>
  <c r="E6" i="16" s="1"/>
  <c r="F17" i="16"/>
  <c r="F16" i="16"/>
  <c r="F9" i="16" l="1" a="1"/>
  <c r="F9" i="16" s="1"/>
  <c r="F10" i="16" a="1"/>
  <c r="F10" i="16" s="1"/>
  <c r="F8" i="16" a="1"/>
  <c r="F8" i="16" s="1"/>
  <c r="F6" i="16" a="1"/>
  <c r="F6" i="16" s="1"/>
  <c r="F7" i="16" a="1"/>
  <c r="F7" i="16" s="1"/>
  <c r="G17" i="16"/>
  <c r="G16" i="16"/>
  <c r="U8" i="16"/>
  <c r="G6" i="16" l="1" a="1"/>
  <c r="G6" i="16" s="1"/>
  <c r="G10" i="16" a="1"/>
  <c r="G10" i="16" s="1"/>
  <c r="G8" i="16" a="1"/>
  <c r="G8" i="16" s="1"/>
  <c r="G7" i="16" a="1"/>
  <c r="G7" i="16" s="1"/>
  <c r="G9" i="16" a="1"/>
  <c r="G9" i="16" s="1"/>
  <c r="H17" i="16"/>
  <c r="H16" i="16"/>
  <c r="U7" i="16"/>
  <c r="H10" i="16" l="1" a="1"/>
  <c r="H10" i="16" s="1"/>
  <c r="H6" i="16" a="1"/>
  <c r="H6" i="16" s="1"/>
  <c r="H8" i="16" a="1"/>
  <c r="H8" i="16" s="1"/>
  <c r="H9" i="16" a="1"/>
  <c r="H9" i="16" s="1"/>
  <c r="H7" i="16" a="1"/>
  <c r="H7" i="16" s="1"/>
  <c r="U6" i="16"/>
  <c r="U5" i="16" l="1"/>
  <c r="O5" i="16"/>
  <c r="Q5" i="16" s="1"/>
  <c r="H5" i="16"/>
  <c r="G5" i="16"/>
  <c r="F5" i="16"/>
  <c r="E5" i="16"/>
  <c r="D5" i="16"/>
  <c r="V4" i="16"/>
  <c r="P4" i="16"/>
  <c r="H4" i="16"/>
  <c r="G4" i="16"/>
  <c r="E4" i="16"/>
  <c r="D4" i="16"/>
  <c r="T3" i="16"/>
  <c r="D23" i="4"/>
  <c r="F22" i="4"/>
  <c r="F23" i="4"/>
  <c r="C23" i="4"/>
  <c r="E23" i="4"/>
  <c r="D22" i="4"/>
  <c r="G23" i="4"/>
  <c r="C22" i="4"/>
  <c r="E22" i="4"/>
  <c r="H23" i="4"/>
  <c r="H22" i="4"/>
  <c r="G22" i="4"/>
  <c r="C24" i="4"/>
  <c r="J5" i="16" l="1"/>
  <c r="P9" i="16"/>
  <c r="L5" i="16"/>
  <c r="K5" i="16"/>
  <c r="T8" i="16"/>
  <c r="T7" i="16"/>
  <c r="T6" i="16"/>
  <c r="P8" i="16"/>
  <c r="P6" i="16"/>
  <c r="O4" i="16"/>
  <c r="X1202" i="14"/>
  <c r="E1202" i="14"/>
  <c r="D1202" i="14"/>
  <c r="C1202" i="14"/>
  <c r="B1202" i="14"/>
  <c r="A1202" i="14"/>
  <c r="L212" i="13"/>
  <c r="A212" i="13"/>
  <c r="X1204" i="3"/>
  <c r="D1204" i="3"/>
  <c r="F1205" i="3" s="1"/>
  <c r="G1205" i="3" s="1"/>
  <c r="L1205" i="3" l="1"/>
  <c r="Y1205" i="3"/>
  <c r="Z1205" i="3" s="1"/>
  <c r="AA1205" i="3" s="1"/>
  <c r="O6" i="16"/>
  <c r="Q6" i="16" s="1"/>
  <c r="Q4" i="16"/>
  <c r="P10" i="16"/>
  <c r="T9" i="16"/>
  <c r="F1202" i="14"/>
  <c r="V9" i="16" l="1"/>
  <c r="T13" i="16"/>
  <c r="T17" i="16" s="1"/>
  <c r="T18" i="16" s="1"/>
  <c r="X1201" i="14"/>
  <c r="E1201" i="14"/>
  <c r="D1201" i="14"/>
  <c r="C1201" i="14"/>
  <c r="B1201" i="14"/>
  <c r="A1201" i="14"/>
  <c r="L211" i="13"/>
  <c r="A211" i="13"/>
  <c r="X1203" i="3"/>
  <c r="D1203" i="3"/>
  <c r="F1204" i="3" s="1"/>
  <c r="O7" i="16" s="1"/>
  <c r="Q7" i="16" s="1"/>
  <c r="G1204" i="3" l="1"/>
  <c r="F1201" i="14"/>
  <c r="H1202" i="14" s="1"/>
  <c r="I1202" i="14" s="1"/>
  <c r="L1202" i="14" l="1"/>
  <c r="Y1202" i="14"/>
  <c r="Z1202" i="14" s="1"/>
  <c r="AA1202" i="14" s="1"/>
  <c r="Y1204" i="3"/>
  <c r="Z1204" i="3" s="1"/>
  <c r="AA1204" i="3" s="1"/>
  <c r="L1204" i="3"/>
  <c r="X1200" i="14"/>
  <c r="E1200" i="14"/>
  <c r="D1200" i="14"/>
  <c r="C1200" i="14"/>
  <c r="B1200" i="14"/>
  <c r="F1200" i="14" s="1"/>
  <c r="H1201" i="14" s="1"/>
  <c r="I1201" i="14" s="1"/>
  <c r="A1200" i="14"/>
  <c r="L210" i="13"/>
  <c r="A210" i="13"/>
  <c r="X1202" i="3"/>
  <c r="D1202" i="3"/>
  <c r="F1203" i="3" s="1"/>
  <c r="Y1201" i="14" l="1"/>
  <c r="Z1201" i="14" s="1"/>
  <c r="AA1201" i="14" s="1"/>
  <c r="L1201" i="14"/>
  <c r="G1203" i="3"/>
  <c r="X1199" i="14"/>
  <c r="E1199" i="14"/>
  <c r="D1199" i="14"/>
  <c r="C1199" i="14"/>
  <c r="B1199" i="14"/>
  <c r="A1199" i="14"/>
  <c r="L209" i="13"/>
  <c r="A209" i="13"/>
  <c r="X1201" i="3"/>
  <c r="D1201" i="3"/>
  <c r="F1202" i="3" s="1"/>
  <c r="Y1203" i="3" l="1"/>
  <c r="Z1203" i="3" s="1"/>
  <c r="AA1203" i="3" s="1"/>
  <c r="L1203" i="3"/>
  <c r="G1202" i="3"/>
  <c r="F1199" i="14"/>
  <c r="H1200" i="14" s="1"/>
  <c r="I1200" i="14" s="1"/>
  <c r="L1200" i="14" l="1"/>
  <c r="Y1200" i="14"/>
  <c r="Z1200" i="14" s="1"/>
  <c r="AA1200" i="14" s="1"/>
  <c r="L1202" i="3"/>
  <c r="Y1202" i="3"/>
  <c r="Z1202" i="3" s="1"/>
  <c r="AA1202" i="3" s="1"/>
  <c r="X1198" i="14"/>
  <c r="E1198" i="14"/>
  <c r="D1198" i="14"/>
  <c r="C1198" i="14"/>
  <c r="B1198" i="14"/>
  <c r="A1198" i="14"/>
  <c r="L208" i="13"/>
  <c r="A208" i="13"/>
  <c r="X1200" i="3"/>
  <c r="D1200" i="3"/>
  <c r="F1201" i="3" s="1"/>
  <c r="G1201" i="3" l="1"/>
  <c r="F1198" i="14"/>
  <c r="H1199" i="14" s="1"/>
  <c r="I1199" i="14" s="1"/>
  <c r="L1199" i="14" l="1"/>
  <c r="Y1199" i="14"/>
  <c r="Z1199" i="14" s="1"/>
  <c r="AA1199" i="14" s="1"/>
  <c r="L1201" i="3"/>
  <c r="Y1201" i="3"/>
  <c r="Z1201" i="3" s="1"/>
  <c r="AA1201" i="3" s="1"/>
  <c r="X1197" i="14"/>
  <c r="E1197" i="14"/>
  <c r="D1197" i="14"/>
  <c r="C1197" i="14"/>
  <c r="B1197" i="14"/>
  <c r="A1197" i="14"/>
  <c r="L207" i="13"/>
  <c r="A207" i="13"/>
  <c r="X1199" i="3"/>
  <c r="D1199" i="3"/>
  <c r="F1200" i="3" s="1"/>
  <c r="G1200" i="3" l="1"/>
  <c r="F1197" i="14"/>
  <c r="H1198" i="14" s="1"/>
  <c r="I1198" i="14" s="1"/>
  <c r="L1198" i="14" l="1"/>
  <c r="Y1198" i="14"/>
  <c r="Z1198" i="14" s="1"/>
  <c r="AA1198" i="14" s="1"/>
  <c r="L1200" i="3"/>
  <c r="Y1200" i="3"/>
  <c r="Z1200" i="3" s="1"/>
  <c r="AA1200" i="3" s="1"/>
  <c r="X1196" i="14"/>
  <c r="E1196" i="14"/>
  <c r="D1196" i="14"/>
  <c r="C1196" i="14"/>
  <c r="B1196" i="14"/>
  <c r="A1196" i="14"/>
  <c r="L206" i="13"/>
  <c r="A206" i="13"/>
  <c r="X1198" i="3"/>
  <c r="D1198" i="3"/>
  <c r="F1199" i="3" s="1"/>
  <c r="X1195" i="14"/>
  <c r="E1195" i="14"/>
  <c r="D1195" i="14"/>
  <c r="C1195" i="14"/>
  <c r="B1195" i="14"/>
  <c r="A1195" i="14"/>
  <c r="L205" i="13"/>
  <c r="A205" i="13"/>
  <c r="X1197" i="3"/>
  <c r="D1197" i="3"/>
  <c r="F1198" i="3" s="1"/>
  <c r="G1198" i="3" s="1"/>
  <c r="X1194" i="14"/>
  <c r="E1194" i="14"/>
  <c r="D1194" i="14"/>
  <c r="C1194" i="14"/>
  <c r="B1194" i="14"/>
  <c r="A1194" i="14"/>
  <c r="L204" i="13"/>
  <c r="A204" i="13"/>
  <c r="X1196" i="3"/>
  <c r="D1196" i="3"/>
  <c r="F1197" i="3" s="1"/>
  <c r="G1197" i="3" s="1"/>
  <c r="J51" i="8"/>
  <c r="G1199" i="3" l="1"/>
  <c r="F1196" i="14"/>
  <c r="H1197" i="14" s="1"/>
  <c r="I1197" i="14" s="1"/>
  <c r="L1198" i="3"/>
  <c r="Y1198" i="3"/>
  <c r="Z1198" i="3" s="1"/>
  <c r="AA1198" i="3" s="1"/>
  <c r="F1195" i="14"/>
  <c r="H1196" i="14" s="1"/>
  <c r="I1196" i="14" s="1"/>
  <c r="L1197" i="3"/>
  <c r="Y1197" i="3"/>
  <c r="Z1197" i="3" s="1"/>
  <c r="AA1197" i="3" s="1"/>
  <c r="F1194" i="14"/>
  <c r="H1195" i="14" s="1"/>
  <c r="I1195" i="14" s="1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L1197" i="14" l="1"/>
  <c r="Y1197" i="14"/>
  <c r="Z1197" i="14" s="1"/>
  <c r="AA1197" i="14" s="1"/>
  <c r="L1199" i="3"/>
  <c r="Y1199" i="3"/>
  <c r="Z1199" i="3" s="1"/>
  <c r="AA1199" i="3" s="1"/>
  <c r="L1196" i="14"/>
  <c r="Y1196" i="14"/>
  <c r="Z1196" i="14" s="1"/>
  <c r="AA1196" i="14" s="1"/>
  <c r="I1192" i="3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Y1195" i="14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G1196" i="14" s="1"/>
  <c r="G1197" i="14" s="1"/>
  <c r="G1198" i="14" s="1"/>
  <c r="G1199" i="14" s="1"/>
  <c r="G1200" i="14" s="1"/>
  <c r="G1201" i="14" s="1"/>
  <c r="G1202" i="14" s="1"/>
  <c r="L1192" i="3"/>
  <c r="Y1192" i="3"/>
  <c r="Z1192" i="3" s="1"/>
  <c r="AA1192" i="3" s="1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O9" i="16" l="1"/>
  <c r="K1205" i="3"/>
  <c r="L1194" i="14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I1191" i="14" l="1"/>
  <c r="J1191" i="14"/>
  <c r="J1192" i="14" s="1"/>
  <c r="J1193" i="14" s="1"/>
  <c r="J1194" i="14" s="1"/>
  <c r="J1195" i="14" s="1"/>
  <c r="J1196" i="14" s="1"/>
  <c r="J1197" i="14" s="1"/>
  <c r="J1198" i="14" s="1"/>
  <c r="J1199" i="14" s="1"/>
  <c r="J1200" i="14" s="1"/>
  <c r="J1201" i="14" s="1"/>
  <c r="J1202" i="14" s="1"/>
  <c r="L1191" i="14" l="1"/>
  <c r="Y1191" i="14"/>
  <c r="Z1191" i="14" s="1"/>
  <c r="AA1191" i="14" s="1"/>
  <c r="X1185" i="14" l="1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AC1205" i="3" s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l="1"/>
  <c r="Q1205" i="3"/>
  <c r="R1205" i="3" s="1"/>
  <c r="G1175" i="3"/>
  <c r="AC1204" i="3" s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X1170" i="14"/>
  <c r="E1170" i="14"/>
  <c r="D1170" i="14"/>
  <c r="C1170" i="14"/>
  <c r="B1170" i="14"/>
  <c r="A1170" i="14"/>
  <c r="L180" i="13"/>
  <c r="A180" i="13"/>
  <c r="X1172" i="3"/>
  <c r="D1172" i="3"/>
  <c r="X1169" i="14"/>
  <c r="E1169" i="14"/>
  <c r="D1169" i="14"/>
  <c r="C1169" i="14"/>
  <c r="B1169" i="14"/>
  <c r="A1169" i="14"/>
  <c r="L179" i="13"/>
  <c r="A179" i="13"/>
  <c r="X1171" i="3"/>
  <c r="D1171" i="3"/>
  <c r="F1174" i="3" l="1"/>
  <c r="Q1204" i="3"/>
  <c r="R1204" i="3" s="1"/>
  <c r="F1173" i="3"/>
  <c r="G1173" i="3" s="1"/>
  <c r="Q1203" i="3"/>
  <c r="R1203" i="3" s="1"/>
  <c r="F1172" i="3"/>
  <c r="G1172" i="3" s="1"/>
  <c r="Q1202" i="3"/>
  <c r="R1202" i="3" s="1"/>
  <c r="G1174" i="3"/>
  <c r="F1171" i="14"/>
  <c r="L1173" i="3"/>
  <c r="Y1173" i="3"/>
  <c r="Z1173" i="3" s="1"/>
  <c r="AA1173" i="3" s="1"/>
  <c r="F1170" i="14"/>
  <c r="L1172" i="3"/>
  <c r="Y1172" i="3"/>
  <c r="Z1172" i="3" s="1"/>
  <c r="AA1172" i="3" s="1"/>
  <c r="F1169" i="14"/>
  <c r="H1172" i="14" l="1"/>
  <c r="I1172" i="14" s="1"/>
  <c r="Q1202" i="14"/>
  <c r="R1202" i="14" s="1"/>
  <c r="H1171" i="14"/>
  <c r="I1171" i="14" s="1"/>
  <c r="AC1202" i="14" s="1"/>
  <c r="Q1201" i="14"/>
  <c r="R1201" i="14" s="1"/>
  <c r="AC1201" i="3"/>
  <c r="AC1203" i="3"/>
  <c r="H1170" i="14"/>
  <c r="I1170" i="14" s="1"/>
  <c r="AC1201" i="14" s="1"/>
  <c r="Q1200" i="14"/>
  <c r="R1200" i="14" s="1"/>
  <c r="AC1202" i="3"/>
  <c r="Y1172" i="14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 l="1"/>
  <c r="Z1170" i="14" s="1"/>
  <c r="AA1170" i="14" s="1"/>
  <c r="D1170" i="3"/>
  <c r="X1168" i="14"/>
  <c r="E1168" i="14"/>
  <c r="D1168" i="14"/>
  <c r="C1168" i="14"/>
  <c r="B1168" i="14"/>
  <c r="A1168" i="14"/>
  <c r="L178" i="13"/>
  <c r="A178" i="13"/>
  <c r="X1170" i="3"/>
  <c r="F1171" i="3" l="1"/>
  <c r="Q1201" i="3"/>
  <c r="R1201" i="3" s="1"/>
  <c r="G1171" i="3"/>
  <c r="AC1200" i="3" s="1"/>
  <c r="F1168" i="14"/>
  <c r="H1169" i="14" l="1"/>
  <c r="I1169" i="14" s="1"/>
  <c r="AC1200" i="14" s="1"/>
  <c r="Q1199" i="14"/>
  <c r="R1199" i="14" s="1"/>
  <c r="J1169" i="14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l="1"/>
  <c r="Q1200" i="3"/>
  <c r="R1200" i="3" s="1"/>
  <c r="G1170" i="3"/>
  <c r="L1170" i="3" l="1"/>
  <c r="AC1199" i="3"/>
  <c r="Y1170" i="3"/>
  <c r="Z1170" i="3" s="1"/>
  <c r="AA1170" i="3" s="1"/>
  <c r="X1167" i="14"/>
  <c r="E1167" i="14"/>
  <c r="D1167" i="14"/>
  <c r="C1167" i="14"/>
  <c r="B1167" i="14"/>
  <c r="F1167" i="14" s="1"/>
  <c r="A1167" i="14"/>
  <c r="L177" i="13"/>
  <c r="A177" i="13"/>
  <c r="H1168" i="14" l="1"/>
  <c r="I1168" i="14" s="1"/>
  <c r="AC1199" i="14" s="1"/>
  <c r="Q1198" i="14"/>
  <c r="R1198" i="14" s="1"/>
  <c r="Y1168" i="14"/>
  <c r="Z1168" i="14" s="1"/>
  <c r="AA1168" i="14" s="1"/>
  <c r="L1168" i="14" l="1"/>
  <c r="X1166" i="14"/>
  <c r="E1166" i="14"/>
  <c r="D1166" i="14"/>
  <c r="C1166" i="14"/>
  <c r="B1166" i="14"/>
  <c r="A1166" i="14"/>
  <c r="L176" i="13"/>
  <c r="A176" i="13"/>
  <c r="X1168" i="3"/>
  <c r="D1168" i="3"/>
  <c r="Q1199" i="3" s="1"/>
  <c r="R1199" i="3" s="1"/>
  <c r="X1165" i="14"/>
  <c r="E1165" i="14"/>
  <c r="D1165" i="14"/>
  <c r="C1165" i="14"/>
  <c r="B1165" i="14"/>
  <c r="A1165" i="14"/>
  <c r="L175" i="13"/>
  <c r="A175" i="13"/>
  <c r="X1167" i="3"/>
  <c r="D1167" i="3"/>
  <c r="F1168" i="3" l="1"/>
  <c r="Q1198" i="3"/>
  <c r="R1198" i="3" s="1"/>
  <c r="E1169" i="3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F1169" i="3"/>
  <c r="G1168" i="3"/>
  <c r="F1166" i="14"/>
  <c r="F1165" i="14"/>
  <c r="H1167" i="14" l="1"/>
  <c r="I1167" i="14" s="1"/>
  <c r="AC1198" i="14" s="1"/>
  <c r="Q1197" i="14"/>
  <c r="R1197" i="14" s="1"/>
  <c r="H1166" i="14"/>
  <c r="I1166" i="14" s="1"/>
  <c r="AC1197" i="14" s="1"/>
  <c r="Q1196" i="14"/>
  <c r="R1196" i="14" s="1"/>
  <c r="L1168" i="3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205" i="3" l="1"/>
  <c r="P1205" i="3"/>
  <c r="P1204" i="3"/>
  <c r="O1204" i="3"/>
  <c r="O1203" i="3"/>
  <c r="P1203" i="3"/>
  <c r="O1202" i="3"/>
  <c r="P1202" i="3"/>
  <c r="O1201" i="3"/>
  <c r="P1201" i="3"/>
  <c r="O1200" i="3"/>
  <c r="P1200" i="3"/>
  <c r="O1199" i="3"/>
  <c r="P1199" i="3"/>
  <c r="O1198" i="3"/>
  <c r="AC1198" i="3"/>
  <c r="P1198" i="3"/>
  <c r="O1197" i="3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N1205" i="3" s="1"/>
  <c r="X1164" i="14"/>
  <c r="E1164" i="14"/>
  <c r="D1164" i="14"/>
  <c r="C1164" i="14"/>
  <c r="B1164" i="14"/>
  <c r="A1164" i="14"/>
  <c r="L174" i="13"/>
  <c r="A174" i="13"/>
  <c r="X1166" i="3"/>
  <c r="D1166" i="3"/>
  <c r="W1205" i="3" l="1"/>
  <c r="W1204" i="3"/>
  <c r="N1203" i="3"/>
  <c r="N1204" i="3"/>
  <c r="W1203" i="3"/>
  <c r="N1201" i="3"/>
  <c r="N1202" i="3"/>
  <c r="W1202" i="3"/>
  <c r="W1201" i="3"/>
  <c r="N1199" i="3"/>
  <c r="N1200" i="3"/>
  <c r="W1200" i="3"/>
  <c r="W1199" i="3"/>
  <c r="N1197" i="3"/>
  <c r="N1198" i="3"/>
  <c r="W1198" i="3"/>
  <c r="F1167" i="3"/>
  <c r="G1167" i="3" s="1"/>
  <c r="AC1196" i="3" s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F1164" i="14"/>
  <c r="H1165" i="14" l="1"/>
  <c r="I1165" i="14" s="1"/>
  <c r="AC1196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L1165" i="14" l="1"/>
  <c r="Y1165" i="14"/>
  <c r="Z1165" i="14" s="1"/>
  <c r="AA1165" i="14" s="1"/>
  <c r="F1166" i="3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K1176" i="3"/>
  <c r="K1177" i="3" s="1"/>
  <c r="K1178" i="3" s="1"/>
  <c r="K1179" i="3" s="1"/>
  <c r="G1166" i="3"/>
  <c r="AC1195" i="3" s="1"/>
  <c r="F1163" i="14"/>
  <c r="O8" i="16" l="1"/>
  <c r="Q8" i="16" s="1"/>
  <c r="J1205" i="3"/>
  <c r="H1164" i="14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O10" i="16" l="1"/>
  <c r="Q10" i="16" s="1"/>
  <c r="L1164" i="14"/>
  <c r="Y1164" i="14"/>
  <c r="Z1164" i="14" s="1"/>
  <c r="AA1164" i="14" s="1"/>
  <c r="F1165" i="3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Y1159" i="14" l="1"/>
  <c r="Z1159" i="14" s="1"/>
  <c r="AA1159" i="14" s="1"/>
  <c r="L1159" i="14"/>
  <c r="H1158" i="14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A649" i="18" s="1"/>
  <c r="A650" i="18" s="1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G1157" i="3" s="1"/>
  <c r="AC1186" i="3" s="1"/>
  <c r="Q1187" i="3"/>
  <c r="R1187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S1205" i="3" s="1"/>
  <c r="T1205" i="3" s="1"/>
  <c r="X1115" i="14"/>
  <c r="E1115" i="14"/>
  <c r="D1115" i="14"/>
  <c r="C1115" i="14"/>
  <c r="B1115" i="14"/>
  <c r="A1115" i="14"/>
  <c r="L123" i="13"/>
  <c r="A123" i="13"/>
  <c r="X1115" i="3"/>
  <c r="D1115" i="3"/>
  <c r="S1204" i="3" s="1"/>
  <c r="T1204" i="3" s="1"/>
  <c r="X1114" i="14"/>
  <c r="E1114" i="14"/>
  <c r="D1114" i="14"/>
  <c r="C1114" i="14"/>
  <c r="B1114" i="14"/>
  <c r="A1114" i="14"/>
  <c r="L122" i="13"/>
  <c r="A122" i="13"/>
  <c r="X1114" i="3"/>
  <c r="D1114" i="3"/>
  <c r="S1203" i="3" s="1"/>
  <c r="T1203" i="3" s="1"/>
  <c r="X1113" i="14"/>
  <c r="E1113" i="14"/>
  <c r="D1113" i="14"/>
  <c r="C1113" i="14"/>
  <c r="B1113" i="14"/>
  <c r="A1113" i="14"/>
  <c r="L121" i="13"/>
  <c r="A121" i="13"/>
  <c r="X1113" i="3"/>
  <c r="D1113" i="3"/>
  <c r="S1202" i="3" s="1"/>
  <c r="T1202" i="3" s="1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S1201" i="3" s="1"/>
  <c r="T1201" i="3" s="1"/>
  <c r="X1111" i="14"/>
  <c r="E1111" i="14"/>
  <c r="D1111" i="14"/>
  <c r="C1111" i="14"/>
  <c r="B1111" i="14"/>
  <c r="A1111" i="14"/>
  <c r="L119" i="13"/>
  <c r="A119" i="13"/>
  <c r="X1111" i="3"/>
  <c r="D1111" i="3"/>
  <c r="S1200" i="3" s="1"/>
  <c r="T1200" i="3" s="1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S1202" i="14" s="1"/>
  <c r="T1202" i="14" s="1"/>
  <c r="X1110" i="14"/>
  <c r="E1110" i="14"/>
  <c r="D1110" i="14"/>
  <c r="C1110" i="14"/>
  <c r="B1110" i="14"/>
  <c r="A1110" i="14"/>
  <c r="L118" i="13"/>
  <c r="A118" i="13"/>
  <c r="X1110" i="3"/>
  <c r="D1110" i="3"/>
  <c r="S1199" i="3" s="1"/>
  <c r="T1199" i="3" s="1"/>
  <c r="X1109" i="14"/>
  <c r="E1109" i="14"/>
  <c r="D1109" i="14"/>
  <c r="C1109" i="14"/>
  <c r="B1109" i="14"/>
  <c r="F1109" i="14" s="1"/>
  <c r="A1109" i="14"/>
  <c r="L117" i="13"/>
  <c r="A117" i="13"/>
  <c r="X1109" i="3"/>
  <c r="D1109" i="3"/>
  <c r="S1198" i="3" s="1"/>
  <c r="T1198" i="3" s="1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L1116" i="3" l="1"/>
  <c r="Q1140" i="14"/>
  <c r="R1140" i="14" s="1"/>
  <c r="S1200" i="14"/>
  <c r="T1200" i="14" s="1"/>
  <c r="T1189" i="3"/>
  <c r="Q1134" i="14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AD1205" i="3" s="1"/>
  <c r="H1117" i="3"/>
  <c r="H1118" i="3" s="1"/>
  <c r="H1119" i="3" s="1"/>
  <c r="H1120" i="3" s="1"/>
  <c r="H1121" i="3" s="1"/>
  <c r="G1112" i="3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AD1200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S1201" i="14" s="1"/>
  <c r="T1201" i="14" s="1"/>
  <c r="L111" i="13"/>
  <c r="L115" i="13"/>
  <c r="Q1110" i="3"/>
  <c r="R1110" i="3" s="1"/>
  <c r="Q1105" i="3"/>
  <c r="R1105" i="3" s="1"/>
  <c r="F1108" i="14"/>
  <c r="S1199" i="14" s="1"/>
  <c r="T1199" i="14" s="1"/>
  <c r="Q1108" i="3"/>
  <c r="R1108" i="3" s="1"/>
  <c r="Q1107" i="3"/>
  <c r="R1107" i="3" s="1"/>
  <c r="F1107" i="14"/>
  <c r="S1198" i="14" s="1"/>
  <c r="T1198" i="14" s="1"/>
  <c r="Q1105" i="14"/>
  <c r="R1105" i="14" s="1"/>
  <c r="F1106" i="14"/>
  <c r="S1197" i="14" s="1"/>
  <c r="T1197" i="14" s="1"/>
  <c r="Q1106" i="3"/>
  <c r="R1106" i="3" s="1"/>
  <c r="F1105" i="14"/>
  <c r="S1196" i="14" s="1"/>
  <c r="T1196" i="14" s="1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AD1204" i="3" l="1"/>
  <c r="AD1202" i="3"/>
  <c r="AD1203" i="3"/>
  <c r="L1112" i="3"/>
  <c r="AD1201" i="3"/>
  <c r="AD1199" i="3"/>
  <c r="AD1198" i="3"/>
  <c r="L1108" i="3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C1142" i="14" l="1"/>
  <c r="AD1202" i="14"/>
  <c r="AD1201" i="14"/>
  <c r="AD1199" i="14"/>
  <c r="AD1200" i="14"/>
  <c r="AD1198" i="14"/>
  <c r="Y1106" i="14"/>
  <c r="Z1106" i="14" s="1"/>
  <c r="AA1106" i="14" s="1"/>
  <c r="AD1197" i="14"/>
  <c r="L1105" i="14"/>
  <c r="AD1196" i="14"/>
  <c r="AD1195" i="14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F18" i="16" s="1"/>
  <c r="F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U1202" i="14" s="1"/>
  <c r="V1202" i="14" s="1"/>
  <c r="X835" i="14"/>
  <c r="F835" i="14"/>
  <c r="X834" i="14"/>
  <c r="F834" i="14"/>
  <c r="X833" i="14"/>
  <c r="F833" i="14"/>
  <c r="X832" i="14"/>
  <c r="F832" i="14"/>
  <c r="X831" i="14"/>
  <c r="F831" i="14"/>
  <c r="X830" i="14"/>
  <c r="F830" i="14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24" i="14" l="1"/>
  <c r="T924" i="14" s="1"/>
  <c r="U1201" i="14"/>
  <c r="V1201" i="14" s="1"/>
  <c r="S923" i="14"/>
  <c r="T923" i="14" s="1"/>
  <c r="U1200" i="14"/>
  <c r="V1200" i="14" s="1"/>
  <c r="S922" i="14"/>
  <c r="T922" i="14" s="1"/>
  <c r="U1199" i="14"/>
  <c r="V1199" i="14" s="1"/>
  <c r="H833" i="14"/>
  <c r="I833" i="14" s="1"/>
  <c r="U1198" i="14"/>
  <c r="V1198" i="14" s="1"/>
  <c r="S920" i="14"/>
  <c r="T920" i="14" s="1"/>
  <c r="U1197" i="14"/>
  <c r="V1197" i="14" s="1"/>
  <c r="S919" i="14"/>
  <c r="T919" i="14" s="1"/>
  <c r="U1196" i="14"/>
  <c r="V1196" i="14" s="1"/>
  <c r="S918" i="14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Y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Y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L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Y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04" i="14" l="1"/>
  <c r="L795" i="14"/>
  <c r="L834" i="14"/>
  <c r="L818" i="14"/>
  <c r="Y832" i="14"/>
  <c r="Z944" i="14"/>
  <c r="AA944" i="14" s="1"/>
  <c r="Y831" i="14"/>
  <c r="L824" i="14"/>
  <c r="J824" i="14"/>
  <c r="L829" i="14"/>
  <c r="L827" i="14"/>
  <c r="Y805" i="14"/>
  <c r="Z805" i="14" s="1"/>
  <c r="AA805" i="14" s="1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9" i="14" l="1"/>
  <c r="AA949" i="14" s="1"/>
  <c r="Z948" i="14"/>
  <c r="AA948" i="14" s="1"/>
  <c r="Z947" i="14"/>
  <c r="AA947" i="14" s="1"/>
  <c r="Z946" i="14"/>
  <c r="AA946" i="14" s="1"/>
  <c r="Z945" i="14"/>
  <c r="AA945" i="14" s="1"/>
  <c r="Z943" i="14"/>
  <c r="AA943" i="14" s="1"/>
  <c r="Z942" i="14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K1197" i="14" s="1"/>
  <c r="K1198" i="14" s="1"/>
  <c r="K1199" i="14" s="1"/>
  <c r="K1200" i="14" s="1"/>
  <c r="K1201" i="14" s="1"/>
  <c r="K1202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202" i="14" l="1"/>
  <c r="O1202" i="14"/>
  <c r="P1202" i="14"/>
  <c r="AE1201" i="14"/>
  <c r="O1201" i="14"/>
  <c r="P1201" i="14"/>
  <c r="AE1200" i="14"/>
  <c r="O1200" i="14"/>
  <c r="P1200" i="14"/>
  <c r="AE1199" i="14"/>
  <c r="O1199" i="14"/>
  <c r="P1199" i="14"/>
  <c r="AE1198" i="14"/>
  <c r="O1198" i="14"/>
  <c r="P1198" i="14"/>
  <c r="AE1197" i="14"/>
  <c r="O1197" i="14"/>
  <c r="P1197" i="14"/>
  <c r="AE1196" i="14"/>
  <c r="O1196" i="14"/>
  <c r="P1196" i="14"/>
  <c r="AE1195" i="14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202" i="14" l="1"/>
  <c r="N1202" i="14"/>
  <c r="W1202" i="14"/>
  <c r="M1200" i="14"/>
  <c r="M1201" i="14"/>
  <c r="N1201" i="14"/>
  <c r="W1201" i="14"/>
  <c r="N1200" i="14"/>
  <c r="W1200" i="14"/>
  <c r="M1198" i="14"/>
  <c r="M1199" i="14"/>
  <c r="N1199" i="14"/>
  <c r="W1199" i="14"/>
  <c r="N1198" i="14"/>
  <c r="W1198" i="14"/>
  <c r="N1197" i="14"/>
  <c r="W1197" i="14"/>
  <c r="M1197" i="14"/>
  <c r="M1196" i="14"/>
  <c r="N1196" i="14"/>
  <c r="W1196" i="14"/>
  <c r="M1194" i="14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202" i="14" l="1"/>
  <c r="AB1201" i="14"/>
  <c r="AB1200" i="14"/>
  <c r="AB1199" i="14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30" i="3" l="1"/>
  <c r="T930" i="3" s="1"/>
  <c r="U1205" i="3"/>
  <c r="V1205" i="3" s="1"/>
  <c r="S929" i="3"/>
  <c r="T929" i="3" s="1"/>
  <c r="U1204" i="3"/>
  <c r="V1204" i="3" s="1"/>
  <c r="S928" i="3"/>
  <c r="T928" i="3" s="1"/>
  <c r="U1203" i="3"/>
  <c r="V1203" i="3" s="1"/>
  <c r="S927" i="3"/>
  <c r="T927" i="3" s="1"/>
  <c r="U1202" i="3"/>
  <c r="V1202" i="3" s="1"/>
  <c r="S926" i="3"/>
  <c r="T926" i="3" s="1"/>
  <c r="U1201" i="3"/>
  <c r="V1201" i="3" s="1"/>
  <c r="S925" i="3"/>
  <c r="T925" i="3" s="1"/>
  <c r="U1200" i="3"/>
  <c r="V1200" i="3" s="1"/>
  <c r="S924" i="3"/>
  <c r="T924" i="3" s="1"/>
  <c r="U1199" i="3"/>
  <c r="V1199" i="3" s="1"/>
  <c r="S923" i="3"/>
  <c r="T923" i="3" s="1"/>
  <c r="U1198" i="3"/>
  <c r="V1198" i="3" s="1"/>
  <c r="S922" i="3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Y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Y819" i="3" l="1"/>
  <c r="L814" i="3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205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204" i="3" l="1"/>
  <c r="AE1202" i="3"/>
  <c r="AE1203" i="3"/>
  <c r="AE1200" i="3"/>
  <c r="AE1201" i="3"/>
  <c r="AE1198" i="3"/>
  <c r="AE1199" i="3"/>
  <c r="AE1195" i="3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L941" i="3"/>
  <c r="Y941" i="3"/>
  <c r="L947" i="3"/>
  <c r="Y947" i="3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L923" i="3"/>
  <c r="Y923" i="3"/>
  <c r="L919" i="3"/>
  <c r="Y919" i="3"/>
  <c r="L915" i="3"/>
  <c r="Y915" i="3"/>
  <c r="L951" i="3"/>
  <c r="Y951" i="3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54" i="3" l="1"/>
  <c r="AA954" i="3" s="1"/>
  <c r="AB1205" i="3"/>
  <c r="Z953" i="3"/>
  <c r="AA953" i="3" s="1"/>
  <c r="AB1204" i="3"/>
  <c r="Z952" i="3"/>
  <c r="AA952" i="3" s="1"/>
  <c r="AB1203" i="3"/>
  <c r="Z951" i="3"/>
  <c r="AA951" i="3" s="1"/>
  <c r="AB1202" i="3"/>
  <c r="Z950" i="3"/>
  <c r="AA950" i="3" s="1"/>
  <c r="AB1201" i="3"/>
  <c r="Z949" i="3"/>
  <c r="AA949" i="3" s="1"/>
  <c r="AB1200" i="3"/>
  <c r="Z948" i="3"/>
  <c r="AA948" i="3" s="1"/>
  <c r="AB1199" i="3" s="1"/>
  <c r="Z947" i="3"/>
  <c r="AA947" i="3" s="1"/>
  <c r="AB1198" i="3" s="1"/>
  <c r="Z946" i="3"/>
  <c r="AA946" i="3" s="1"/>
  <c r="Z945" i="3"/>
  <c r="AA945" i="3" s="1"/>
  <c r="Z944" i="3"/>
  <c r="AA944" i="3" s="1"/>
  <c r="Z943" i="3"/>
  <c r="AA943" i="3" s="1"/>
  <c r="Z942" i="3"/>
  <c r="AA942" i="3" s="1"/>
  <c r="Z941" i="3"/>
  <c r="AA941" i="3" s="1"/>
  <c r="Z940" i="3"/>
  <c r="AA940" i="3" s="1"/>
  <c r="Z939" i="3"/>
  <c r="AA939" i="3" s="1"/>
  <c r="Z938" i="3"/>
  <c r="AA938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93" i="3" l="1"/>
  <c r="AB1194" i="3"/>
  <c r="AB1196" i="3"/>
  <c r="AB1195" i="3"/>
  <c r="AB1197" i="3"/>
  <c r="AB1190" i="3"/>
  <c r="AB1192" i="3"/>
  <c r="AB1189" i="3"/>
  <c r="AB1191" i="3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205" i="3" l="1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<sst xmlns="http://schemas.openxmlformats.org/spreadsheetml/2006/main" count="769" uniqueCount="349">
  <si>
    <t>Overall Portfolio</t>
  </si>
  <si>
    <t xml:space="preserve">As of </t>
  </si>
  <si>
    <t>Current Month</t>
  </si>
  <si>
    <t>WTD</t>
  </si>
  <si>
    <t>MTD</t>
  </si>
  <si>
    <t>YTD</t>
  </si>
  <si>
    <t>Key Perf. Metrics</t>
  </si>
  <si>
    <t>Key Execution Metrics</t>
  </si>
  <si>
    <t>Daily Return</t>
  </si>
  <si>
    <t>NAV (Net Liquidity)</t>
  </si>
  <si>
    <t>Leverage</t>
  </si>
  <si>
    <t>Excess Liquidity</t>
  </si>
  <si>
    <t>Return (30days)</t>
  </si>
  <si>
    <t>Excess Liquidity/NAV</t>
  </si>
  <si>
    <t>Return (90days)</t>
  </si>
  <si>
    <t>Return (365days)</t>
  </si>
  <si>
    <t>To Allocate</t>
  </si>
  <si>
    <t>Sharpe Ratio</t>
  </si>
  <si>
    <t>Sotino Ratio</t>
  </si>
  <si>
    <t xml:space="preserve">Volatility </t>
  </si>
  <si>
    <t>VaR 95% (30days)</t>
  </si>
  <si>
    <t>VaR 95% (90days)</t>
  </si>
  <si>
    <t>VaR 95% (365days)</t>
  </si>
  <si>
    <t>Performance by Asset Class</t>
  </si>
  <si>
    <t>Asset Class</t>
  </si>
  <si>
    <t>ETFs</t>
  </si>
  <si>
    <t>Stocks</t>
  </si>
  <si>
    <t>Stocks_int</t>
  </si>
  <si>
    <t>Bonds</t>
  </si>
  <si>
    <t>Commodities</t>
  </si>
  <si>
    <t>Future</t>
  </si>
  <si>
    <t>Option</t>
  </si>
  <si>
    <t>Crypto</t>
  </si>
  <si>
    <t>Others</t>
  </si>
  <si>
    <t>Total</t>
  </si>
  <si>
    <t>QQQ+TSM+NVDA</t>
  </si>
  <si>
    <t>gld</t>
  </si>
  <si>
    <t>No of investment</t>
  </si>
  <si>
    <t>Total Value (USD)</t>
  </si>
  <si>
    <t>Total Weightage</t>
  </si>
  <si>
    <t>Total Leverage</t>
  </si>
  <si>
    <t>Target Allocation</t>
  </si>
  <si>
    <t>Monthly Attribution (Gross USD)</t>
  </si>
  <si>
    <t>Month</t>
  </si>
  <si>
    <t>Interest and Dividend</t>
  </si>
  <si>
    <t>checking</t>
  </si>
  <si>
    <t>FY2025</t>
  </si>
  <si>
    <t>FY2024</t>
  </si>
  <si>
    <t>Monthly Attribution (Gross %)</t>
  </si>
  <si>
    <t>DATE</t>
  </si>
  <si>
    <t>NAV (USD)</t>
  </si>
  <si>
    <t>CASH INJECTION</t>
  </si>
  <si>
    <t>NEXT START NAV</t>
  </si>
  <si>
    <t>M START NAV</t>
  </si>
  <si>
    <t>DAILY P&amp;L</t>
  </si>
  <si>
    <t>Weekly P&amp;L</t>
  </si>
  <si>
    <t>Weekly Return</t>
  </si>
  <si>
    <t>MTD Change</t>
  </si>
  <si>
    <t>MTD %</t>
  </si>
  <si>
    <t>Cal</t>
  </si>
  <si>
    <t>LTD  ROR%</t>
  </si>
  <si>
    <t>YTD  ROR%</t>
  </si>
  <si>
    <t xml:space="preserve">Annualised Return  </t>
  </si>
  <si>
    <t>Annualised Volatility</t>
  </si>
  <si>
    <t>30 Days P&amp;L</t>
  </si>
  <si>
    <t>30 Days Return</t>
  </si>
  <si>
    <t>90 Days P&amp;L</t>
  </si>
  <si>
    <t>90 Days Return</t>
  </si>
  <si>
    <t>365 Days P&amp;L</t>
  </si>
  <si>
    <t>365 Days Return</t>
  </si>
  <si>
    <t>Risk Free Rate (Assumed 4.5%)</t>
  </si>
  <si>
    <t>Excess Return</t>
  </si>
  <si>
    <t>Negative Excess Returns</t>
  </si>
  <si>
    <t>Square of (Negative Excess Returns)</t>
  </si>
  <si>
    <t>Value at Risk 95%(30days)</t>
  </si>
  <si>
    <t>Value at Risk 95%(90days)</t>
  </si>
  <si>
    <t>Value at Risk 95%(365days)</t>
  </si>
  <si>
    <t xml:space="preserve"> </t>
  </si>
  <si>
    <t>Mark to Market Breakdown</t>
  </si>
  <si>
    <t>Symbol</t>
  </si>
  <si>
    <t>AssetClass</t>
  </si>
  <si>
    <t>Currency</t>
  </si>
  <si>
    <t>Current Quantity</t>
  </si>
  <si>
    <t>Current Price</t>
  </si>
  <si>
    <t>FCY_marketvalue</t>
  </si>
  <si>
    <t>Conversion Rate</t>
  </si>
  <si>
    <t>Final_marketvalue</t>
  </si>
  <si>
    <t>Weightage</t>
  </si>
  <si>
    <t>SGOV</t>
  </si>
  <si>
    <t>USD</t>
  </si>
  <si>
    <t>Date</t>
  </si>
  <si>
    <t>Others2</t>
  </si>
  <si>
    <t>Performance Comparisons</t>
  </si>
  <si>
    <t>Global Macro Discretionary Fund Breakdowns</t>
  </si>
  <si>
    <t>Monthly NAV Breakdowns</t>
  </si>
  <si>
    <t>Us v.s Benchmarks</t>
  </si>
  <si>
    <t>Description</t>
  </si>
  <si>
    <t>Week 1</t>
  </si>
  <si>
    <t>Week 2</t>
  </si>
  <si>
    <t>Week 3</t>
  </si>
  <si>
    <t>Week 4</t>
  </si>
  <si>
    <t>Week 5</t>
  </si>
  <si>
    <t xml:space="preserve">Daily </t>
  </si>
  <si>
    <t>Inhouse</t>
  </si>
  <si>
    <t>Quantedge</t>
  </si>
  <si>
    <t xml:space="preserve">Starting Value </t>
  </si>
  <si>
    <t>Straits Multi-Asset Macro Strategy</t>
  </si>
  <si>
    <t xml:space="preserve">Deposits &amp; Withdrawals </t>
  </si>
  <si>
    <t xml:space="preserve">Singapore-based Global Macro Fund </t>
  </si>
  <si>
    <t>NA</t>
  </si>
  <si>
    <t>SPX Index</t>
  </si>
  <si>
    <t>S&amp;P 500 Index</t>
  </si>
  <si>
    <t>Allocation</t>
  </si>
  <si>
    <t>Equities</t>
  </si>
  <si>
    <t>NDX Index</t>
  </si>
  <si>
    <t>Nasdaq-100 Index</t>
  </si>
  <si>
    <t>Daily P&amp;L</t>
  </si>
  <si>
    <t>Fixed Income</t>
  </si>
  <si>
    <t>MXWO Index</t>
  </si>
  <si>
    <t>MSCI World Index</t>
  </si>
  <si>
    <t>MTD P&amp;L before fee</t>
  </si>
  <si>
    <t>Cash</t>
  </si>
  <si>
    <t>SBWGU Index</t>
  </si>
  <si>
    <t xml:space="preserve">FTSE World Government Bond Index </t>
  </si>
  <si>
    <t>MTD P&amp;L before fee (%)</t>
  </si>
  <si>
    <t>Total Trading P&amp;L</t>
  </si>
  <si>
    <t>BCOM Index</t>
  </si>
  <si>
    <t xml:space="preserve"> Bloomberg Commodity Index</t>
  </si>
  <si>
    <t>Ending Value</t>
  </si>
  <si>
    <t>Interest and Dividend related</t>
  </si>
  <si>
    <t>Hardcode</t>
  </si>
  <si>
    <t>Other Trading Cost</t>
  </si>
  <si>
    <t>start date</t>
  </si>
  <si>
    <t>Quantedge NAV</t>
  </si>
  <si>
    <t>nav</t>
  </si>
  <si>
    <t>end date</t>
  </si>
  <si>
    <t>buy and hold</t>
  </si>
  <si>
    <t>qe</t>
  </si>
  <si>
    <t>Change in NAV</t>
  </si>
  <si>
    <t>Header</t>
  </si>
  <si>
    <t>Field Name</t>
  </si>
  <si>
    <t>Field Value</t>
  </si>
  <si>
    <t>Data</t>
  </si>
  <si>
    <t>Starting Value</t>
  </si>
  <si>
    <t>Mark-to-Market</t>
  </si>
  <si>
    <t>Dividends</t>
  </si>
  <si>
    <t>Withholding Tax</t>
  </si>
  <si>
    <t>Change in Dividend Accruals</t>
  </si>
  <si>
    <t>Interest</t>
  </si>
  <si>
    <t>Change in Interest Accruals</t>
  </si>
  <si>
    <t>Other Fees</t>
  </si>
  <si>
    <t>new_equity</t>
  </si>
  <si>
    <t>Commissions</t>
  </si>
  <si>
    <t>Other FX Translations</t>
  </si>
  <si>
    <t>Dates</t>
  </si>
  <si>
    <t>Previos Month</t>
  </si>
  <si>
    <t>YTD Return (before fees) - TOTAL</t>
  </si>
  <si>
    <t>YTD Return (before fees) - IN-HOUSE BUY AND HOLD</t>
  </si>
  <si>
    <t>YTD Return (before fees) - QE</t>
  </si>
  <si>
    <t>Total (USD)</t>
  </si>
  <si>
    <t>In-House Buy &amp; Hold (USD)</t>
  </si>
  <si>
    <t>QuantEdge (USD)</t>
  </si>
  <si>
    <t>Global Sigma(USD)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</si>
  <si>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</si>
  <si>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</si>
  <si>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</si>
  <si>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</si>
  <si>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</si>
  <si>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</si>
  <si>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</si>
  <si>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</si>
  <si>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NAV(Net Liquidity)</t>
  </si>
  <si>
    <t>Maintenance</t>
  </si>
  <si>
    <t>Alert</t>
  </si>
  <si>
    <t>IB Alert 10%</t>
  </si>
  <si>
    <t>IB Alert 15%</t>
  </si>
  <si>
    <t>Mark-to-Market Performance Summary</t>
  </si>
  <si>
    <t>Quantity</t>
  </si>
  <si>
    <t>Price</t>
  </si>
  <si>
    <t>Mark-to-Market P/L</t>
  </si>
  <si>
    <t>Prior</t>
  </si>
  <si>
    <t>Current</t>
  </si>
  <si>
    <t>Position</t>
  </si>
  <si>
    <t>Transaction</t>
  </si>
  <si>
    <t>Other</t>
  </si>
  <si>
    <t>Code</t>
  </si>
  <si>
    <t>Equity and Index Options</t>
  </si>
  <si>
    <t>2899 27JUN24 17.5 C</t>
  </si>
  <si>
    <t>--</t>
  </si>
  <si>
    <t>2899 27JUN24 18 C</t>
  </si>
  <si>
    <t>700 27JUN24 400 C</t>
  </si>
  <si>
    <t>BNP 14JUN24 60 C</t>
  </si>
  <si>
    <t>BNP 14JUN24 63 C</t>
  </si>
  <si>
    <t>DELL 07JUN24 121 P</t>
  </si>
  <si>
    <t>DELL 07JUN24 125 P</t>
  </si>
  <si>
    <t>DELL 07JUN24 130 P</t>
  </si>
  <si>
    <t>DELL 14JUN24 119 P</t>
  </si>
  <si>
    <t>DELL 14JUN24 120 P</t>
  </si>
  <si>
    <t>DELL 14JUN24 122 P</t>
  </si>
  <si>
    <t>DELL 14JUN24 123 P</t>
  </si>
  <si>
    <t>DELL 14JUN24 126 P</t>
  </si>
  <si>
    <t>EWY 21JUN24 66 C</t>
  </si>
  <si>
    <t>EWY 21JUN24 67 C</t>
  </si>
  <si>
    <t>GLD 31MAY24 217.5 P</t>
  </si>
  <si>
    <t>GLD 07JUN24 217.5 C</t>
  </si>
  <si>
    <t>GLD 07JUN24 220 C</t>
  </si>
  <si>
    <t>BNP</t>
  </si>
  <si>
    <t>GLD 14JUN24 205 P</t>
  </si>
  <si>
    <t>COWZ</t>
  </si>
  <si>
    <t>GLD 14JUN24 207.5 P</t>
  </si>
  <si>
    <t>CWB</t>
  </si>
  <si>
    <t>GLD 14JUN24 212.5 C</t>
  </si>
  <si>
    <t>DBA</t>
  </si>
  <si>
    <t>GLD 14JUN24 215 C</t>
  </si>
  <si>
    <t>DELL</t>
  </si>
  <si>
    <t>GLD 14JUN24 217.5 C</t>
  </si>
  <si>
    <t>DXJ</t>
  </si>
  <si>
    <t>IWM 07JUN24 208 C</t>
  </si>
  <si>
    <t>EPI</t>
  </si>
  <si>
    <t>IWM 14JUN24 206 C</t>
  </si>
  <si>
    <t>EWI</t>
  </si>
  <si>
    <t>IWM 14JUN24 208 C</t>
  </si>
  <si>
    <t>EWY</t>
  </si>
  <si>
    <t>IWM 17JUN24 204 C</t>
  </si>
  <si>
    <t>FPE</t>
  </si>
  <si>
    <t>MCD 14JUN24 265 C</t>
  </si>
  <si>
    <t>GLD</t>
  </si>
  <si>
    <t>QQQ 06JUN24 460 P</t>
  </si>
  <si>
    <t>HES</t>
  </si>
  <si>
    <t>QQQ 07JUN24 458 P</t>
  </si>
  <si>
    <t>IAUM</t>
  </si>
  <si>
    <t>QQQ 07JUN24 460 C</t>
  </si>
  <si>
    <t>ISTB</t>
  </si>
  <si>
    <t>QQQ 10JUN24 458 P</t>
  </si>
  <si>
    <t>IWM</t>
  </si>
  <si>
    <t>QQQ 10JUN24 459 P</t>
  </si>
  <si>
    <t>LQD</t>
  </si>
  <si>
    <t>QQQ 10JUN24 460 P</t>
  </si>
  <si>
    <t>MCD</t>
  </si>
  <si>
    <t>QQQ 11JUN24 459 P</t>
  </si>
  <si>
    <t>NVDA</t>
  </si>
  <si>
    <t>QQQ 11JUN24 460 P</t>
  </si>
  <si>
    <t>QQQ</t>
  </si>
  <si>
    <t>QQQ 11JUN24 461 P</t>
  </si>
  <si>
    <t>SMH</t>
  </si>
  <si>
    <t>QQQ 11JUN24 462 P</t>
  </si>
  <si>
    <t>TLT</t>
  </si>
  <si>
    <t>QQQ 12JUN24 472 C</t>
  </si>
  <si>
    <t>TSM</t>
  </si>
  <si>
    <t>TLT 07JUN24 92.5 C</t>
  </si>
  <si>
    <t>UNG</t>
  </si>
  <si>
    <t>TLT 07JUN24 93 C</t>
  </si>
  <si>
    <t>URNM</t>
  </si>
  <si>
    <t>TSM 14JUN24 170 C</t>
  </si>
  <si>
    <t>USHY</t>
  </si>
  <si>
    <t>XLV 07JUN24 147 C</t>
  </si>
  <si>
    <t>VCIT</t>
  </si>
  <si>
    <t>XLV 07JUN24 147.5 C</t>
  </si>
  <si>
    <t>XLE</t>
  </si>
  <si>
    <t>XLV 07JUN24 148 C</t>
  </si>
  <si>
    <t>XLF</t>
  </si>
  <si>
    <t>XLV 14JUN24 147 C</t>
  </si>
  <si>
    <t>XLK</t>
  </si>
  <si>
    <t>XLV 14JUN24 147.5 C</t>
  </si>
  <si>
    <t>XLU</t>
  </si>
  <si>
    <t>XLV 21JUN24 148 C</t>
  </si>
  <si>
    <t>XLV</t>
  </si>
  <si>
    <t>Total Equity and Index Options</t>
  </si>
  <si>
    <t>XME</t>
  </si>
  <si>
    <t>Futures</t>
  </si>
  <si>
    <t>Total Stocks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</si>
  <si>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</si>
  <si>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</si>
  <si>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</si>
  <si>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</si>
  <si>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</si>
  <si>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</si>
  <si>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</si>
  <si>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</si>
  <si>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</si>
  <si>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</si>
  <si>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</si>
  <si>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</si>
  <si>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</si>
  <si>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</si>
  <si>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</si>
  <si>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</si>
  <si>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</si>
  <si>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</si>
  <si>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</si>
  <si>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</si>
  <si>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</si>
  <si>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</si>
  <si>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</si>
  <si>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</si>
  <si>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</si>
  <si>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</si>
  <si>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</si>
  <si>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</si>
  <si>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</si>
  <si>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</si>
  <si>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</si>
  <si>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</si>
  <si>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Total Forex</t>
  </si>
  <si>
    <t>Total (All Assets)</t>
  </si>
  <si>
    <t>Broker Interest Paid and Received</t>
  </si>
  <si>
    <t>Total P/L for Statement Period</t>
  </si>
  <si>
    <t>10Y</t>
  </si>
  <si>
    <t>30Y</t>
  </si>
  <si>
    <t>30Y price</t>
  </si>
  <si>
    <t>10Y price</t>
  </si>
  <si>
    <t>Interest Accruals</t>
  </si>
  <si>
    <t>Dividend Accruals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</si>
  <si>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</si>
  <si>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</si>
  <si>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</si>
  <si>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</si>
  <si>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</si>
  <si>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</si>
  <si>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</si>
  <si>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IAU</t>
  </si>
  <si>
    <t>JD</t>
  </si>
  <si>
    <t>NEM</t>
  </si>
  <si>
    <t>NTES</t>
  </si>
  <si>
    <t>REGN</t>
  </si>
  <si>
    <t>SGEN</t>
  </si>
  <si>
    <t>TSLA</t>
  </si>
  <si>
    <t>In-House Buy &amp; Hold</t>
  </si>
  <si>
    <t>QuantEdge</t>
  </si>
  <si>
    <t>Global Sigma</t>
  </si>
  <si>
    <t>NOTE:</t>
  </si>
  <si>
    <t>To update "Month Start NAV" of QuantEdge &amp; Global Sigma on 2ND TRADING DATE.</t>
  </si>
  <si>
    <t>MTD Return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</si>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</sst>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0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170" fontId="2" fillId="4" borderId="0" xfId="5" applyFont="1" applyFill="1">
      <alignment vertical="center"/>
    </xf>
    <xf numFmtId="0" fontId="2" fillId="4" borderId="0" xfId="4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3" fillId="0" borderId="0" xfId="0" applyNumberFormat="1" applyFont="1" applyAlignment="1">
      <alignment horizontal="right"/>
    </xf>
    <xf numFmtId="167" fontId="33" fillId="0" borderId="0" xfId="0" applyNumberFormat="1" applyFont="1"/>
    <xf numFmtId="10" fontId="33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3" fillId="15" borderId="0" xfId="0" applyNumberFormat="1" applyFont="1" applyFill="1"/>
    <xf numFmtId="10" fontId="33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3" fillId="0" borderId="0" xfId="4" applyNumberFormat="1" applyFont="1" applyAlignment="1">
      <alignment horizontal="center" vertical="center"/>
    </xf>
    <xf numFmtId="14" fontId="33" fillId="0" borderId="10" xfId="4" applyNumberFormat="1" applyFont="1" applyBorder="1" applyAlignment="1">
      <alignment horizontal="center" vertical="center"/>
    </xf>
    <xf numFmtId="165" fontId="33" fillId="0" borderId="0" xfId="0" applyNumberFormat="1" applyFont="1" applyAlignment="1">
      <alignment horizontal="center"/>
    </xf>
    <xf numFmtId="40" fontId="33" fillId="0" borderId="0" xfId="0" applyNumberFormat="1" applyFont="1" applyAlignment="1">
      <alignment horizontal="right"/>
    </xf>
    <xf numFmtId="165" fontId="33" fillId="0" borderId="10" xfId="0" applyNumberFormat="1" applyFont="1" applyBorder="1" applyAlignment="1">
      <alignment horizontal="center"/>
    </xf>
    <xf numFmtId="40" fontId="33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4" fillId="0" borderId="12" xfId="0" applyFont="1" applyBorder="1" applyAlignment="1">
      <alignment horizontal="center" wrapText="1"/>
    </xf>
    <xf numFmtId="0" fontId="34" fillId="0" borderId="0" xfId="0" applyFont="1" applyAlignment="1">
      <alignment horizontal="center" wrapText="1"/>
    </xf>
    <xf numFmtId="0" fontId="34" fillId="0" borderId="12" xfId="0" applyFont="1" applyBorder="1" applyAlignment="1">
      <alignment horizontal="left" wrapText="1"/>
    </xf>
    <xf numFmtId="0" fontId="34" fillId="0" borderId="13" xfId="0" applyFont="1" applyBorder="1" applyAlignment="1">
      <alignment horizontal="center" wrapText="1"/>
    </xf>
    <xf numFmtId="0" fontId="34" fillId="0" borderId="12" xfId="0" applyFont="1" applyBorder="1" applyAlignment="1">
      <alignment horizontal="right" wrapText="1"/>
    </xf>
    <xf numFmtId="0" fontId="34" fillId="0" borderId="13" xfId="0" applyFont="1" applyBorder="1" applyAlignment="1">
      <alignment horizontal="right" wrapText="1"/>
    </xf>
    <xf numFmtId="0" fontId="34" fillId="0" borderId="0" xfId="0" applyFont="1" applyAlignment="1">
      <alignment horizontal="right" wrapText="1"/>
    </xf>
    <xf numFmtId="0" fontId="35" fillId="0" borderId="12" xfId="0" applyFont="1" applyBorder="1" applyAlignment="1">
      <alignment vertical="top" wrapText="1"/>
    </xf>
    <xf numFmtId="3" fontId="35" fillId="0" borderId="12" xfId="0" applyNumberFormat="1" applyFont="1" applyBorder="1" applyAlignment="1">
      <alignment horizontal="right" vertical="top" wrapText="1"/>
    </xf>
    <xf numFmtId="3" fontId="35" fillId="0" borderId="13" xfId="0" applyNumberFormat="1" applyFont="1" applyBorder="1" applyAlignment="1">
      <alignment horizontal="right" vertical="top" wrapText="1"/>
    </xf>
    <xf numFmtId="0" fontId="35" fillId="0" borderId="12" xfId="0" applyFont="1" applyBorder="1" applyAlignment="1">
      <alignment horizontal="right" vertical="top" wrapText="1"/>
    </xf>
    <xf numFmtId="0" fontId="35" fillId="0" borderId="13" xfId="0" applyFont="1" applyBorder="1" applyAlignment="1">
      <alignment horizontal="right" vertical="top" wrapText="1"/>
    </xf>
    <xf numFmtId="4" fontId="35" fillId="0" borderId="12" xfId="0" applyNumberFormat="1" applyFont="1" applyBorder="1" applyAlignment="1">
      <alignment horizontal="right" vertical="top" wrapText="1"/>
    </xf>
    <xf numFmtId="4" fontId="35" fillId="0" borderId="13" xfId="0" applyNumberFormat="1" applyFont="1" applyBorder="1" applyAlignment="1">
      <alignment horizontal="right" vertical="top" wrapText="1"/>
    </xf>
    <xf numFmtId="0" fontId="35" fillId="0" borderId="0" xfId="0" applyFont="1" applyAlignment="1">
      <alignment horizontal="right" vertical="top" wrapText="1"/>
    </xf>
    <xf numFmtId="0" fontId="36" fillId="0" borderId="12" xfId="0" applyFont="1" applyBorder="1" applyAlignment="1">
      <alignment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7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16" fontId="0" fillId="2" borderId="0" xfId="0" applyNumberFormat="1" applyFill="1"/>
    <xf numFmtId="171" fontId="2" fillId="4" borderId="0" xfId="4" applyNumberFormat="1" applyFont="1" applyFill="1">
      <alignment vertical="center"/>
    </xf>
    <xf numFmtId="43" fontId="1" fillId="0" borderId="0" xfId="3" applyFont="1" applyAlignment="1">
      <alignment horizontal="center" vertical="center"/>
    </xf>
    <xf numFmtId="10" fontId="2" fillId="4" borderId="0" xfId="4" applyNumberFormat="1" applyFont="1" applyFill="1">
      <alignment vertical="center"/>
    </xf>
    <xf numFmtId="0" fontId="2" fillId="4" borderId="0" xfId="4" applyFont="1" applyFill="1" applyAlignment="1">
      <alignment horizontal="center" vertical="center"/>
    </xf>
    <xf numFmtId="0" fontId="35" fillId="0" borderId="0" xfId="0" applyFont="1" applyAlignment="1">
      <alignment vertical="top" wrapText="1" indent="1"/>
    </xf>
    <xf numFmtId="0" fontId="35" fillId="0" borderId="12" xfId="0" applyFont="1" applyBorder="1" applyAlignment="1">
      <alignment vertical="top" wrapText="1" indent="1"/>
    </xf>
    <xf numFmtId="0" fontId="35" fillId="0" borderId="0" xfId="0" applyFont="1" applyAlignment="1">
      <alignment horizontal="left" vertical="center" wrapText="1"/>
    </xf>
    <xf numFmtId="0" fontId="34" fillId="0" borderId="14" xfId="0" applyFont="1" applyBorder="1" applyAlignment="1">
      <alignment horizontal="center" wrapText="1"/>
    </xf>
    <xf numFmtId="0" fontId="34" fillId="0" borderId="12" xfId="0" applyFont="1" applyBorder="1" applyAlignment="1">
      <alignment horizontal="center" wrapText="1"/>
    </xf>
    <xf numFmtId="0" fontId="34" fillId="0" borderId="0" xfId="0" applyFont="1" applyAlignment="1">
      <alignment horizontal="center" wrapText="1"/>
    </xf>
    <xf numFmtId="0" fontId="35" fillId="0" borderId="0" xfId="0" applyFont="1" applyAlignment="1">
      <alignment vertical="top" wrapText="1"/>
    </xf>
    <xf numFmtId="0" fontId="35" fillId="0" borderId="12" xfId="0" applyFont="1" applyBorder="1" applyAlignment="1">
      <alignment vertical="top" wrapText="1"/>
    </xf>
    <xf numFmtId="0" fontId="36" fillId="0" borderId="0" xfId="0" applyFont="1" applyAlignment="1">
      <alignment horizontal="left" vertical="center" wrapText="1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NAV'!$A$1169:$A$1505</c:f>
              <c:numCache>
                <c:formatCode>[$-409]d\-mmm\-yy;@</c:formatCode>
                <c:ptCount val="337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  <c:pt idx="29">
                  <c:v>45700</c:v>
                </c:pt>
                <c:pt idx="30">
                  <c:v>45701</c:v>
                </c:pt>
                <c:pt idx="31">
                  <c:v>45702</c:v>
                </c:pt>
                <c:pt idx="32">
                  <c:v>45705</c:v>
                </c:pt>
                <c:pt idx="33">
                  <c:v>45706</c:v>
                </c:pt>
                <c:pt idx="34">
                  <c:v>45707</c:v>
                </c:pt>
                <c:pt idx="35">
                  <c:v>45708</c:v>
                </c:pt>
                <c:pt idx="36">
                  <c:v>45852</c:v>
                </c:pt>
              </c:numCache>
            </c:numRef>
          </c:cat>
          <c:val>
            <c:numRef>
              <c:f>'Historical NAV'!$N$1169:$N$1504</c:f>
              <c:numCache>
                <c:formatCode>0.00%;[Red]\(0.00%\)</c:formatCode>
                <c:ptCount val="336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  <c:pt idx="29">
                  <c:v>6.5768095652419811E-2</c:v>
                </c:pt>
                <c:pt idx="30">
                  <c:v>6.8176595094137094E-2</c:v>
                </c:pt>
                <c:pt idx="31">
                  <c:v>6.8651093749808378E-2</c:v>
                </c:pt>
                <c:pt idx="32">
                  <c:v>6.8681654278559989E-2</c:v>
                </c:pt>
                <c:pt idx="33">
                  <c:v>6.8942313399750432E-2</c:v>
                </c:pt>
                <c:pt idx="34">
                  <c:v>6.8928927092955394E-2</c:v>
                </c:pt>
                <c:pt idx="35">
                  <c:v>6.9168522355077755E-2</c:v>
                </c:pt>
                <c:pt idx="36">
                  <c:v>-0.66335390619791479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NAV'!$A$2:$A$1505</c:f>
              <c:numCache>
                <c:formatCode>[$-409]d\-mmm\-yy;@</c:formatCode>
                <c:ptCount val="1504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  <c:pt idx="1196">
                  <c:v>45700</c:v>
                </c:pt>
                <c:pt idx="1197">
                  <c:v>45701</c:v>
                </c:pt>
                <c:pt idx="1198">
                  <c:v>45702</c:v>
                </c:pt>
                <c:pt idx="1199">
                  <c:v>45705</c:v>
                </c:pt>
                <c:pt idx="1200">
                  <c:v>45706</c:v>
                </c:pt>
                <c:pt idx="1201">
                  <c:v>45707</c:v>
                </c:pt>
                <c:pt idx="1202">
                  <c:v>45708</c:v>
                </c:pt>
                <c:pt idx="1203">
                  <c:v>45852</c:v>
                </c:pt>
              </c:numCache>
            </c:numRef>
          </c:cat>
          <c:val>
            <c:numRef>
              <c:f>'Historical NAV'!$M$2:$M$1504</c:f>
              <c:numCache>
                <c:formatCode>0.00%;[Red]\(0.00%\)</c:formatCode>
                <c:ptCount val="1503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  <c:pt idx="1196">
                  <c:v>0.70004630507288335</c:v>
                </c:pt>
                <c:pt idx="1197">
                  <c:v>0.7038881920587714</c:v>
                </c:pt>
                <c:pt idx="1198">
                  <c:v>0.7046450825020365</c:v>
                </c:pt>
                <c:pt idx="1199">
                  <c:v>0.70469383073741443</c:v>
                </c:pt>
                <c:pt idx="1200">
                  <c:v>0.70510961779059333</c:v>
                </c:pt>
                <c:pt idx="1201">
                  <c:v>0.70508826479504183</c:v>
                </c:pt>
                <c:pt idx="1202">
                  <c:v>0.70547045210365611</c:v>
                </c:pt>
                <c:pt idx="1203">
                  <c:v>-0.46300330229428843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227.37</c:v>
                </c:pt>
                <c:pt idx="1">
                  <c:v>6715.93</c:v>
                </c:pt>
                <c:pt idx="2">
                  <c:v>0</c:v>
                </c:pt>
                <c:pt idx="3">
                  <c:v>286856.76</c:v>
                </c:pt>
                <c:pt idx="4">
                  <c:v>0</c:v>
                </c:pt>
                <c:pt idx="5">
                  <c:v>0</c:v>
                </c:pt>
                <c:pt idx="6">
                  <c:v>20303.14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1616907.16</c:v>
                </c:pt>
                <c:pt idx="1">
                  <c:v>234554.5900000004</c:v>
                </c:pt>
                <c:pt idx="2">
                  <c:v>174582.74999999991</c:v>
                </c:pt>
                <c:pt idx="3">
                  <c:v>436101.38999999996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914430.45000000019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F6" sqref="F6"/>
    </sheetView>
  </sheetViews>
  <sheetFormatPr defaultRowHeight="14.4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5.9">
      <c r="A1" s="5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</row>
    <row r="2" spans="1:23">
      <c r="A2" t="s">
        <v>1</v>
      </c>
      <c r="B2" s="104">
        <f ca="1">OFFSET('Historical NAV'!A1,COUNT('Historical NAV'!B:B),,,)</f>
        <v>45852</v>
      </c>
      <c r="D2" s="91"/>
      <c r="E2" s="92"/>
    </row>
    <row r="3" spans="1:23">
      <c r="A3" t="s">
        <v>2</v>
      </c>
      <c r="B3" s="104">
        <f ca="1">DATE(YEAR(B2), MONTH(B2), 1)</f>
        <v>45839</v>
      </c>
      <c r="D3" s="91"/>
      <c r="E3" s="92"/>
    </row>
    <row r="4" spans="1:23">
      <c r="A4" t="s">
        <v>3</v>
      </c>
      <c r="B4" s="8">
        <f ca="1">OFFSET('Historical NAV'!I1,COUNT('Historical NAV'!A:A),,,)</f>
        <v>-0.68513280482617611</v>
      </c>
      <c r="D4" s="91"/>
      <c r="E4" s="92"/>
    </row>
    <row r="5" spans="1:23">
      <c r="A5" t="s">
        <v>4</v>
      </c>
      <c r="B5" s="8">
        <f ca="1">OFFSET('Historical NAV'!K1,COUNT('Historical NAV'!A:A),,,)</f>
        <v>-0.68349275646356755</v>
      </c>
      <c r="E5" s="142"/>
    </row>
    <row r="6" spans="1:23">
      <c r="A6" t="s">
        <v>5</v>
      </c>
      <c r="B6" s="8">
        <f ca="1">OFFSET('Historical NAV'!N1,COUNT('Historical NAV'!A:A),,,)</f>
        <v>-0.66335390619791479</v>
      </c>
    </row>
    <row r="7" spans="1:23">
      <c r="B7" s="8"/>
    </row>
    <row r="8" spans="1:23">
      <c r="A8" s="97" t="s">
        <v>6</v>
      </c>
      <c r="B8" s="310"/>
      <c r="D8" s="97" t="s">
        <v>7</v>
      </c>
      <c r="E8" s="97"/>
    </row>
    <row r="9" spans="1:23">
      <c r="A9" t="s">
        <v>8</v>
      </c>
      <c r="B9" s="8">
        <f ca="1">OFFSET('Historical NAV'!G1,COUNT('Historical NAV'!A:A),,,)</f>
        <v>-0.68513280482617611</v>
      </c>
      <c r="D9" t="s">
        <v>9</v>
      </c>
      <c r="E9" s="142">
        <f ca="1">OFFSET('Historical NAV'!B1,COUNT('Historical NAV'!A:A),,,)</f>
        <v>20985069.079877902</v>
      </c>
    </row>
    <row r="10" spans="1:23">
      <c r="A10" t="s">
        <v>10</v>
      </c>
      <c r="B10" s="2">
        <f ca="1">E13/E9</f>
        <v>0.99611619911434779</v>
      </c>
      <c r="D10" t="s">
        <v>11</v>
      </c>
      <c r="E10" s="142">
        <v>41571525.57</v>
      </c>
    </row>
    <row r="11" spans="1:23">
      <c r="A11" t="s">
        <v>12</v>
      </c>
      <c r="B11" s="8">
        <f ca="1">OFFSET('Historical NAV'!R1,COUNT('Historical NAV'!A:A),,,)</f>
        <v>-0.67384436099596834</v>
      </c>
      <c r="D11" t="s">
        <v>13</v>
      </c>
      <c r="E11" s="8">
        <f ca="1">E10/E9</f>
        <v>1.9810049426933731</v>
      </c>
    </row>
    <row r="12" spans="1:23">
      <c r="A12" t="s">
        <v>14</v>
      </c>
      <c r="B12" s="8">
        <f ca="1">OFFSET('Historical NAV'!T1,COUNT('Historical NAV'!A:A),,,)</f>
        <v>-0.74527734711565463</v>
      </c>
    </row>
    <row r="13" spans="1:23">
      <c r="A13" t="s">
        <v>15</v>
      </c>
      <c r="B13" s="8">
        <f ca="1">OFFSET('Historical NAV'!V1,COUNT('Historical NAV'!A:A),,,)</f>
        <v>-0.36313419945041719</v>
      </c>
      <c r="D13" s="97" t="s">
        <v>16</v>
      </c>
      <c r="E13" s="148">
        <f>K25</f>
        <v>20903567.25</v>
      </c>
    </row>
    <row r="14" spans="1:23">
      <c r="A14" t="s">
        <v>17</v>
      </c>
      <c r="B14" s="51">
        <f ca="1">OFFSET('Historical NAV'!W1,COUNT('Historical NAV'!A:A),,,)</f>
        <v>-2.2529050874505754</v>
      </c>
      <c r="D14" s="299">
        <v>5.0000000000000001E-3</v>
      </c>
      <c r="E14" s="211">
        <f>(D14*$E$13)/(1-D14)</f>
        <v>105043.05150753769</v>
      </c>
    </row>
    <row r="15" spans="1:23">
      <c r="A15" t="s">
        <v>18</v>
      </c>
      <c r="B15" s="51">
        <f ca="1">OFFSET('Historical NAV'!AB1,COUNT('Historical NAV'!A:A),,,)</f>
        <v>-0.33076595113567248</v>
      </c>
      <c r="D15" s="299">
        <v>0.01</v>
      </c>
      <c r="E15" s="211">
        <f>(D15*$E$13)/(1-D15)</f>
        <v>211147.14393939395</v>
      </c>
      <c r="F15" s="129"/>
    </row>
    <row r="16" spans="1:23">
      <c r="A16" t="s">
        <v>19</v>
      </c>
      <c r="B16" s="51">
        <f ca="1">OFFSET('Historical NAV'!P1,COUNT('Historical NAV'!A:A),,,)</f>
        <v>1.8356922812527532</v>
      </c>
      <c r="D16" s="299">
        <v>1.4999999999999999E-2</v>
      </c>
      <c r="E16" s="211">
        <f>(D16*$E$13)/(1-D16)</f>
        <v>318328.4352791878</v>
      </c>
      <c r="F16" s="165"/>
    </row>
    <row r="17" spans="1:23">
      <c r="A17" t="s">
        <v>20</v>
      </c>
      <c r="B17" s="51">
        <f ca="1">OFFSET('Historical NAV'!AC1,COUNT('Historical NAV'!A:A),,,)</f>
        <v>-0.22973361726911723</v>
      </c>
      <c r="D17" s="299">
        <v>0.05</v>
      </c>
      <c r="E17" s="211">
        <f>(D17*$E$13)/(1-D17)</f>
        <v>1100187.75</v>
      </c>
    </row>
    <row r="18" spans="1:23">
      <c r="A18" t="s">
        <v>21</v>
      </c>
      <c r="B18" s="51">
        <f ca="1">OFFSET('Historical NAV'!AD1,COUNT('Historical NAV'!A:A),,,)</f>
        <v>-0.13175214589331621</v>
      </c>
      <c r="D18" s="8"/>
      <c r="E18" s="211"/>
    </row>
    <row r="19" spans="1:23">
      <c r="A19" t="s">
        <v>22</v>
      </c>
      <c r="B19" s="51">
        <f ca="1">OFFSET('Historical NAV'!AE1,COUNT('Historical NAV'!A:A),,,)</f>
        <v>-7.7202934204495421E-2</v>
      </c>
    </row>
    <row r="20" spans="1:23">
      <c r="B20" s="51"/>
    </row>
    <row r="21" spans="1:23" ht="25.9">
      <c r="A21" s="5" t="s">
        <v>23</v>
      </c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</row>
    <row r="22" spans="1:23" ht="15" customHeight="1">
      <c r="A22" s="11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7" t="s">
        <v>24</v>
      </c>
      <c r="B23" s="98" t="s">
        <v>25</v>
      </c>
      <c r="C23" s="98" t="s">
        <v>26</v>
      </c>
      <c r="D23" s="98" t="s">
        <v>27</v>
      </c>
      <c r="E23" s="98" t="s">
        <v>28</v>
      </c>
      <c r="F23" s="98" t="s">
        <v>29</v>
      </c>
      <c r="G23" s="98" t="s">
        <v>30</v>
      </c>
      <c r="H23" s="98" t="s">
        <v>31</v>
      </c>
      <c r="I23" s="98" t="s">
        <v>32</v>
      </c>
      <c r="J23" s="98" t="s">
        <v>33</v>
      </c>
      <c r="K23" s="98" t="s">
        <v>34</v>
      </c>
      <c r="L23" s="144" t="s">
        <v>35</v>
      </c>
      <c r="M23" s="144" t="s">
        <v>29</v>
      </c>
      <c r="N23" s="144" t="s">
        <v>36</v>
      </c>
    </row>
    <row r="24" spans="1:23">
      <c r="A24" s="97" t="s">
        <v>37</v>
      </c>
      <c r="B24" s="94">
        <f>COUNTIF('Mark to Market'!$B$3:$B$1028,B23)</f>
        <v>0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0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</v>
      </c>
      <c r="L24" s="213">
        <v>3</v>
      </c>
      <c r="M24" s="94">
        <v>4</v>
      </c>
    </row>
    <row r="25" spans="1:23">
      <c r="A25" s="97" t="s">
        <v>38</v>
      </c>
      <c r="B25" s="99">
        <f>SUMIF('Mark to Market'!$B$3:$B$1028,B23,'Mark to Market'!$H$3:$H$1028)</f>
        <v>0</v>
      </c>
      <c r="C25" s="99">
        <f>SUMIF('Mark to Market'!$B$3:$B$1028,C23,'Mark to Market'!$H$3:$H$1028)</f>
        <v>0</v>
      </c>
      <c r="D25" s="99">
        <f>SUMIF('Mark to Market'!$B$3:$B$1028,D23,'Mark to Market'!$H$3:$H$1028)</f>
        <v>0</v>
      </c>
      <c r="E25" s="99">
        <f>SUMIF('Mark to Market'!$B$3:$B$1028,E23,'Mark to Market'!$H$3:$H$1028)</f>
        <v>20903567.25</v>
      </c>
      <c r="F25" s="99">
        <f>SUMIF('Mark to Market'!$B$3:$B$1028,F23,'Mark to Market'!$H$3:$H$1028)</f>
        <v>0</v>
      </c>
      <c r="G25" s="99">
        <f>SUMIF('Mark to Market'!$B$3:$B$1028,G23,'Mark to Market'!$H$3:$H$1028)</f>
        <v>0</v>
      </c>
      <c r="H25" s="99">
        <f>SUMIF('Mark to Market'!$B$3:$B$1028,H23,'Mark to Market'!$H$3:$H$1028)</f>
        <v>0</v>
      </c>
      <c r="I25" s="99">
        <f>SUMIF('Mark to Market'!$B$3:$B$1028,I23,'Mark to Market'!$H$3:$H$1028)</f>
        <v>0</v>
      </c>
      <c r="J25" s="99">
        <f>SUMIF('Mark to Market'!$B$3:$B$1028,J23,'Mark to Market'!$H$3:$H$1028)</f>
        <v>0</v>
      </c>
      <c r="K25" s="99">
        <f>SUM(B25:J25)</f>
        <v>20903567.25</v>
      </c>
      <c r="L25" s="99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99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7" t="s">
        <v>39</v>
      </c>
      <c r="B26" s="100">
        <f t="shared" ref="B26:J26" si="0">B25/$K$25</f>
        <v>0</v>
      </c>
      <c r="C26" s="100">
        <f>C25/$K$25</f>
        <v>0</v>
      </c>
      <c r="D26" s="100">
        <f>D25/$K$25</f>
        <v>0</v>
      </c>
      <c r="E26" s="100">
        <f>E25/$K$25</f>
        <v>1</v>
      </c>
      <c r="F26" s="100">
        <f t="shared" si="0"/>
        <v>0</v>
      </c>
      <c r="G26" s="100">
        <f t="shared" si="0"/>
        <v>0</v>
      </c>
      <c r="H26" s="100">
        <f t="shared" si="0"/>
        <v>0</v>
      </c>
      <c r="I26" s="100">
        <f t="shared" si="0"/>
        <v>0</v>
      </c>
      <c r="J26" s="100">
        <f t="shared" si="0"/>
        <v>0</v>
      </c>
      <c r="K26" s="100">
        <f>SUM(B26:J26)</f>
        <v>1</v>
      </c>
      <c r="L26" s="100">
        <f>L25/$K$25</f>
        <v>0</v>
      </c>
      <c r="M26" s="100">
        <f>M25/$K$25</f>
        <v>0</v>
      </c>
      <c r="N26" s="212">
        <f>F26-M26</f>
        <v>0</v>
      </c>
    </row>
    <row r="27" spans="1:23">
      <c r="A27" s="97" t="s">
        <v>40</v>
      </c>
      <c r="B27" s="161">
        <f ca="1">B25/$E$9</f>
        <v>0</v>
      </c>
      <c r="C27" s="161">
        <f ca="1">C25/$E$9</f>
        <v>0</v>
      </c>
      <c r="D27" s="161">
        <f ca="1">D25/$E$9</f>
        <v>0</v>
      </c>
      <c r="E27" s="161">
        <f t="shared" ref="E27:K27" ca="1" si="1">E25/$E$9</f>
        <v>0.99611619911434779</v>
      </c>
      <c r="F27" s="161">
        <f t="shared" ca="1" si="1"/>
        <v>0</v>
      </c>
      <c r="G27" s="161">
        <f t="shared" ca="1" si="1"/>
        <v>0</v>
      </c>
      <c r="H27" s="161">
        <f t="shared" ca="1" si="1"/>
        <v>0</v>
      </c>
      <c r="I27" s="161">
        <f t="shared" ca="1" si="1"/>
        <v>0</v>
      </c>
      <c r="J27" s="161">
        <f t="shared" ca="1" si="1"/>
        <v>0</v>
      </c>
      <c r="K27" s="161">
        <f t="shared" ca="1" si="1"/>
        <v>0.99611619911434779</v>
      </c>
      <c r="L27" s="161"/>
      <c r="M27" s="100"/>
    </row>
    <row r="28" spans="1:23">
      <c r="A28" s="97" t="s">
        <v>41</v>
      </c>
      <c r="B28" s="206"/>
      <c r="C28" s="206"/>
      <c r="D28" s="206"/>
      <c r="E28" s="206"/>
      <c r="F28" s="206"/>
      <c r="G28" s="206"/>
      <c r="H28" s="206"/>
      <c r="I28" s="206"/>
      <c r="J28" s="206"/>
      <c r="K28" s="206"/>
      <c r="L28" s="207">
        <v>0.35</v>
      </c>
      <c r="M28" s="207"/>
      <c r="N28" s="208">
        <v>0.1</v>
      </c>
    </row>
    <row r="29" spans="1:23">
      <c r="A29" s="97" t="s">
        <v>8</v>
      </c>
      <c r="B29" s="151">
        <f ca="1">OFFSET('Daily P&amp;L breakdown'!B1,COUNT('Daily P&amp;L breakdown'!$A:$A),,,)</f>
        <v>0</v>
      </c>
      <c r="C29" s="151">
        <f ca="1">OFFSET('Daily P&amp;L breakdown'!D1,COUNT('Daily P&amp;L breakdown'!$A:$A),,,)</f>
        <v>789.6</v>
      </c>
      <c r="D29" s="151">
        <f ca="1">OFFSET('Daily P&amp;L breakdown'!C1,COUNT('Daily P&amp;L breakdown'!$A:$A),,,)</f>
        <v>0</v>
      </c>
      <c r="E29" s="151">
        <f ca="1">OFFSET('Daily P&amp;L breakdown'!E1,COUNT('Daily P&amp;L breakdown'!$A:$A),,,)</f>
        <v>12500</v>
      </c>
      <c r="F29" s="151">
        <f ca="1">OFFSET('Daily P&amp;L breakdown'!F1,COUNT('Daily P&amp;L breakdown'!$A:$A),,,)</f>
        <v>0</v>
      </c>
      <c r="G29" s="151">
        <f ca="1">OFFSET('Daily P&amp;L breakdown'!G1,COUNT('Daily P&amp;L breakdown'!$A:$A),,,)</f>
        <v>0</v>
      </c>
      <c r="H29" s="151">
        <f ca="1">OFFSET('Daily P&amp;L breakdown'!H1,COUNT('Daily P&amp;L breakdown'!$A:$A),,,)</f>
        <v>636.1</v>
      </c>
      <c r="I29" s="151">
        <f ca="1">OFFSET('Daily P&amp;L breakdown'!I1,COUNT('Daily P&amp;L breakdown'!$A:$A),,,)</f>
        <v>0</v>
      </c>
      <c r="J29" s="151">
        <f ca="1">OFFSET('Daily P&amp;L breakdown'!J1,COUNT('Daily P&amp;L breakdown'!$A:$A),,,)</f>
        <v>0</v>
      </c>
      <c r="K29" s="151">
        <f ca="1">SUM(B29:J29)</f>
        <v>13925.7</v>
      </c>
      <c r="L29" s="209"/>
      <c r="M29" s="210"/>
      <c r="N29" s="210"/>
    </row>
    <row r="31" spans="1:23">
      <c r="A31" s="313" t="s">
        <v>42</v>
      </c>
      <c r="B31" s="313"/>
      <c r="C31" s="313"/>
      <c r="D31" s="313"/>
      <c r="E31" s="313"/>
      <c r="F31" s="313"/>
      <c r="G31" s="313"/>
      <c r="H31" s="313"/>
      <c r="I31" s="313"/>
      <c r="J31" s="313"/>
      <c r="K31" s="313"/>
      <c r="L31" s="298"/>
    </row>
    <row r="32" spans="1:23">
      <c r="A32" s="101" t="s">
        <v>43</v>
      </c>
      <c r="B32" s="98" t="s">
        <v>25</v>
      </c>
      <c r="C32" s="98" t="s">
        <v>26</v>
      </c>
      <c r="D32" s="98" t="s">
        <v>27</v>
      </c>
      <c r="E32" s="98" t="s">
        <v>28</v>
      </c>
      <c r="F32" s="98" t="s">
        <v>29</v>
      </c>
      <c r="G32" s="98" t="s">
        <v>30</v>
      </c>
      <c r="H32" s="98" t="s">
        <v>31</v>
      </c>
      <c r="I32" s="98" t="s">
        <v>33</v>
      </c>
      <c r="J32" s="98" t="s">
        <v>44</v>
      </c>
      <c r="K32" s="98" t="s">
        <v>34</v>
      </c>
      <c r="L32" s="298" t="s">
        <v>45</v>
      </c>
    </row>
    <row r="33" spans="1:12">
      <c r="A33" s="102">
        <v>45658</v>
      </c>
      <c r="B33" s="150">
        <f>SUMIFS('Daily P&amp;L breakdown'!B:B, 'Daily P&amp;L breakdown'!$A:$A, "&gt;=" &amp; EOMONTH($A33, -1) + 1, 'Daily P&amp;L breakdown'!$A:$A, "&lt;=" &amp; EOMONTH($A33, 0))</f>
        <v>1616679.7899999998</v>
      </c>
      <c r="C33" s="150">
        <f>SUMIFS('Daily P&amp;L breakdown'!D:D, 'Daily P&amp;L breakdown'!$A:$A, "&gt;=" &amp; EOMONTH($A33, -1) + 1, 'Daily P&amp;L breakdown'!$A:$A, "&lt;=" &amp; EOMONTH($A33, 0))</f>
        <v>227838.66000000041</v>
      </c>
      <c r="D33" s="150">
        <f>SUMIFS('Daily P&amp;L breakdown'!C:C, 'Daily P&amp;L breakdown'!$A:$A, "&gt;=" &amp; EOMONTH($A33, -1) + 1, 'Daily P&amp;L breakdown'!$A:$A, "&lt;=" &amp; EOMONTH($A33, 0))</f>
        <v>174582.74999999991</v>
      </c>
      <c r="E33" s="150">
        <f>SUMIFS('Daily P&amp;L breakdown'!E:E, 'Daily P&amp;L breakdown'!$A:$A, "&gt;=" &amp; EOMONTH($A33, -1) + 1, 'Daily P&amp;L breakdown'!$A:$A, "&lt;=" &amp; EOMONTH($A33, 0))</f>
        <v>149244.62999999995</v>
      </c>
      <c r="F33" s="150">
        <f>SUMIFS('Daily P&amp;L breakdown'!F:F, 'Daily P&amp;L breakdown'!$A:$A, "&gt;=" &amp; EOMONTH($A33, -1) + 1, 'Daily P&amp;L breakdown'!$A:$A, "&lt;=" &amp; EOMONTH($A33, 0))</f>
        <v>1307091.58</v>
      </c>
      <c r="G33" s="150">
        <f>SUMIFS('Daily P&amp;L breakdown'!G:G, 'Daily P&amp;L breakdown'!$A:$A, "&gt;=" &amp; EOMONTH($A33, -1) + 1, 'Daily P&amp;L breakdown'!$A:$A, "&lt;=" &amp; EOMONTH($A33, 0))</f>
        <v>270528.75</v>
      </c>
      <c r="H33" s="150">
        <f>SUMIFS('Daily P&amp;L breakdown'!H:H, 'Daily P&amp;L breakdown'!$A:$A, "&gt;=" &amp; EOMONTH($A33, -1) + 1, 'Daily P&amp;L breakdown'!$A:$A, "&lt;=" &amp; EOMONTH($A33, 0))</f>
        <v>894127.31000000017</v>
      </c>
      <c r="I33" s="150">
        <f>SUMIFS('Daily P&amp;L breakdown'!I:I, 'Daily P&amp;L breakdown'!$A:$A, "&gt;=" &amp; EOMONTH($A33, -1) + 1, 'Daily P&amp;L breakdown'!$A:$A, "&lt;=" &amp; EOMONTH($A33, 0))</f>
        <v>0</v>
      </c>
      <c r="J33" s="150"/>
      <c r="K33" s="150">
        <f t="shared" ref="K33:K44" si="2">SUM(B33:J33)</f>
        <v>4640093.4700000007</v>
      </c>
      <c r="L33" s="150">
        <f>SUM(Email!$T$9:$T$11)-K33</f>
        <v>-4317812.8889730088</v>
      </c>
    </row>
    <row r="34" spans="1:12">
      <c r="A34" s="102">
        <v>45689</v>
      </c>
      <c r="B34" s="150">
        <f>SUMIFS('Daily P&amp;L breakdown'!B:B, 'Daily P&amp;L breakdown'!$A:$A, "&gt;=" &amp; EOMONTH($A34, -1) + 1, 'Daily P&amp;L breakdown'!$A:$A, "&lt;=" &amp; EOMONTH($A34, 0))</f>
        <v>227.37</v>
      </c>
      <c r="C34" s="150">
        <f>SUMIFS('Daily P&amp;L breakdown'!D:D, 'Daily P&amp;L breakdown'!$A:$A, "&gt;=" &amp; EOMONTH($A34, -1) + 1, 'Daily P&amp;L breakdown'!$A:$A, "&lt;=" &amp; EOMONTH($A34, 0))</f>
        <v>6715.93</v>
      </c>
      <c r="D34" s="150">
        <f>SUMIFS('Daily P&amp;L breakdown'!C:C, 'Daily P&amp;L breakdown'!$A:$A, "&gt;=" &amp; EOMONTH($A34, -1) + 1, 'Daily P&amp;L breakdown'!$A:$A, "&lt;=" &amp; EOMONTH($A34, 0))</f>
        <v>0</v>
      </c>
      <c r="E34" s="150">
        <f>SUMIFS('Daily P&amp;L breakdown'!E:E, 'Daily P&amp;L breakdown'!$A:$A, "&gt;=" &amp; EOMONTH($A34, -1) + 1, 'Daily P&amp;L breakdown'!$A:$A, "&lt;=" &amp; EOMONTH($A34, 0))</f>
        <v>286856.76</v>
      </c>
      <c r="F34" s="150">
        <f>SUMIFS('Daily P&amp;L breakdown'!F:F, 'Daily P&amp;L breakdown'!$A:$A, "&gt;=" &amp; EOMONTH($A34, -1) + 1, 'Daily P&amp;L breakdown'!$A:$A, "&lt;=" &amp; EOMONTH($A34, 0))</f>
        <v>0</v>
      </c>
      <c r="G34" s="150">
        <f>SUMIFS('Daily P&amp;L breakdown'!G:G, 'Daily P&amp;L breakdown'!$A:$A, "&gt;=" &amp; EOMONTH($A34, -1) + 1, 'Daily P&amp;L breakdown'!$A:$A, "&lt;=" &amp; EOMONTH($A34, 0))</f>
        <v>0</v>
      </c>
      <c r="H34" s="150">
        <f>SUMIFS('Daily P&amp;L breakdown'!H:H, 'Daily P&amp;L breakdown'!$A:$A, "&gt;=" &amp; EOMONTH($A34, -1) + 1, 'Daily P&amp;L breakdown'!$A:$A, "&lt;=" &amp; EOMONTH($A34, 0))</f>
        <v>20303.14</v>
      </c>
      <c r="I34" s="150">
        <f>SUMIFS('Daily P&amp;L breakdown'!I:I, 'Daily P&amp;L breakdown'!$A:$A, "&gt;=" &amp; EOMONTH($A34, -1) + 1, 'Daily P&amp;L breakdown'!$A:$A, "&lt;=" &amp; EOMONTH($A34, 0))</f>
        <v>0</v>
      </c>
      <c r="J34" s="150"/>
      <c r="K34" s="150">
        <f t="shared" si="2"/>
        <v>314103.2</v>
      </c>
      <c r="L34" s="150"/>
    </row>
    <row r="35" spans="1:12">
      <c r="A35" s="102">
        <v>45717</v>
      </c>
      <c r="B35" s="150">
        <f>SUMIFS('Daily P&amp;L breakdown'!B:B, 'Daily P&amp;L breakdown'!$A:$A, "&gt;=" &amp; EOMONTH($A35, -1) + 1, 'Daily P&amp;L breakdown'!$A:$A, "&lt;=" &amp; EOMONTH($A35, 0))</f>
        <v>0</v>
      </c>
      <c r="C35" s="150">
        <f>SUMIFS('Daily P&amp;L breakdown'!D:D, 'Daily P&amp;L breakdown'!$A:$A, "&gt;=" &amp; EOMONTH($A35, -1) + 1, 'Daily P&amp;L breakdown'!$A:$A, "&lt;=" &amp; EOMONTH($A35, 0))</f>
        <v>0</v>
      </c>
      <c r="D35" s="150">
        <f>SUMIFS('Daily P&amp;L breakdown'!C:C, 'Daily P&amp;L breakdown'!$A:$A, "&gt;=" &amp; EOMONTH($A35, -1) + 1, 'Daily P&amp;L breakdown'!$A:$A, "&lt;=" &amp; EOMONTH($A35, 0))</f>
        <v>0</v>
      </c>
      <c r="E35" s="150">
        <f>SUMIFS('Daily P&amp;L breakdown'!E:E, 'Daily P&amp;L breakdown'!$A:$A, "&gt;=" &amp; EOMONTH($A35, -1) + 1, 'Daily P&amp;L breakdown'!$A:$A, "&lt;=" &amp; EOMONTH($A35, 0))</f>
        <v>0</v>
      </c>
      <c r="F35" s="150">
        <f>SUMIFS('Daily P&amp;L breakdown'!F:F, 'Daily P&amp;L breakdown'!$A:$A, "&gt;=" &amp; EOMONTH($A35, -1) + 1, 'Daily P&amp;L breakdown'!$A:$A, "&lt;=" &amp; EOMONTH($A35, 0))</f>
        <v>0</v>
      </c>
      <c r="G35" s="150">
        <f>SUMIFS('Daily P&amp;L breakdown'!G:G, 'Daily P&amp;L breakdown'!$A:$A, "&gt;=" &amp; EOMONTH($A35, -1) + 1, 'Daily P&amp;L breakdown'!$A:$A, "&lt;=" &amp; EOMONTH($A35, 0))</f>
        <v>0</v>
      </c>
      <c r="H35" s="150">
        <f>SUMIFS('Daily P&amp;L breakdown'!H:H, 'Daily P&amp;L breakdown'!$A:$A, "&gt;=" &amp; EOMONTH($A35, -1) + 1, 'Daily P&amp;L breakdown'!$A:$A, "&lt;=" &amp; EOMONTH($A35, 0))</f>
        <v>0</v>
      </c>
      <c r="I35" s="150">
        <f>SUMIFS('Daily P&amp;L breakdown'!I:I, 'Daily P&amp;L breakdown'!$A:$A, "&gt;=" &amp; EOMONTH($A35, -1) + 1, 'Daily P&amp;L breakdown'!$A:$A, "&lt;=" &amp; EOMONTH($A35, 0))</f>
        <v>0</v>
      </c>
      <c r="J35" s="150"/>
      <c r="K35" s="150">
        <f t="shared" si="2"/>
        <v>0</v>
      </c>
      <c r="L35" s="150"/>
    </row>
    <row r="36" spans="1:12">
      <c r="A36" s="102">
        <v>45748</v>
      </c>
      <c r="B36" s="150">
        <f>SUMIFS('Daily P&amp;L breakdown'!B:B, 'Daily P&amp;L breakdown'!$A:$A, "&gt;=" &amp; EOMONTH($A36, -1) + 1, 'Daily P&amp;L breakdown'!$A:$A, "&lt;=" &amp; EOMONTH($A36, 0))</f>
        <v>0</v>
      </c>
      <c r="C36" s="150">
        <f>SUMIFS('Daily P&amp;L breakdown'!D:D, 'Daily P&amp;L breakdown'!$A:$A, "&gt;=" &amp; EOMONTH($A36, -1) + 1, 'Daily P&amp;L breakdown'!$A:$A, "&lt;=" &amp; EOMONTH($A36, 0))</f>
        <v>0</v>
      </c>
      <c r="D36" s="150">
        <f>SUMIFS('Daily P&amp;L breakdown'!C:C, 'Daily P&amp;L breakdown'!$A:$A, "&gt;=" &amp; EOMONTH($A36, -1) + 1, 'Daily P&amp;L breakdown'!$A:$A, "&lt;=" &amp; EOMONTH($A36, 0))</f>
        <v>0</v>
      </c>
      <c r="E36" s="150">
        <f>SUMIFS('Daily P&amp;L breakdown'!E:E, 'Daily P&amp;L breakdown'!$A:$A, "&gt;=" &amp; EOMONTH($A36, -1) + 1, 'Daily P&amp;L breakdown'!$A:$A, "&lt;=" &amp; EOMONTH($A36, 0))</f>
        <v>0</v>
      </c>
      <c r="F36" s="150">
        <f>SUMIFS('Daily P&amp;L breakdown'!F:F, 'Daily P&amp;L breakdown'!$A:$A, "&gt;=" &amp; EOMONTH($A36, -1) + 1, 'Daily P&amp;L breakdown'!$A:$A, "&lt;=" &amp; EOMONTH($A36, 0))</f>
        <v>0</v>
      </c>
      <c r="G36" s="150">
        <f>SUMIFS('Daily P&amp;L breakdown'!G:G, 'Daily P&amp;L breakdown'!$A:$A, "&gt;=" &amp; EOMONTH($A36, -1) + 1, 'Daily P&amp;L breakdown'!$A:$A, "&lt;=" &amp; EOMONTH($A36, 0))</f>
        <v>0</v>
      </c>
      <c r="H36" s="150">
        <f>SUMIFS('Daily P&amp;L breakdown'!H:H, 'Daily P&amp;L breakdown'!$A:$A, "&gt;=" &amp; EOMONTH($A36, -1) + 1, 'Daily P&amp;L breakdown'!$A:$A, "&lt;=" &amp; EOMONTH($A36, 0))</f>
        <v>0</v>
      </c>
      <c r="I36" s="150">
        <f>SUMIFS('Daily P&amp;L breakdown'!I:I, 'Daily P&amp;L breakdown'!$A:$A, "&gt;=" &amp; EOMONTH($A36, -1) + 1, 'Daily P&amp;L breakdown'!$A:$A, "&lt;=" &amp; EOMONTH($A36, 0))</f>
        <v>0</v>
      </c>
      <c r="J36" s="150"/>
      <c r="K36" s="150">
        <f t="shared" si="2"/>
        <v>0</v>
      </c>
      <c r="L36" s="150"/>
    </row>
    <row r="37" spans="1:12">
      <c r="A37" s="102">
        <v>45778</v>
      </c>
      <c r="B37" s="150">
        <f>SUMIFS('Daily P&amp;L breakdown'!B:B, 'Daily P&amp;L breakdown'!$A:$A, "&gt;=" &amp; EOMONTH($A37, -1) + 1, 'Daily P&amp;L breakdown'!$A:$A, "&lt;=" &amp; EOMONTH($A37, 0))</f>
        <v>0</v>
      </c>
      <c r="C37" s="150">
        <f>SUMIFS('Daily P&amp;L breakdown'!D:D, 'Daily P&amp;L breakdown'!$A:$A, "&gt;=" &amp; EOMONTH($A37, -1) + 1, 'Daily P&amp;L breakdown'!$A:$A, "&lt;=" &amp; EOMONTH($A37, 0))</f>
        <v>0</v>
      </c>
      <c r="D37" s="150">
        <f>SUMIFS('Daily P&amp;L breakdown'!C:C, 'Daily P&amp;L breakdown'!$A:$A, "&gt;=" &amp; EOMONTH($A37, -1) + 1, 'Daily P&amp;L breakdown'!$A:$A, "&lt;=" &amp; EOMONTH($A37, 0))</f>
        <v>0</v>
      </c>
      <c r="E37" s="150">
        <f>SUMIFS('Daily P&amp;L breakdown'!E:E, 'Daily P&amp;L breakdown'!$A:$A, "&gt;=" &amp; EOMONTH($A37, -1) + 1, 'Daily P&amp;L breakdown'!$A:$A, "&lt;=" &amp; EOMONTH($A37, 0))</f>
        <v>0</v>
      </c>
      <c r="F37" s="150">
        <f>SUMIFS('Daily P&amp;L breakdown'!F:F, 'Daily P&amp;L breakdown'!$A:$A, "&gt;=" &amp; EOMONTH($A37, -1) + 1, 'Daily P&amp;L breakdown'!$A:$A, "&lt;=" &amp; EOMONTH($A37, 0))</f>
        <v>0</v>
      </c>
      <c r="G37" s="150">
        <f>SUMIFS('Daily P&amp;L breakdown'!G:G, 'Daily P&amp;L breakdown'!$A:$A, "&gt;=" &amp; EOMONTH($A37, -1) + 1, 'Daily P&amp;L breakdown'!$A:$A, "&lt;=" &amp; EOMONTH($A37, 0))</f>
        <v>0</v>
      </c>
      <c r="H37" s="150">
        <f>SUMIFS('Daily P&amp;L breakdown'!H:H, 'Daily P&amp;L breakdown'!$A:$A, "&gt;=" &amp; EOMONTH($A37, -1) + 1, 'Daily P&amp;L breakdown'!$A:$A, "&lt;=" &amp; EOMONTH($A37, 0))</f>
        <v>0</v>
      </c>
      <c r="I37" s="150">
        <f>SUMIFS('Daily P&amp;L breakdown'!I:I, 'Daily P&amp;L breakdown'!$A:$A, "&gt;=" &amp; EOMONTH($A37, -1) + 1, 'Daily P&amp;L breakdown'!$A:$A, "&lt;=" &amp; EOMONTH($A37, 0))</f>
        <v>0</v>
      </c>
      <c r="J37" s="150"/>
      <c r="K37" s="150">
        <f t="shared" si="2"/>
        <v>0</v>
      </c>
      <c r="L37" s="150"/>
    </row>
    <row r="38" spans="1:12">
      <c r="A38" s="102">
        <v>45809</v>
      </c>
      <c r="B38" s="150">
        <f>SUMIFS('Daily P&amp;L breakdown'!B:B, 'Daily P&amp;L breakdown'!$A:$A, "&gt;=" &amp; EOMONTH($A38, -1) + 1, 'Daily P&amp;L breakdown'!$A:$A, "&lt;=" &amp; EOMONTH($A38, 0))</f>
        <v>0</v>
      </c>
      <c r="C38" s="150">
        <f>SUMIFS('Daily P&amp;L breakdown'!D:D, 'Daily P&amp;L breakdown'!$A:$A, "&gt;=" &amp; EOMONTH($A38, -1) + 1, 'Daily P&amp;L breakdown'!$A:$A, "&lt;=" &amp; EOMONTH($A38, 0))</f>
        <v>0</v>
      </c>
      <c r="D38" s="150">
        <f>SUMIFS('Daily P&amp;L breakdown'!C:C, 'Daily P&amp;L breakdown'!$A:$A, "&gt;=" &amp; EOMONTH($A38, -1) + 1, 'Daily P&amp;L breakdown'!$A:$A, "&lt;=" &amp; EOMONTH($A38, 0))</f>
        <v>0</v>
      </c>
      <c r="E38" s="150">
        <f>SUMIFS('Daily P&amp;L breakdown'!E:E, 'Daily P&amp;L breakdown'!$A:$A, "&gt;=" &amp; EOMONTH($A38, -1) + 1, 'Daily P&amp;L breakdown'!$A:$A, "&lt;=" &amp; EOMONTH($A38, 0))</f>
        <v>0</v>
      </c>
      <c r="F38" s="150">
        <f>SUMIFS('Daily P&amp;L breakdown'!F:F, 'Daily P&amp;L breakdown'!$A:$A, "&gt;=" &amp; EOMONTH($A38, -1) + 1, 'Daily P&amp;L breakdown'!$A:$A, "&lt;=" &amp; EOMONTH($A38, 0))</f>
        <v>0</v>
      </c>
      <c r="G38" s="150">
        <f>SUMIFS('Daily P&amp;L breakdown'!G:G, 'Daily P&amp;L breakdown'!$A:$A, "&gt;=" &amp; EOMONTH($A38, -1) + 1, 'Daily P&amp;L breakdown'!$A:$A, "&lt;=" &amp; EOMONTH($A38, 0))</f>
        <v>0</v>
      </c>
      <c r="H38" s="150">
        <f>SUMIFS('Daily P&amp;L breakdown'!H:H, 'Daily P&amp;L breakdown'!$A:$A, "&gt;=" &amp; EOMONTH($A38, -1) + 1, 'Daily P&amp;L breakdown'!$A:$A, "&lt;=" &amp; EOMONTH($A38, 0))</f>
        <v>0</v>
      </c>
      <c r="I38" s="150">
        <f>SUMIFS('Daily P&amp;L breakdown'!I:I, 'Daily P&amp;L breakdown'!$A:$A, "&gt;=" &amp; EOMONTH($A38, -1) + 1, 'Daily P&amp;L breakdown'!$A:$A, "&lt;=" &amp; EOMONTH($A38, 0))</f>
        <v>0</v>
      </c>
      <c r="J38" s="150"/>
      <c r="K38" s="150">
        <f t="shared" si="2"/>
        <v>0</v>
      </c>
      <c r="L38" s="150"/>
    </row>
    <row r="39" spans="1:12">
      <c r="A39" s="102">
        <v>45839</v>
      </c>
      <c r="B39" s="150">
        <f>SUMIFS('Daily P&amp;L breakdown'!B:B, 'Daily P&amp;L breakdown'!$A:$A, "&gt;=" &amp; EOMONTH($A39, -1) + 1, 'Daily P&amp;L breakdown'!$A:$A, "&lt;=" &amp; EOMONTH($A39, 0))</f>
        <v>0</v>
      </c>
      <c r="C39" s="150">
        <f>SUMIFS('Daily P&amp;L breakdown'!D:D, 'Daily P&amp;L breakdown'!$A:$A, "&gt;=" &amp; EOMONTH($A39, -1) + 1, 'Daily P&amp;L breakdown'!$A:$A, "&lt;=" &amp; EOMONTH($A39, 0))</f>
        <v>0</v>
      </c>
      <c r="D39" s="150">
        <f>SUMIFS('Daily P&amp;L breakdown'!C:C, 'Daily P&amp;L breakdown'!$A:$A, "&gt;=" &amp; EOMONTH($A39, -1) + 1, 'Daily P&amp;L breakdown'!$A:$A, "&lt;=" &amp; EOMONTH($A39, 0))</f>
        <v>0</v>
      </c>
      <c r="E39" s="150">
        <f>SUMIFS('Daily P&amp;L breakdown'!E:E, 'Daily P&amp;L breakdown'!$A:$A, "&gt;=" &amp; EOMONTH($A39, -1) + 1, 'Daily P&amp;L breakdown'!$A:$A, "&lt;=" &amp; EOMONTH($A39, 0))</f>
        <v>0</v>
      </c>
      <c r="F39" s="150">
        <f>SUMIFS('Daily P&amp;L breakdown'!F:F, 'Daily P&amp;L breakdown'!$A:$A, "&gt;=" &amp; EOMONTH($A39, -1) + 1, 'Daily P&amp;L breakdown'!$A:$A, "&lt;=" &amp; EOMONTH($A39, 0))</f>
        <v>0</v>
      </c>
      <c r="G39" s="150">
        <f>SUMIFS('Daily P&amp;L breakdown'!G:G, 'Daily P&amp;L breakdown'!$A:$A, "&gt;=" &amp; EOMONTH($A39, -1) + 1, 'Daily P&amp;L breakdown'!$A:$A, "&lt;=" &amp; EOMONTH($A39, 0))</f>
        <v>0</v>
      </c>
      <c r="H39" s="150">
        <f>SUMIFS('Daily P&amp;L breakdown'!H:H, 'Daily P&amp;L breakdown'!$A:$A, "&gt;=" &amp; EOMONTH($A39, -1) + 1, 'Daily P&amp;L breakdown'!$A:$A, "&lt;=" &amp; EOMONTH($A39, 0))</f>
        <v>0</v>
      </c>
      <c r="I39" s="150">
        <f>SUMIFS('Daily P&amp;L breakdown'!I:I, 'Daily P&amp;L breakdown'!$A:$A, "&gt;=" &amp; EOMONTH($A39, -1) + 1, 'Daily P&amp;L breakdown'!$A:$A, "&lt;=" &amp; EOMONTH($A39, 0))</f>
        <v>0</v>
      </c>
      <c r="J39" s="150"/>
      <c r="K39" s="150">
        <f t="shared" si="2"/>
        <v>0</v>
      </c>
      <c r="L39" s="150"/>
    </row>
    <row r="40" spans="1:12">
      <c r="A40" s="102">
        <v>45870</v>
      </c>
      <c r="B40" s="150">
        <f>SUMIFS('Daily P&amp;L breakdown'!B:B, 'Daily P&amp;L breakdown'!$A:$A, "&gt;=" &amp; EOMONTH($A40, -1) + 1, 'Daily P&amp;L breakdown'!$A:$A, "&lt;=" &amp; EOMONTH($A40, 0))</f>
        <v>0</v>
      </c>
      <c r="C40" s="150">
        <f>SUMIFS('Daily P&amp;L breakdown'!D:D, 'Daily P&amp;L breakdown'!$A:$A, "&gt;=" &amp; EOMONTH($A40, -1) + 1, 'Daily P&amp;L breakdown'!$A:$A, "&lt;=" &amp; EOMONTH($A40, 0))</f>
        <v>0</v>
      </c>
      <c r="D40" s="150">
        <f>SUMIFS('Daily P&amp;L breakdown'!C:C, 'Daily P&amp;L breakdown'!$A:$A, "&gt;=" &amp; EOMONTH($A40, -1) + 1, 'Daily P&amp;L breakdown'!$A:$A, "&lt;=" &amp; EOMONTH($A40, 0))</f>
        <v>0</v>
      </c>
      <c r="E40" s="150">
        <f>SUMIFS('Daily P&amp;L breakdown'!E:E, 'Daily P&amp;L breakdown'!$A:$A, "&gt;=" &amp; EOMONTH($A40, -1) + 1, 'Daily P&amp;L breakdown'!$A:$A, "&lt;=" &amp; EOMONTH($A40, 0))</f>
        <v>0</v>
      </c>
      <c r="F40" s="150">
        <f>SUMIFS('Daily P&amp;L breakdown'!F:F, 'Daily P&amp;L breakdown'!$A:$A, "&gt;=" &amp; EOMONTH($A40, -1) + 1, 'Daily P&amp;L breakdown'!$A:$A, "&lt;=" &amp; EOMONTH($A40, 0))</f>
        <v>0</v>
      </c>
      <c r="G40" s="150">
        <f>SUMIFS('Daily P&amp;L breakdown'!G:G, 'Daily P&amp;L breakdown'!$A:$A, "&gt;=" &amp; EOMONTH($A40, -1) + 1, 'Daily P&amp;L breakdown'!$A:$A, "&lt;=" &amp; EOMONTH($A40, 0))</f>
        <v>0</v>
      </c>
      <c r="H40" s="150">
        <f>SUMIFS('Daily P&amp;L breakdown'!H:H, 'Daily P&amp;L breakdown'!$A:$A, "&gt;=" &amp; EOMONTH($A40, -1) + 1, 'Daily P&amp;L breakdown'!$A:$A, "&lt;=" &amp; EOMONTH($A40, 0))</f>
        <v>0</v>
      </c>
      <c r="I40" s="150">
        <f>SUMIFS('Daily P&amp;L breakdown'!I:I, 'Daily P&amp;L breakdown'!$A:$A, "&gt;=" &amp; EOMONTH($A40, -1) + 1, 'Daily P&amp;L breakdown'!$A:$A, "&lt;=" &amp; EOMONTH($A40, 0))</f>
        <v>0</v>
      </c>
      <c r="J40" s="150"/>
      <c r="K40" s="150">
        <f t="shared" si="2"/>
        <v>0</v>
      </c>
      <c r="L40" s="150"/>
    </row>
    <row r="41" spans="1:12">
      <c r="A41" s="102">
        <v>45901</v>
      </c>
      <c r="B41" s="150">
        <f>SUMIFS('Daily P&amp;L breakdown'!B:B, 'Daily P&amp;L breakdown'!$A:$A, "&gt;=" &amp; EOMONTH($A41, -1) + 1, 'Daily P&amp;L breakdown'!$A:$A, "&lt;=" &amp; EOMONTH($A41, 0))</f>
        <v>0</v>
      </c>
      <c r="C41" s="150">
        <f>SUMIFS('Daily P&amp;L breakdown'!D:D, 'Daily P&amp;L breakdown'!$A:$A, "&gt;=" &amp; EOMONTH($A41, -1) + 1, 'Daily P&amp;L breakdown'!$A:$A, "&lt;=" &amp; EOMONTH($A41, 0))</f>
        <v>0</v>
      </c>
      <c r="D41" s="150">
        <f>SUMIFS('Daily P&amp;L breakdown'!C:C, 'Daily P&amp;L breakdown'!$A:$A, "&gt;=" &amp; EOMONTH($A41, -1) + 1, 'Daily P&amp;L breakdown'!$A:$A, "&lt;=" &amp; EOMONTH($A41, 0))</f>
        <v>0</v>
      </c>
      <c r="E41" s="150">
        <f>SUMIFS('Daily P&amp;L breakdown'!E:E, 'Daily P&amp;L breakdown'!$A:$A, "&gt;=" &amp; EOMONTH($A41, -1) + 1, 'Daily P&amp;L breakdown'!$A:$A, "&lt;=" &amp; EOMONTH($A41, 0))</f>
        <v>0</v>
      </c>
      <c r="F41" s="150">
        <f>SUMIFS('Daily P&amp;L breakdown'!F:F, 'Daily P&amp;L breakdown'!$A:$A, "&gt;=" &amp; EOMONTH($A41, -1) + 1, 'Daily P&amp;L breakdown'!$A:$A, "&lt;=" &amp; EOMONTH($A41, 0))</f>
        <v>0</v>
      </c>
      <c r="G41" s="150">
        <f>SUMIFS('Daily P&amp;L breakdown'!G:G, 'Daily P&amp;L breakdown'!$A:$A, "&gt;=" &amp; EOMONTH($A41, -1) + 1, 'Daily P&amp;L breakdown'!$A:$A, "&lt;=" &amp; EOMONTH($A41, 0))</f>
        <v>0</v>
      </c>
      <c r="H41" s="150">
        <f>SUMIFS('Daily P&amp;L breakdown'!H:H, 'Daily P&amp;L breakdown'!$A:$A, "&gt;=" &amp; EOMONTH($A41, -1) + 1, 'Daily P&amp;L breakdown'!$A:$A, "&lt;=" &amp; EOMONTH($A41, 0))</f>
        <v>0</v>
      </c>
      <c r="I41" s="150">
        <f>SUMIFS('Daily P&amp;L breakdown'!I:I, 'Daily P&amp;L breakdown'!$A:$A, "&gt;=" &amp; EOMONTH($A41, -1) + 1, 'Daily P&amp;L breakdown'!$A:$A, "&lt;=" &amp; EOMONTH($A41, 0))</f>
        <v>0</v>
      </c>
      <c r="J41" s="150"/>
      <c r="K41" s="150">
        <f t="shared" si="2"/>
        <v>0</v>
      </c>
      <c r="L41" s="150"/>
    </row>
    <row r="42" spans="1:12">
      <c r="A42" s="102">
        <v>45931</v>
      </c>
      <c r="B42" s="150">
        <f>SUMIFS('Daily P&amp;L breakdown'!B:B, 'Daily P&amp;L breakdown'!$A:$A, "&gt;=" &amp; EOMONTH($A42, -1) + 1, 'Daily P&amp;L breakdown'!$A:$A, "&lt;=" &amp; EOMONTH($A42, 0))</f>
        <v>0</v>
      </c>
      <c r="C42" s="150">
        <f>SUMIFS('Daily P&amp;L breakdown'!D:D, 'Daily P&amp;L breakdown'!$A:$A, "&gt;=" &amp; EOMONTH($A42, -1) + 1, 'Daily P&amp;L breakdown'!$A:$A, "&lt;=" &amp; EOMONTH($A42, 0))</f>
        <v>0</v>
      </c>
      <c r="D42" s="150">
        <f>SUMIFS('Daily P&amp;L breakdown'!C:C, 'Daily P&amp;L breakdown'!$A:$A, "&gt;=" &amp; EOMONTH($A42, -1) + 1, 'Daily P&amp;L breakdown'!$A:$A, "&lt;=" &amp; EOMONTH($A42, 0))</f>
        <v>0</v>
      </c>
      <c r="E42" s="150">
        <f>SUMIFS('Daily P&amp;L breakdown'!E:E, 'Daily P&amp;L breakdown'!$A:$A, "&gt;=" &amp; EOMONTH($A42, -1) + 1, 'Daily P&amp;L breakdown'!$A:$A, "&lt;=" &amp; EOMONTH($A42, 0))</f>
        <v>0</v>
      </c>
      <c r="F42" s="150">
        <f>SUMIFS('Daily P&amp;L breakdown'!F:F, 'Daily P&amp;L breakdown'!$A:$A, "&gt;=" &amp; EOMONTH($A42, -1) + 1, 'Daily P&amp;L breakdown'!$A:$A, "&lt;=" &amp; EOMONTH($A42, 0))</f>
        <v>0</v>
      </c>
      <c r="G42" s="150">
        <f>SUMIFS('Daily P&amp;L breakdown'!G:G, 'Daily P&amp;L breakdown'!$A:$A, "&gt;=" &amp; EOMONTH($A42, -1) + 1, 'Daily P&amp;L breakdown'!$A:$A, "&lt;=" &amp; EOMONTH($A42, 0))</f>
        <v>0</v>
      </c>
      <c r="H42" s="150">
        <f>SUMIFS('Daily P&amp;L breakdown'!H:H, 'Daily P&amp;L breakdown'!$A:$A, "&gt;=" &amp; EOMONTH($A42, -1) + 1, 'Daily P&amp;L breakdown'!$A:$A, "&lt;=" &amp; EOMONTH($A42, 0))</f>
        <v>0</v>
      </c>
      <c r="I42" s="150">
        <f>SUMIFS('Daily P&amp;L breakdown'!I:I, 'Daily P&amp;L breakdown'!$A:$A, "&gt;=" &amp; EOMONTH($A42, -1) + 1, 'Daily P&amp;L breakdown'!$A:$A, "&lt;=" &amp; EOMONTH($A42, 0))</f>
        <v>0</v>
      </c>
      <c r="J42" s="150"/>
      <c r="K42" s="150">
        <f t="shared" si="2"/>
        <v>0</v>
      </c>
      <c r="L42" s="150"/>
    </row>
    <row r="43" spans="1:12">
      <c r="A43" s="102">
        <v>45962</v>
      </c>
      <c r="B43" s="150">
        <f>SUMIFS('Daily P&amp;L breakdown'!B:B, 'Daily P&amp;L breakdown'!$A:$A, "&gt;=" &amp; EOMONTH($A43, -1) + 1, 'Daily P&amp;L breakdown'!$A:$A, "&lt;=" &amp; EOMONTH($A43, 0))</f>
        <v>0</v>
      </c>
      <c r="C43" s="150">
        <f>SUMIFS('Daily P&amp;L breakdown'!D:D, 'Daily P&amp;L breakdown'!$A:$A, "&gt;=" &amp; EOMONTH($A43, -1) + 1, 'Daily P&amp;L breakdown'!$A:$A, "&lt;=" &amp; EOMONTH($A43, 0))</f>
        <v>0</v>
      </c>
      <c r="D43" s="150">
        <f>SUMIFS('Daily P&amp;L breakdown'!C:C, 'Daily P&amp;L breakdown'!$A:$A, "&gt;=" &amp; EOMONTH($A43, -1) + 1, 'Daily P&amp;L breakdown'!$A:$A, "&lt;=" &amp; EOMONTH($A43, 0))</f>
        <v>0</v>
      </c>
      <c r="E43" s="150">
        <f>SUMIFS('Daily P&amp;L breakdown'!E:E, 'Daily P&amp;L breakdown'!$A:$A, "&gt;=" &amp; EOMONTH($A43, -1) + 1, 'Daily P&amp;L breakdown'!$A:$A, "&lt;=" &amp; EOMONTH($A43, 0))</f>
        <v>0</v>
      </c>
      <c r="F43" s="150">
        <f>SUMIFS('Daily P&amp;L breakdown'!F:F, 'Daily P&amp;L breakdown'!$A:$A, "&gt;=" &amp; EOMONTH($A43, -1) + 1, 'Daily P&amp;L breakdown'!$A:$A, "&lt;=" &amp; EOMONTH($A43, 0))</f>
        <v>0</v>
      </c>
      <c r="G43" s="150">
        <f>SUMIFS('Daily P&amp;L breakdown'!G:G, 'Daily P&amp;L breakdown'!$A:$A, "&gt;=" &amp; EOMONTH($A43, -1) + 1, 'Daily P&amp;L breakdown'!$A:$A, "&lt;=" &amp; EOMONTH($A43, 0))</f>
        <v>0</v>
      </c>
      <c r="H43" s="150">
        <f>SUMIFS('Daily P&amp;L breakdown'!H:H, 'Daily P&amp;L breakdown'!$A:$A, "&gt;=" &amp; EOMONTH($A43, -1) + 1, 'Daily P&amp;L breakdown'!$A:$A, "&lt;=" &amp; EOMONTH($A43, 0))</f>
        <v>0</v>
      </c>
      <c r="I43" s="150">
        <f>SUMIFS('Daily P&amp;L breakdown'!I:I, 'Daily P&amp;L breakdown'!$A:$A, "&gt;=" &amp; EOMONTH($A43, -1) + 1, 'Daily P&amp;L breakdown'!$A:$A, "&lt;=" &amp; EOMONTH($A43, 0))</f>
        <v>0</v>
      </c>
      <c r="J43" s="150"/>
      <c r="K43" s="150">
        <f t="shared" si="2"/>
        <v>0</v>
      </c>
      <c r="L43" s="150"/>
    </row>
    <row r="44" spans="1:12">
      <c r="A44" s="102">
        <v>45992</v>
      </c>
      <c r="B44" s="150">
        <f>SUMIFS('Daily P&amp;L breakdown'!B:B, 'Daily P&amp;L breakdown'!$A:$A, "&gt;=" &amp; EOMONTH($A44, -1) + 1, 'Daily P&amp;L breakdown'!$A:$A, "&lt;=" &amp; EOMONTH($A44, 0))</f>
        <v>0</v>
      </c>
      <c r="C44" s="150">
        <f>SUMIFS('Daily P&amp;L breakdown'!D:D, 'Daily P&amp;L breakdown'!$A:$A, "&gt;=" &amp; EOMONTH($A44, -1) + 1, 'Daily P&amp;L breakdown'!$A:$A, "&lt;=" &amp; EOMONTH($A44, 0))</f>
        <v>0</v>
      </c>
      <c r="D44" s="150">
        <f>SUMIFS('Daily P&amp;L breakdown'!C:C, 'Daily P&amp;L breakdown'!$A:$A, "&gt;=" &amp; EOMONTH($A44, -1) + 1, 'Daily P&amp;L breakdown'!$A:$A, "&lt;=" &amp; EOMONTH($A44, 0))</f>
        <v>0</v>
      </c>
      <c r="E44" s="150">
        <f>SUMIFS('Daily P&amp;L breakdown'!E:E, 'Daily P&amp;L breakdown'!$A:$A, "&gt;=" &amp; EOMONTH($A44, -1) + 1, 'Daily P&amp;L breakdown'!$A:$A, "&lt;=" &amp; EOMONTH($A44, 0))</f>
        <v>0</v>
      </c>
      <c r="F44" s="150">
        <f>SUMIFS('Daily P&amp;L breakdown'!F:F, 'Daily P&amp;L breakdown'!$A:$A, "&gt;=" &amp; EOMONTH($A44, -1) + 1, 'Daily P&amp;L breakdown'!$A:$A, "&lt;=" &amp; EOMONTH($A44, 0))</f>
        <v>0</v>
      </c>
      <c r="G44" s="150">
        <f>SUMIFS('Daily P&amp;L breakdown'!G:G, 'Daily P&amp;L breakdown'!$A:$A, "&gt;=" &amp; EOMONTH($A44, -1) + 1, 'Daily P&amp;L breakdown'!$A:$A, "&lt;=" &amp; EOMONTH($A44, 0))</f>
        <v>0</v>
      </c>
      <c r="H44" s="150">
        <f>SUMIFS('Daily P&amp;L breakdown'!H:H, 'Daily P&amp;L breakdown'!$A:$A, "&gt;=" &amp; EOMONTH($A44, -1) + 1, 'Daily P&amp;L breakdown'!$A:$A, "&lt;=" &amp; EOMONTH($A44, 0))</f>
        <v>0</v>
      </c>
      <c r="I44" s="150">
        <f>SUMIFS('Daily P&amp;L breakdown'!I:I, 'Daily P&amp;L breakdown'!$A:$A, "&gt;=" &amp; EOMONTH($A44, -1) + 1, 'Daily P&amp;L breakdown'!$A:$A, "&lt;=" &amp; EOMONTH($A44, 0))</f>
        <v>0</v>
      </c>
      <c r="J44" s="150"/>
      <c r="K44" s="150">
        <f t="shared" si="2"/>
        <v>0</v>
      </c>
      <c r="L44" s="150"/>
    </row>
    <row r="45" spans="1:12">
      <c r="A45" s="143" t="s">
        <v>46</v>
      </c>
      <c r="B45" s="160">
        <f t="shared" ref="B45:I45" si="3">SUM(B33:B44)</f>
        <v>1616907.16</v>
      </c>
      <c r="C45" s="160">
        <f>SUM(C33:C44)</f>
        <v>234554.5900000004</v>
      </c>
      <c r="D45" s="160">
        <f>SUM(D33:D44)</f>
        <v>174582.74999999991</v>
      </c>
      <c r="E45" s="160">
        <f t="shared" si="3"/>
        <v>436101.38999999996</v>
      </c>
      <c r="F45" s="160">
        <f t="shared" si="3"/>
        <v>1307091.58</v>
      </c>
      <c r="G45" s="160">
        <f t="shared" si="3"/>
        <v>270528.75</v>
      </c>
      <c r="H45" s="160">
        <f t="shared" si="3"/>
        <v>914430.45000000019</v>
      </c>
      <c r="I45" s="160">
        <f t="shared" si="3"/>
        <v>0</v>
      </c>
      <c r="J45" s="160">
        <f>SUM(J33:J44)</f>
        <v>0</v>
      </c>
      <c r="K45" s="160">
        <f>SUM(K33:K44)</f>
        <v>4954196.6700000009</v>
      </c>
    </row>
    <row r="46" spans="1:12">
      <c r="A46" s="296" t="s">
        <v>47</v>
      </c>
      <c r="B46" s="297">
        <v>4163680.4899999979</v>
      </c>
      <c r="C46" s="297">
        <v>7118183.3400000008</v>
      </c>
      <c r="D46" s="297">
        <v>1475451.6300000004</v>
      </c>
      <c r="E46" s="297">
        <v>-2096198.1</v>
      </c>
      <c r="F46" s="297">
        <v>749546.2900000005</v>
      </c>
      <c r="G46" s="297">
        <v>5605745.8027410498</v>
      </c>
      <c r="H46" s="297">
        <v>7949499.6825110503</v>
      </c>
      <c r="I46" s="297">
        <v>0</v>
      </c>
      <c r="J46" s="297">
        <v>-6960481.4497700026</v>
      </c>
      <c r="K46" s="297">
        <v>18005427.685482096</v>
      </c>
    </row>
    <row r="47" spans="1:12">
      <c r="A47" s="91"/>
      <c r="B47" s="91"/>
      <c r="C47" s="93"/>
    </row>
    <row r="48" spans="1:12">
      <c r="A48" s="313" t="s">
        <v>48</v>
      </c>
      <c r="B48" s="313"/>
      <c r="C48" s="313"/>
      <c r="D48" s="313"/>
      <c r="E48" s="313"/>
      <c r="F48" s="313"/>
      <c r="G48" s="313"/>
      <c r="H48" s="313"/>
      <c r="I48" s="313"/>
      <c r="J48" s="313"/>
      <c r="K48" s="313"/>
    </row>
    <row r="49" spans="1:11">
      <c r="A49" s="101" t="s">
        <v>43</v>
      </c>
      <c r="B49" s="98" t="s">
        <v>25</v>
      </c>
      <c r="C49" s="98" t="s">
        <v>26</v>
      </c>
      <c r="D49" s="98" t="s">
        <v>27</v>
      </c>
      <c r="E49" s="98" t="s">
        <v>28</v>
      </c>
      <c r="F49" s="98" t="s">
        <v>29</v>
      </c>
      <c r="G49" s="98" t="s">
        <v>30</v>
      </c>
      <c r="H49" s="98" t="s">
        <v>31</v>
      </c>
      <c r="I49" s="98" t="s">
        <v>33</v>
      </c>
      <c r="J49" s="98" t="s">
        <v>44</v>
      </c>
      <c r="K49" s="98" t="s">
        <v>34</v>
      </c>
    </row>
    <row r="50" spans="1:11">
      <c r="A50" s="102">
        <v>45658</v>
      </c>
      <c r="B50" s="295">
        <f>B33/'Historical NAV'!$B$1169</f>
        <v>2.5557945864864703E-2</v>
      </c>
      <c r="C50" s="295">
        <f>C33/'Historical NAV'!$B$1169</f>
        <v>3.6018809502179317E-3</v>
      </c>
      <c r="D50" s="295">
        <f>D33/'Historical NAV'!$B$1169</f>
        <v>2.7599630434170311E-3</v>
      </c>
      <c r="E50" s="295">
        <f>E33/'Historical NAV'!$B$1169</f>
        <v>2.3593949758979557E-3</v>
      </c>
      <c r="F50" s="295">
        <f>F33/'Historical NAV'!$B$1169</f>
        <v>2.0663693607538992E-2</v>
      </c>
      <c r="G50" s="295">
        <f>G33/'Historical NAV'!$B$1169</f>
        <v>4.2767647558639415E-3</v>
      </c>
      <c r="H50" s="295">
        <f>H33/'Historical NAV'!$B$1169</f>
        <v>1.4135178485330796E-2</v>
      </c>
      <c r="I50" s="295">
        <f>I33/'Historical NAV'!$B$1169</f>
        <v>0</v>
      </c>
      <c r="J50" s="295">
        <f>J33/'Historical NAV'!$B$1169</f>
        <v>0</v>
      </c>
      <c r="K50" s="295">
        <f>K33/'Historical NAV'!$B$1169</f>
        <v>7.3354821683131358E-2</v>
      </c>
    </row>
    <row r="51" spans="1:11">
      <c r="A51" s="102">
        <v>45689</v>
      </c>
      <c r="B51" s="295">
        <f>B34/'Historical NAV'!$B$1191</f>
        <v>3.4291893076349287E-6</v>
      </c>
      <c r="C51" s="295">
        <f>C34/'Historical NAV'!$B$1191</f>
        <v>1.0128950761676847E-4</v>
      </c>
      <c r="D51" s="295">
        <f>D34/'Historical NAV'!$B$1191</f>
        <v>0</v>
      </c>
      <c r="E51" s="295">
        <f>E34/'Historical NAV'!$B$1191</f>
        <v>4.3263673053384301E-3</v>
      </c>
      <c r="F51" s="295">
        <f>F34/'Historical NAV'!$B$1191</f>
        <v>0</v>
      </c>
      <c r="G51" s="295">
        <f>G34/'Historical NAV'!$B$1191</f>
        <v>0</v>
      </c>
      <c r="H51" s="295">
        <f>H34/'Historical NAV'!$B$1191</f>
        <v>3.0621150811195418E-4</v>
      </c>
      <c r="I51" s="295">
        <f>I34/'Historical NAV'!$B$1191</f>
        <v>0</v>
      </c>
      <c r="J51" s="295">
        <f>J34/'Historical NAV'!$B$1191</f>
        <v>0</v>
      </c>
      <c r="K51" s="295">
        <f>K34/'Historical NAV'!$B$1191</f>
        <v>4.7372975103747881E-3</v>
      </c>
    </row>
    <row r="52" spans="1:11">
      <c r="A52" s="102">
        <v>45717</v>
      </c>
      <c r="B52" s="295"/>
      <c r="C52" s="295"/>
      <c r="D52" s="295"/>
      <c r="E52" s="295"/>
      <c r="F52" s="295"/>
      <c r="G52" s="295"/>
      <c r="H52" s="295"/>
      <c r="I52" s="295"/>
      <c r="J52" s="295"/>
      <c r="K52" s="295"/>
    </row>
    <row r="53" spans="1:11">
      <c r="A53" s="102">
        <v>45748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</row>
    <row r="54" spans="1:11">
      <c r="A54" s="102">
        <v>45778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</row>
    <row r="55" spans="1:11">
      <c r="A55" s="102">
        <v>45809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</row>
    <row r="56" spans="1:11">
      <c r="A56" s="102">
        <v>45839</v>
      </c>
      <c r="B56" s="295"/>
      <c r="C56" s="295"/>
      <c r="D56" s="295"/>
      <c r="E56" s="295"/>
      <c r="F56" s="295"/>
      <c r="G56" s="295"/>
      <c r="H56" s="295"/>
      <c r="I56" s="295"/>
      <c r="J56" s="295"/>
      <c r="K56" s="295"/>
    </row>
    <row r="57" spans="1:11">
      <c r="A57" s="102">
        <v>45870</v>
      </c>
      <c r="B57" s="295"/>
      <c r="C57" s="295"/>
      <c r="D57" s="295"/>
      <c r="E57" s="295"/>
      <c r="F57" s="295"/>
      <c r="G57" s="295"/>
      <c r="H57" s="295"/>
      <c r="I57" s="295"/>
      <c r="J57" s="295"/>
      <c r="K57" s="295"/>
    </row>
    <row r="58" spans="1:11">
      <c r="A58" s="102">
        <v>45901</v>
      </c>
      <c r="B58" s="295"/>
      <c r="C58" s="295"/>
      <c r="D58" s="295"/>
      <c r="E58" s="295"/>
      <c r="F58" s="295"/>
      <c r="G58" s="295"/>
      <c r="H58" s="295"/>
      <c r="I58" s="295"/>
      <c r="J58" s="295"/>
      <c r="K58" s="295"/>
    </row>
    <row r="59" spans="1:11">
      <c r="A59" s="102">
        <v>45931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</row>
    <row r="60" spans="1:11">
      <c r="A60" s="102">
        <v>45962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</row>
    <row r="61" spans="1:11">
      <c r="A61" s="102">
        <v>45992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</row>
    <row r="62" spans="1:11">
      <c r="A62" s="143" t="s">
        <v>46</v>
      </c>
      <c r="B62" s="162"/>
      <c r="C62" s="162"/>
      <c r="D62" s="162"/>
      <c r="E62" s="162"/>
      <c r="F62" s="162"/>
      <c r="G62" s="162"/>
      <c r="H62" s="162"/>
      <c r="I62" s="162"/>
      <c r="J62" s="162"/>
      <c r="K62" s="162"/>
    </row>
    <row r="65" spans="1:8">
      <c r="A65" s="265"/>
      <c r="B65" s="265"/>
      <c r="C65" s="265"/>
      <c r="D65" s="265"/>
      <c r="G65" s="265"/>
      <c r="H65" s="265"/>
    </row>
    <row r="66" spans="1:8">
      <c r="A66" s="129"/>
      <c r="B66" s="8"/>
      <c r="C66" s="8"/>
      <c r="D66" s="51"/>
      <c r="G66" s="8"/>
      <c r="H66" s="8"/>
    </row>
    <row r="67" spans="1:8">
      <c r="A67" s="129"/>
      <c r="B67" s="8"/>
      <c r="C67" s="8"/>
      <c r="D67" s="51"/>
      <c r="G67" s="8"/>
      <c r="H67" s="8"/>
    </row>
    <row r="68" spans="1:8">
      <c r="A68" s="129"/>
      <c r="B68" s="8"/>
      <c r="C68" s="8"/>
      <c r="D68" s="51"/>
      <c r="G68" s="8"/>
      <c r="H68" s="8"/>
    </row>
    <row r="69" spans="1:8">
      <c r="A69" s="129"/>
      <c r="B69" s="8"/>
      <c r="C69" s="8"/>
      <c r="D69" s="51"/>
    </row>
    <row r="70" spans="1:8">
      <c r="A70" s="129"/>
      <c r="B70" s="8"/>
      <c r="C70" s="8"/>
      <c r="D70" s="51"/>
    </row>
    <row r="71" spans="1:8">
      <c r="A71" s="129"/>
      <c r="B71" s="8"/>
      <c r="C71" s="8"/>
      <c r="D71" s="51"/>
    </row>
    <row r="72" spans="1:8">
      <c r="A72" s="129"/>
      <c r="B72" s="8"/>
      <c r="C72" s="8"/>
      <c r="D72" s="51"/>
    </row>
    <row r="73" spans="1:8">
      <c r="A73" s="129"/>
      <c r="B73" s="8"/>
      <c r="C73" s="8"/>
      <c r="D73" s="51"/>
      <c r="E73" s="8"/>
    </row>
    <row r="74" spans="1:8">
      <c r="A74" s="129"/>
      <c r="B74" s="8"/>
      <c r="C74" s="8"/>
      <c r="D74" s="51"/>
    </row>
    <row r="75" spans="1:8">
      <c r="A75" s="129"/>
      <c r="B75" s="8"/>
      <c r="C75" s="8"/>
      <c r="D75" s="51"/>
    </row>
    <row r="76" spans="1:8">
      <c r="A76" s="129"/>
      <c r="B76" s="8"/>
      <c r="C76" s="8"/>
      <c r="D76" s="51"/>
    </row>
    <row r="77" spans="1:8">
      <c r="A77" s="129"/>
      <c r="B77" s="8"/>
      <c r="C77" s="8"/>
      <c r="D77" s="51"/>
    </row>
    <row r="78" spans="1:8">
      <c r="A78" s="129"/>
      <c r="B78" s="8"/>
      <c r="C78" s="8"/>
      <c r="D78" s="51"/>
    </row>
    <row r="79" spans="1:8">
      <c r="A79" s="129"/>
      <c r="B79" s="8"/>
      <c r="C79" s="8"/>
      <c r="D79" s="51"/>
    </row>
    <row r="80" spans="1:8">
      <c r="A80" s="129"/>
      <c r="B80" s="8"/>
      <c r="C80" s="8"/>
      <c r="D80" s="51"/>
    </row>
    <row r="81" spans="1:4">
      <c r="A81" s="129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50"/>
  <sheetViews>
    <sheetView zoomScale="85" zoomScaleNormal="85" workbookViewId="0">
      <pane xSplit="1" ySplit="1" topLeftCell="B1168" activePane="bottomRight" state="frozen"/>
      <selection pane="bottomRight" activeCell="J1205" sqref="J1205"/>
      <selection pane="bottomLeft" activeCell="A2" sqref="A2"/>
      <selection pane="topRight" activeCell="B1" sqref="B1"/>
    </sheetView>
  </sheetViews>
  <sheetFormatPr defaultRowHeight="14.45" outlineLevelCol="1"/>
  <cols>
    <col min="1" max="1" width="16.7109375" style="3" customWidth="1"/>
    <col min="2" max="2" width="16.7109375" style="76" customWidth="1"/>
    <col min="3" max="3" width="16.7109375" style="129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27" customFormat="1" ht="30.75" customHeight="1">
      <c r="A1" s="120" t="s">
        <v>49</v>
      </c>
      <c r="B1" s="121" t="s">
        <v>50</v>
      </c>
      <c r="C1" s="121" t="s">
        <v>51</v>
      </c>
      <c r="D1" s="123" t="s">
        <v>52</v>
      </c>
      <c r="E1" s="123" t="s">
        <v>53</v>
      </c>
      <c r="F1" s="123" t="s">
        <v>54</v>
      </c>
      <c r="G1" s="124" t="s">
        <v>8</v>
      </c>
      <c r="H1" s="124" t="s">
        <v>55</v>
      </c>
      <c r="I1" s="124" t="s">
        <v>56</v>
      </c>
      <c r="J1" s="123" t="s">
        <v>57</v>
      </c>
      <c r="K1" s="123" t="s">
        <v>58</v>
      </c>
      <c r="L1" s="124" t="s">
        <v>59</v>
      </c>
      <c r="M1" s="124" t="s">
        <v>60</v>
      </c>
      <c r="N1" s="124" t="s">
        <v>61</v>
      </c>
      <c r="O1" s="124" t="s">
        <v>62</v>
      </c>
      <c r="P1" s="124" t="s">
        <v>63</v>
      </c>
      <c r="Q1" s="125" t="s">
        <v>64</v>
      </c>
      <c r="R1" s="126" t="s">
        <v>65</v>
      </c>
      <c r="S1" s="125" t="s">
        <v>66</v>
      </c>
      <c r="T1" s="126" t="s">
        <v>67</v>
      </c>
      <c r="U1" s="125" t="s">
        <v>68</v>
      </c>
      <c r="V1" s="126" t="s">
        <v>69</v>
      </c>
      <c r="W1" s="126" t="s">
        <v>17</v>
      </c>
      <c r="X1" s="126" t="s">
        <v>70</v>
      </c>
      <c r="Y1" s="137" t="s">
        <v>71</v>
      </c>
      <c r="Z1" s="137" t="s">
        <v>72</v>
      </c>
      <c r="AA1" s="137" t="s">
        <v>73</v>
      </c>
      <c r="AB1" s="126" t="s">
        <v>18</v>
      </c>
      <c r="AC1" s="126" t="s">
        <v>74</v>
      </c>
      <c r="AD1" s="126" t="s">
        <v>75</v>
      </c>
      <c r="AE1" s="126" t="s">
        <v>76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5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4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07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3"/>
      <c r="AE410" s="203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07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2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77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08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28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38">
        <f>4.5%/252</f>
        <v>1.7857142857142857E-4</v>
      </c>
      <c r="Y909" s="138">
        <f>G909-X909</f>
        <v>-4.9428741396759376E-4</v>
      </c>
      <c r="Z909" s="138">
        <f>IF(Y909&lt;0,Y909,0)</f>
        <v>-4.9428741396759376E-4</v>
      </c>
      <c r="AA909" s="138">
        <f>Z909^2</f>
        <v>2.4432004760677138E-7</v>
      </c>
      <c r="AB909" s="140">
        <f>AVERAGE(Y658:Y909)/AVERAGE(AA658:AA909)</f>
        <v>10.862753770151159</v>
      </c>
      <c r="AC909" s="140">
        <f>AVERAGE(G880:G909)-_xlfn.NORM.S.INV(0.95)*_xlfn.STDEV.S(G880:G909)</f>
        <v>-5.2082859904471958E-2</v>
      </c>
      <c r="AD909" s="140">
        <f>AVERAGE(G820:G909)-_xlfn.NORM.S.INV(0.95)*_xlfn.STDEV.S(G820:G909)</f>
        <v>-4.1868441458356012E-2</v>
      </c>
      <c r="AE909" s="140">
        <f>AVERAGE(G545:G909)-_xlfn.NORM.S.INV(0.95)*_xlfn.STDEV.S(G545:G909)</f>
        <v>-3.5077409479119914E-2</v>
      </c>
    </row>
    <row r="910" spans="1:31">
      <c r="A910" s="88">
        <v>45293</v>
      </c>
      <c r="B910" s="128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38">
        <f>4.5%/252</f>
        <v>1.7857142857142857E-4</v>
      </c>
      <c r="Y910" s="135">
        <f t="shared" ref="Y910:Y973" si="160">G910-X910</f>
        <v>-6.3473782246552188E-2</v>
      </c>
      <c r="Z910" s="135">
        <f t="shared" ref="Z910:Z973" si="161">IF(Y910&lt;0,Y910,0)</f>
        <v>-6.3473782246552188E-2</v>
      </c>
      <c r="AA910" s="135">
        <f t="shared" ref="AA910:AA973" si="162">Z910^2</f>
        <v>4.0289210326827241E-3</v>
      </c>
      <c r="AB910" s="140">
        <f t="shared" ref="AB910:AB973" si="163">AVERAGE(Y659:Y910)/AVERAGE(AA659:AA910)</f>
        <v>8.7012884371435515</v>
      </c>
      <c r="AC910" s="140">
        <f t="shared" ref="AC910:AC973" si="164">AVERAGE(G881:G910)-_xlfn.NORM.S.INV(0.95)*_xlfn.STDEV.S(G881:G910)</f>
        <v>-5.7913282446722635E-2</v>
      </c>
      <c r="AD910" s="140">
        <f t="shared" ref="AD910:AD973" si="165">AVERAGE(G821:G910)-_xlfn.NORM.S.INV(0.95)*_xlfn.STDEV.S(G821:G910)</f>
        <v>-4.4120407911699182E-2</v>
      </c>
      <c r="AE910" s="140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28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38">
        <f>4.5%/252</f>
        <v>1.7857142857142857E-4</v>
      </c>
      <c r="Y911" s="135">
        <f t="shared" si="160"/>
        <v>-6.0231255081398233E-2</v>
      </c>
      <c r="Z911" s="135">
        <f t="shared" si="161"/>
        <v>-6.0231255081398233E-2</v>
      </c>
      <c r="AA911" s="135">
        <f t="shared" si="162"/>
        <v>3.6278040886804606E-3</v>
      </c>
      <c r="AB911" s="140">
        <f t="shared" si="163"/>
        <v>7.0897836188470125</v>
      </c>
      <c r="AC911" s="140">
        <f t="shared" si="164"/>
        <v>-6.3469883780326558E-2</v>
      </c>
      <c r="AD911" s="140">
        <f t="shared" si="165"/>
        <v>-4.6107566040296484E-2</v>
      </c>
      <c r="AE911" s="140">
        <f t="shared" si="166"/>
        <v>-3.6176064662886386E-2</v>
      </c>
    </row>
    <row r="912" spans="1:31">
      <c r="A912" s="88">
        <v>45295</v>
      </c>
      <c r="B912" s="128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38">
        <f t="shared" ref="X912:X975" si="167">4.5%/252</f>
        <v>1.7857142857142857E-4</v>
      </c>
      <c r="Y912" s="135">
        <f t="shared" si="160"/>
        <v>-8.9139955818648732E-3</v>
      </c>
      <c r="Z912" s="135">
        <f t="shared" si="161"/>
        <v>-8.9139955818648732E-3</v>
      </c>
      <c r="AA912" s="135">
        <f t="shared" si="162"/>
        <v>7.9459317233506485E-5</v>
      </c>
      <c r="AB912" s="140">
        <f t="shared" si="163"/>
        <v>7.0086610027689016</v>
      </c>
      <c r="AC912" s="140">
        <f t="shared" si="164"/>
        <v>-6.3931392382366586E-2</v>
      </c>
      <c r="AD912" s="140">
        <f t="shared" si="165"/>
        <v>-4.6287274862539585E-2</v>
      </c>
      <c r="AE912" s="140">
        <f t="shared" si="166"/>
        <v>-3.6181172865485278E-2</v>
      </c>
    </row>
    <row r="913" spans="1:31">
      <c r="A913" s="88">
        <v>45296</v>
      </c>
      <c r="B913" s="128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38">
        <f t="shared" si="167"/>
        <v>1.7857142857142857E-4</v>
      </c>
      <c r="Y913" s="135">
        <f t="shared" si="160"/>
        <v>6.0970705378987297E-4</v>
      </c>
      <c r="Z913" s="135">
        <f t="shared" si="161"/>
        <v>0</v>
      </c>
      <c r="AA913" s="135">
        <f t="shared" si="162"/>
        <v>0</v>
      </c>
      <c r="AB913" s="140">
        <f t="shared" si="163"/>
        <v>6.9291722044828337</v>
      </c>
      <c r="AC913" s="140">
        <f t="shared" si="164"/>
        <v>-6.3783027039708506E-2</v>
      </c>
      <c r="AD913" s="140">
        <f t="shared" si="165"/>
        <v>-4.6272142704630176E-2</v>
      </c>
      <c r="AE913" s="140">
        <f t="shared" si="166"/>
        <v>-3.6090784938544028E-2</v>
      </c>
    </row>
    <row r="914" spans="1:31">
      <c r="A914" s="88">
        <v>45299</v>
      </c>
      <c r="B914" s="128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38">
        <f t="shared" si="167"/>
        <v>1.7857142857142857E-4</v>
      </c>
      <c r="Y914" s="135">
        <f t="shared" si="160"/>
        <v>2.8496682570806054E-2</v>
      </c>
      <c r="Z914" s="135">
        <f t="shared" si="161"/>
        <v>0</v>
      </c>
      <c r="AA914" s="135">
        <f t="shared" si="162"/>
        <v>0</v>
      </c>
      <c r="AB914" s="140">
        <f t="shared" si="163"/>
        <v>7.5286779031822197</v>
      </c>
      <c r="AC914" s="140">
        <f t="shared" si="164"/>
        <v>-6.3200991071602E-2</v>
      </c>
      <c r="AD914" s="140">
        <f t="shared" si="165"/>
        <v>-4.6145540173811256E-2</v>
      </c>
      <c r="AE914" s="140">
        <f t="shared" si="166"/>
        <v>-3.6093776484001333E-2</v>
      </c>
    </row>
    <row r="915" spans="1:31">
      <c r="A915" s="88">
        <v>45300</v>
      </c>
      <c r="B915" s="128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38">
        <f t="shared" si="167"/>
        <v>1.7857142857142857E-4</v>
      </c>
      <c r="Y915" s="135">
        <f t="shared" si="160"/>
        <v>-1.1387220644610419E-2</v>
      </c>
      <c r="Z915" s="135">
        <f t="shared" si="161"/>
        <v>-1.1387220644610419E-2</v>
      </c>
      <c r="AA915" s="135">
        <f t="shared" si="162"/>
        <v>1.2966879400904172E-4</v>
      </c>
      <c r="AB915" s="140">
        <f t="shared" si="163"/>
        <v>7.0504472094076567</v>
      </c>
      <c r="AC915" s="140">
        <f t="shared" si="164"/>
        <v>-6.41218790696024E-2</v>
      </c>
      <c r="AD915" s="140">
        <f t="shared" si="165"/>
        <v>-4.6291036691684606E-2</v>
      </c>
      <c r="AE915" s="140">
        <f t="shared" si="166"/>
        <v>-3.6158472517288751E-2</v>
      </c>
    </row>
    <row r="916" spans="1:31">
      <c r="A916" s="88">
        <v>45301</v>
      </c>
      <c r="B916" s="128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38">
        <f t="shared" si="167"/>
        <v>1.7857142857142857E-4</v>
      </c>
      <c r="Y916" s="135">
        <f t="shared" si="160"/>
        <v>5.5128545579673774E-3</v>
      </c>
      <c r="Z916" s="135">
        <f t="shared" si="161"/>
        <v>0</v>
      </c>
      <c r="AA916" s="135">
        <f t="shared" si="162"/>
        <v>0</v>
      </c>
      <c r="AB916" s="140">
        <f t="shared" si="163"/>
        <v>6.8483163400451295</v>
      </c>
      <c r="AC916" s="140">
        <f t="shared" si="164"/>
        <v>-6.357102229902753E-2</v>
      </c>
      <c r="AD916" s="140">
        <f t="shared" si="165"/>
        <v>-4.5963377368330963E-2</v>
      </c>
      <c r="AE916" s="140">
        <f t="shared" si="166"/>
        <v>-3.61213830794226E-2</v>
      </c>
    </row>
    <row r="917" spans="1:31">
      <c r="A917" s="88">
        <v>45302</v>
      </c>
      <c r="B917" s="128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38">
        <f t="shared" si="167"/>
        <v>1.7857142857142857E-4</v>
      </c>
      <c r="Y917" s="135">
        <f t="shared" si="160"/>
        <v>-8.0231252022815239E-3</v>
      </c>
      <c r="Z917" s="135">
        <f t="shared" si="161"/>
        <v>-8.0231252022815239E-3</v>
      </c>
      <c r="AA917" s="135">
        <f t="shared" si="162"/>
        <v>6.437053801148494E-5</v>
      </c>
      <c r="AB917" s="140">
        <f t="shared" si="163"/>
        <v>6.6038904142900243</v>
      </c>
      <c r="AC917" s="140">
        <f t="shared" si="164"/>
        <v>-6.3794141846392469E-2</v>
      </c>
      <c r="AD917" s="140">
        <f t="shared" si="165"/>
        <v>-4.5967297476433439E-2</v>
      </c>
      <c r="AE917" s="140">
        <f t="shared" si="166"/>
        <v>-3.6040463559103127E-2</v>
      </c>
    </row>
    <row r="918" spans="1:31">
      <c r="A918" s="88">
        <v>45303</v>
      </c>
      <c r="B918" s="128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38">
        <f t="shared" si="167"/>
        <v>1.7857142857142857E-4</v>
      </c>
      <c r="Y918" s="135">
        <f t="shared" si="160"/>
        <v>-5.315512259112188E-3</v>
      </c>
      <c r="Z918" s="135">
        <f t="shared" si="161"/>
        <v>-5.315512259112188E-3</v>
      </c>
      <c r="AA918" s="135">
        <f t="shared" si="162"/>
        <v>2.8254670576771958E-5</v>
      </c>
      <c r="AB918" s="140">
        <f t="shared" si="163"/>
        <v>6.5108385796554913</v>
      </c>
      <c r="AC918" s="140">
        <f t="shared" si="164"/>
        <v>-6.4689249143734764E-2</v>
      </c>
      <c r="AD918" s="140">
        <f t="shared" si="165"/>
        <v>-4.6095231289061782E-2</v>
      </c>
      <c r="AE918" s="140">
        <f t="shared" si="166"/>
        <v>-3.607053455939558E-2</v>
      </c>
    </row>
    <row r="919" spans="1:31">
      <c r="A919" s="88">
        <v>45306</v>
      </c>
      <c r="B919" s="128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38">
        <f t="shared" si="167"/>
        <v>1.7857142857142857E-4</v>
      </c>
      <c r="Y919" s="135">
        <f t="shared" si="160"/>
        <v>-7.4907719136200416E-4</v>
      </c>
      <c r="Z919" s="135">
        <f t="shared" si="161"/>
        <v>-7.4907719136200416E-4</v>
      </c>
      <c r="AA919" s="135">
        <f t="shared" si="162"/>
        <v>5.6111663861878861E-7</v>
      </c>
      <c r="AB919" s="140">
        <f t="shared" si="163"/>
        <v>6.0083548527650716</v>
      </c>
      <c r="AC919" s="140">
        <f t="shared" si="164"/>
        <v>-6.3099215220968521E-2</v>
      </c>
      <c r="AD919" s="140">
        <f t="shared" si="165"/>
        <v>-4.6236288452643208E-2</v>
      </c>
      <c r="AE919" s="140">
        <f t="shared" si="166"/>
        <v>-3.5871644799467611E-2</v>
      </c>
    </row>
    <row r="920" spans="1:31">
      <c r="A920" s="88">
        <v>45307</v>
      </c>
      <c r="B920" s="128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38">
        <f t="shared" si="167"/>
        <v>1.7857142857142857E-4</v>
      </c>
      <c r="Y920" s="135">
        <f t="shared" si="160"/>
        <v>-2.0788210419834693E-2</v>
      </c>
      <c r="Z920" s="135">
        <f t="shared" si="161"/>
        <v>-2.0788210419834693E-2</v>
      </c>
      <c r="AA920" s="135">
        <f t="shared" si="162"/>
        <v>4.3214969245932371E-4</v>
      </c>
      <c r="AB920" s="140">
        <f t="shared" si="163"/>
        <v>5.5896575965356101</v>
      </c>
      <c r="AC920" s="140">
        <f t="shared" si="164"/>
        <v>-6.4778897399616453E-2</v>
      </c>
      <c r="AD920" s="140">
        <f t="shared" si="165"/>
        <v>-4.6270865602616937E-2</v>
      </c>
      <c r="AE920" s="140">
        <f t="shared" si="166"/>
        <v>-3.5705039233227299E-2</v>
      </c>
    </row>
    <row r="921" spans="1:31">
      <c r="A921" s="88">
        <v>45308</v>
      </c>
      <c r="B921" s="128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38">
        <f t="shared" si="167"/>
        <v>1.7857142857142857E-4</v>
      </c>
      <c r="Y921" s="135">
        <f t="shared" si="160"/>
        <v>-1.2586303087684873E-2</v>
      </c>
      <c r="Z921" s="135">
        <f t="shared" si="161"/>
        <v>-1.2586303087684873E-2</v>
      </c>
      <c r="AA921" s="135">
        <f t="shared" si="162"/>
        <v>1.5841502541506577E-4</v>
      </c>
      <c r="AB921" s="140">
        <f t="shared" si="163"/>
        <v>6.0256006546913667</v>
      </c>
      <c r="AC921" s="140">
        <f t="shared" si="164"/>
        <v>-6.4531913188445714E-2</v>
      </c>
      <c r="AD921" s="140">
        <f t="shared" si="165"/>
        <v>-4.6538116479177979E-2</v>
      </c>
      <c r="AE921" s="140">
        <f t="shared" si="166"/>
        <v>-3.575914851871341E-2</v>
      </c>
    </row>
    <row r="922" spans="1:31">
      <c r="A922" s="88">
        <v>45309</v>
      </c>
      <c r="B922" s="128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38">
        <f t="shared" si="167"/>
        <v>1.7857142857142857E-4</v>
      </c>
      <c r="Y922" s="135">
        <f t="shared" si="160"/>
        <v>5.74281599180799E-3</v>
      </c>
      <c r="Z922" s="135">
        <f t="shared" si="161"/>
        <v>0</v>
      </c>
      <c r="AA922" s="135">
        <f t="shared" si="162"/>
        <v>0</v>
      </c>
      <c r="AB922" s="140">
        <f t="shared" si="163"/>
        <v>5.7684573989552934</v>
      </c>
      <c r="AC922" s="140">
        <f t="shared" si="164"/>
        <v>-6.4959497821427903E-2</v>
      </c>
      <c r="AD922" s="140">
        <f t="shared" si="165"/>
        <v>-4.6602626525068587E-2</v>
      </c>
      <c r="AE922" s="140">
        <f t="shared" si="166"/>
        <v>-3.5755725497871135E-2</v>
      </c>
    </row>
    <row r="923" spans="1:31">
      <c r="A923" s="88">
        <v>45310</v>
      </c>
      <c r="B923" s="128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38">
        <f t="shared" si="167"/>
        <v>1.7857142857142857E-4</v>
      </c>
      <c r="Y923" s="135">
        <f t="shared" si="160"/>
        <v>2.3722810559260388E-2</v>
      </c>
      <c r="Z923" s="135">
        <f t="shared" si="161"/>
        <v>0</v>
      </c>
      <c r="AA923" s="135">
        <f t="shared" si="162"/>
        <v>0</v>
      </c>
      <c r="AB923" s="140">
        <f t="shared" si="163"/>
        <v>5.4677097869812741</v>
      </c>
      <c r="AC923" s="140">
        <f t="shared" si="164"/>
        <v>-6.467674944916299E-2</v>
      </c>
      <c r="AD923" s="140">
        <f t="shared" si="165"/>
        <v>-4.5716398044424816E-2</v>
      </c>
      <c r="AE923" s="140">
        <f t="shared" si="166"/>
        <v>-3.5745732539613599E-2</v>
      </c>
    </row>
    <row r="924" spans="1:31">
      <c r="A924" s="88">
        <v>45313</v>
      </c>
      <c r="B924" s="128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38">
        <f t="shared" si="167"/>
        <v>1.7857142857142857E-4</v>
      </c>
      <c r="Y924" s="135">
        <f t="shared" si="160"/>
        <v>1.2350124522645674E-2</v>
      </c>
      <c r="Z924" s="135">
        <f t="shared" si="161"/>
        <v>0</v>
      </c>
      <c r="AA924" s="135">
        <f t="shared" si="162"/>
        <v>0</v>
      </c>
      <c r="AB924" s="140">
        <f t="shared" si="163"/>
        <v>5.0533181245168821</v>
      </c>
      <c r="AC924" s="140">
        <f t="shared" si="164"/>
        <v>-6.4727940736665185E-2</v>
      </c>
      <c r="AD924" s="140">
        <f t="shared" si="165"/>
        <v>-4.5548744312893796E-2</v>
      </c>
      <c r="AE924" s="140">
        <f t="shared" si="166"/>
        <v>-3.5181953101091366E-2</v>
      </c>
    </row>
    <row r="925" spans="1:31">
      <c r="A925" s="88">
        <v>45314</v>
      </c>
      <c r="B925" s="128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38">
        <f t="shared" si="167"/>
        <v>1.7857142857142857E-4</v>
      </c>
      <c r="Y925" s="135">
        <f t="shared" si="160"/>
        <v>2.527954100243058E-3</v>
      </c>
      <c r="Z925" s="135">
        <f t="shared" si="161"/>
        <v>0</v>
      </c>
      <c r="AA925" s="135">
        <f t="shared" si="162"/>
        <v>0</v>
      </c>
      <c r="AB925" s="140">
        <f t="shared" si="163"/>
        <v>5.7726992168028266</v>
      </c>
      <c r="AC925" s="140">
        <f t="shared" si="164"/>
        <v>-6.523302373857387E-2</v>
      </c>
      <c r="AD925" s="140">
        <f t="shared" si="165"/>
        <v>-4.5444798463007537E-2</v>
      </c>
      <c r="AE925" s="140">
        <f t="shared" si="166"/>
        <v>-3.511492470443256E-2</v>
      </c>
    </row>
    <row r="926" spans="1:31">
      <c r="A926" s="88">
        <v>45315</v>
      </c>
      <c r="B926" s="128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38">
        <f t="shared" si="167"/>
        <v>1.7857142857142857E-4</v>
      </c>
      <c r="Y926" s="135">
        <f t="shared" si="160"/>
        <v>-6.2938722010968283E-3</v>
      </c>
      <c r="Z926" s="135">
        <f t="shared" si="161"/>
        <v>-6.2938722010968283E-3</v>
      </c>
      <c r="AA926" s="135">
        <f t="shared" si="162"/>
        <v>3.9612827283739431E-5</v>
      </c>
      <c r="AB926" s="140">
        <f t="shared" si="163"/>
        <v>6.0881952375052268</v>
      </c>
      <c r="AC926" s="140">
        <f t="shared" si="164"/>
        <v>-5.6297707488872778E-2</v>
      </c>
      <c r="AD926" s="140">
        <f t="shared" si="165"/>
        <v>-4.4993545690817142E-2</v>
      </c>
      <c r="AE926" s="140">
        <f t="shared" si="166"/>
        <v>-3.503011666912359E-2</v>
      </c>
    </row>
    <row r="927" spans="1:31">
      <c r="A927" s="88">
        <v>45316</v>
      </c>
      <c r="B927" s="128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38">
        <f t="shared" si="167"/>
        <v>1.7857142857142857E-4</v>
      </c>
      <c r="Y927" s="135">
        <f t="shared" si="160"/>
        <v>-9.1391668603997035E-3</v>
      </c>
      <c r="Z927" s="135">
        <f t="shared" si="161"/>
        <v>-9.1391668603997035E-3</v>
      </c>
      <c r="AA927" s="135">
        <f t="shared" si="162"/>
        <v>8.3524370902228169E-5</v>
      </c>
      <c r="AB927" s="140">
        <f t="shared" si="163"/>
        <v>5.5689490716958758</v>
      </c>
      <c r="AC927" s="140">
        <f t="shared" si="164"/>
        <v>-5.5812594424229985E-2</v>
      </c>
      <c r="AD927" s="140">
        <f t="shared" si="165"/>
        <v>-4.4146825361653506E-2</v>
      </c>
      <c r="AE927" s="140">
        <f t="shared" si="166"/>
        <v>-3.5010377141031952E-2</v>
      </c>
    </row>
    <row r="928" spans="1:31">
      <c r="A928" s="88">
        <v>45317</v>
      </c>
      <c r="B928" s="128">
        <v>47691210.270000003</v>
      </c>
      <c r="C928" s="129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38">
        <f t="shared" si="167"/>
        <v>1.7857142857142857E-4</v>
      </c>
      <c r="Y928" s="135">
        <f t="shared" si="160"/>
        <v>-5.3335927590096579E-3</v>
      </c>
      <c r="Z928" s="135">
        <f t="shared" si="161"/>
        <v>-5.3335927590096579E-3</v>
      </c>
      <c r="AA928" s="135">
        <f t="shared" si="162"/>
        <v>2.8447211718960256E-5</v>
      </c>
      <c r="AB928" s="140">
        <f t="shared" si="163"/>
        <v>5.7911102367895273</v>
      </c>
      <c r="AC928" s="140">
        <f t="shared" si="164"/>
        <v>-5.5527573332180918E-2</v>
      </c>
      <c r="AD928" s="140">
        <f t="shared" si="165"/>
        <v>-4.4281601785617047E-2</v>
      </c>
      <c r="AE928" s="140">
        <f t="shared" si="166"/>
        <v>-3.5008680549556644E-2</v>
      </c>
    </row>
    <row r="929" spans="1:31">
      <c r="A929" s="88">
        <v>45320</v>
      </c>
      <c r="B929" s="128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38">
        <f t="shared" si="167"/>
        <v>1.7857142857142857E-4</v>
      </c>
      <c r="Y929" s="135">
        <f t="shared" si="160"/>
        <v>2.891681516665736E-2</v>
      </c>
      <c r="Z929" s="135">
        <f t="shared" si="161"/>
        <v>0</v>
      </c>
      <c r="AA929" s="135">
        <f t="shared" si="162"/>
        <v>0</v>
      </c>
      <c r="AB929" s="140">
        <f t="shared" si="163"/>
        <v>6.672611237702708</v>
      </c>
      <c r="AC929" s="140">
        <f t="shared" si="164"/>
        <v>-5.5548792907093525E-2</v>
      </c>
      <c r="AD929" s="140">
        <f t="shared" si="165"/>
        <v>-4.4180895652827901E-2</v>
      </c>
      <c r="AE929" s="140">
        <f t="shared" si="166"/>
        <v>-3.4938304993747935E-2</v>
      </c>
    </row>
    <row r="930" spans="1:31">
      <c r="A930" s="88">
        <v>45321</v>
      </c>
      <c r="B930" s="128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38">
        <f t="shared" si="167"/>
        <v>1.7857142857142857E-4</v>
      </c>
      <c r="Y930" s="135">
        <f t="shared" si="160"/>
        <v>-3.7608070167969567E-3</v>
      </c>
      <c r="Z930" s="135">
        <f t="shared" si="161"/>
        <v>-3.7608070167969567E-3</v>
      </c>
      <c r="AA930" s="135">
        <f t="shared" si="162"/>
        <v>1.4143669417589225E-5</v>
      </c>
      <c r="AB930" s="140">
        <f t="shared" si="163"/>
        <v>6.8040210993697228</v>
      </c>
      <c r="AC930" s="140">
        <f t="shared" si="164"/>
        <v>-5.4526650831508511E-2</v>
      </c>
      <c r="AD930" s="140">
        <f t="shared" si="165"/>
        <v>-4.3711697751237608E-2</v>
      </c>
      <c r="AE930" s="140">
        <f t="shared" si="166"/>
        <v>-3.4951110931935904E-2</v>
      </c>
    </row>
    <row r="931" spans="1:31" s="47" customFormat="1">
      <c r="A931" s="90">
        <v>45322</v>
      </c>
      <c r="B931" s="130">
        <v>47476839.770000003</v>
      </c>
      <c r="C931" s="131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2">
        <f>O931/P931</f>
        <v>-4.0974236783851428</v>
      </c>
      <c r="X931" s="139">
        <f t="shared" si="167"/>
        <v>1.7857142857142857E-4</v>
      </c>
      <c r="Y931" s="136">
        <f t="shared" si="160"/>
        <v>-2.9341466852789544E-2</v>
      </c>
      <c r="Z931" s="136">
        <f t="shared" si="161"/>
        <v>-2.9341466852789544E-2</v>
      </c>
      <c r="AA931" s="136">
        <f t="shared" si="162"/>
        <v>8.6092167707334754E-4</v>
      </c>
      <c r="AB931" s="141">
        <f t="shared" si="163"/>
        <v>5.8372450714821271</v>
      </c>
      <c r="AC931" s="141">
        <f t="shared" si="164"/>
        <v>-4.676662570212238E-2</v>
      </c>
      <c r="AD931" s="141">
        <f t="shared" si="165"/>
        <v>-4.4458202239178492E-2</v>
      </c>
      <c r="AE931" s="141">
        <f t="shared" si="166"/>
        <v>-3.5066651330024338E-2</v>
      </c>
    </row>
    <row r="932" spans="1:31">
      <c r="A932" s="88">
        <v>45323</v>
      </c>
      <c r="B932" s="128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38">
        <f t="shared" si="167"/>
        <v>1.7857142857142857E-4</v>
      </c>
      <c r="Y932" s="135">
        <f t="shared" si="160"/>
        <v>1.6035628247086417E-2</v>
      </c>
      <c r="Z932" s="135">
        <f t="shared" si="161"/>
        <v>0</v>
      </c>
      <c r="AA932" s="135">
        <f t="shared" si="162"/>
        <v>0</v>
      </c>
      <c r="AB932" s="140">
        <f t="shared" si="163"/>
        <v>5.9834943377964214</v>
      </c>
      <c r="AC932" s="140">
        <f t="shared" si="164"/>
        <v>-4.3851118213630781E-2</v>
      </c>
      <c r="AD932" s="140">
        <f t="shared" si="165"/>
        <v>-4.4411764794122656E-2</v>
      </c>
      <c r="AE932" s="140">
        <f t="shared" si="166"/>
        <v>-3.5048938334142181E-2</v>
      </c>
    </row>
    <row r="933" spans="1:31">
      <c r="A933" s="88">
        <v>45324</v>
      </c>
      <c r="B933" s="128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38">
        <f t="shared" si="167"/>
        <v>1.7857142857142857E-4</v>
      </c>
      <c r="Y933" s="135">
        <f t="shared" si="160"/>
        <v>-4.5102141191542709E-3</v>
      </c>
      <c r="Z933" s="135">
        <f t="shared" si="161"/>
        <v>-4.5102141191542709E-3</v>
      </c>
      <c r="AA933" s="135">
        <f t="shared" si="162"/>
        <v>2.0342031400618535E-5</v>
      </c>
      <c r="AB933" s="140">
        <f t="shared" si="163"/>
        <v>5.8571653615885229</v>
      </c>
      <c r="AC933" s="140">
        <f t="shared" si="164"/>
        <v>-4.4135669012037172E-2</v>
      </c>
      <c r="AD933" s="140">
        <f t="shared" si="165"/>
        <v>-4.4428944888575107E-2</v>
      </c>
      <c r="AE933" s="140">
        <f t="shared" si="166"/>
        <v>-3.5075146649033627E-2</v>
      </c>
    </row>
    <row r="934" spans="1:31">
      <c r="A934" s="88">
        <v>45327</v>
      </c>
      <c r="B934" s="128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38">
        <f t="shared" si="167"/>
        <v>1.7857142857142857E-4</v>
      </c>
      <c r="Y934" s="135">
        <f t="shared" si="160"/>
        <v>-2.946737167563046E-2</v>
      </c>
      <c r="Z934" s="135">
        <f t="shared" si="161"/>
        <v>-2.946737167563046E-2</v>
      </c>
      <c r="AA934" s="135">
        <f t="shared" si="162"/>
        <v>8.6832599346974829E-4</v>
      </c>
      <c r="AB934" s="140">
        <f t="shared" si="163"/>
        <v>6.0040464796888067</v>
      </c>
      <c r="AC934" s="140">
        <f t="shared" si="164"/>
        <v>-4.5821370655977994E-2</v>
      </c>
      <c r="AD934" s="140">
        <f t="shared" si="165"/>
        <v>-4.5137300674722144E-2</v>
      </c>
      <c r="AE934" s="140">
        <f t="shared" si="166"/>
        <v>-3.5236550683913806E-2</v>
      </c>
    </row>
    <row r="935" spans="1:31">
      <c r="A935" s="88">
        <v>45328</v>
      </c>
      <c r="B935" s="128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38">
        <f t="shared" si="167"/>
        <v>1.7857142857142857E-4</v>
      </c>
      <c r="Y935" s="135">
        <f t="shared" si="160"/>
        <v>1.2307388688547898E-2</v>
      </c>
      <c r="Z935" s="135">
        <f t="shared" si="161"/>
        <v>0</v>
      </c>
      <c r="AA935" s="135">
        <f t="shared" si="162"/>
        <v>0</v>
      </c>
      <c r="AB935" s="140">
        <f t="shared" si="163"/>
        <v>6.5895954072785168</v>
      </c>
      <c r="AC935" s="140">
        <f t="shared" si="164"/>
        <v>-4.4412220377766327E-2</v>
      </c>
      <c r="AD935" s="140">
        <f t="shared" si="165"/>
        <v>-4.4171221370128563E-2</v>
      </c>
      <c r="AE935" s="140">
        <f t="shared" si="166"/>
        <v>-3.5234986407656502E-2</v>
      </c>
    </row>
    <row r="936" spans="1:31">
      <c r="A936" s="88">
        <v>45329</v>
      </c>
      <c r="B936" s="128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38">
        <f t="shared" si="167"/>
        <v>1.7857142857142857E-4</v>
      </c>
      <c r="Y936" s="135">
        <f t="shared" si="160"/>
        <v>5.0755819898099961E-3</v>
      </c>
      <c r="Z936" s="135">
        <f t="shared" si="161"/>
        <v>0</v>
      </c>
      <c r="AA936" s="135">
        <f t="shared" si="162"/>
        <v>0</v>
      </c>
      <c r="AB936" s="140">
        <f t="shared" si="163"/>
        <v>6.6953605231082598</v>
      </c>
      <c r="AC936" s="140">
        <f t="shared" si="164"/>
        <v>-4.3202493551122712E-2</v>
      </c>
      <c r="AD936" s="140">
        <f t="shared" si="165"/>
        <v>-4.4250322459552023E-2</v>
      </c>
      <c r="AE936" s="140">
        <f t="shared" si="166"/>
        <v>-3.4392667124521048E-2</v>
      </c>
    </row>
    <row r="937" spans="1:31">
      <c r="A937" s="88">
        <v>45330</v>
      </c>
      <c r="B937" s="128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38">
        <f t="shared" si="167"/>
        <v>1.7857142857142857E-4</v>
      </c>
      <c r="Y937" s="135">
        <f t="shared" si="160"/>
        <v>-1.1832716792248359E-2</v>
      </c>
      <c r="Z937" s="135">
        <f t="shared" si="161"/>
        <v>-1.1832716792248359E-2</v>
      </c>
      <c r="AA937" s="135">
        <f t="shared" si="162"/>
        <v>1.4001318668555629E-4</v>
      </c>
      <c r="AB937" s="140">
        <f t="shared" si="163"/>
        <v>7.3039842871822307</v>
      </c>
      <c r="AC937" s="140">
        <f t="shared" si="164"/>
        <v>-4.3014965594802529E-2</v>
      </c>
      <c r="AD937" s="140">
        <f t="shared" si="165"/>
        <v>-4.4289100584044144E-2</v>
      </c>
      <c r="AE937" s="140">
        <f t="shared" si="166"/>
        <v>-3.4461796274452533E-2</v>
      </c>
    </row>
    <row r="938" spans="1:31">
      <c r="A938" s="88">
        <v>45331</v>
      </c>
      <c r="B938" s="128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38">
        <f t="shared" si="167"/>
        <v>1.7857142857142857E-4</v>
      </c>
      <c r="Y938" s="135">
        <f t="shared" si="160"/>
        <v>-2.5618017711488495E-3</v>
      </c>
      <c r="Z938" s="135">
        <f t="shared" si="161"/>
        <v>-2.5618017711488495E-3</v>
      </c>
      <c r="AA938" s="135">
        <f t="shared" si="162"/>
        <v>6.562828314661382E-6</v>
      </c>
      <c r="AB938" s="140">
        <f t="shared" si="163"/>
        <v>7.270674995554872</v>
      </c>
      <c r="AC938" s="140">
        <f t="shared" si="164"/>
        <v>-3.9340419330024107E-2</v>
      </c>
      <c r="AD938" s="140">
        <f t="shared" si="165"/>
        <v>-4.4383620741443211E-2</v>
      </c>
      <c r="AE938" s="140">
        <f t="shared" si="166"/>
        <v>-3.4350412911469848E-2</v>
      </c>
    </row>
    <row r="939" spans="1:31">
      <c r="A939" s="88">
        <v>45334</v>
      </c>
      <c r="B939" s="128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38">
        <f t="shared" si="167"/>
        <v>1.7857142857142857E-4</v>
      </c>
      <c r="Y939" s="135">
        <f t="shared" si="160"/>
        <v>8.2347028507285293E-3</v>
      </c>
      <c r="Z939" s="135">
        <f t="shared" si="161"/>
        <v>0</v>
      </c>
      <c r="AA939" s="135">
        <f t="shared" si="162"/>
        <v>0</v>
      </c>
      <c r="AB939" s="140">
        <f t="shared" si="163"/>
        <v>7.2037111112886985</v>
      </c>
      <c r="AC939" s="140">
        <f t="shared" si="164"/>
        <v>-3.9257527055421494E-2</v>
      </c>
      <c r="AD939" s="140">
        <f t="shared" si="165"/>
        <v>-4.4361432792836782E-2</v>
      </c>
      <c r="AE939" s="140">
        <f t="shared" si="166"/>
        <v>-3.4303966630021415E-2</v>
      </c>
    </row>
    <row r="940" spans="1:31">
      <c r="A940" s="88">
        <v>45335</v>
      </c>
      <c r="B940" s="128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38">
        <f t="shared" si="167"/>
        <v>1.7857142857142857E-4</v>
      </c>
      <c r="Y940" s="135">
        <f t="shared" si="160"/>
        <v>-2.2395162737336063E-2</v>
      </c>
      <c r="Z940" s="135">
        <f t="shared" si="161"/>
        <v>-2.2395162737336063E-2</v>
      </c>
      <c r="AA940" s="135">
        <f t="shared" si="162"/>
        <v>5.0154331403176567E-4</v>
      </c>
      <c r="AB940" s="140">
        <f t="shared" si="163"/>
        <v>7.0830311942313013</v>
      </c>
      <c r="AC940" s="140">
        <f t="shared" si="164"/>
        <v>-3.3287261908268771E-2</v>
      </c>
      <c r="AD940" s="140">
        <f t="shared" si="165"/>
        <v>-4.490055959373504E-2</v>
      </c>
      <c r="AE940" s="140">
        <f t="shared" si="166"/>
        <v>-3.4434512828670237E-2</v>
      </c>
    </row>
    <row r="941" spans="1:31">
      <c r="A941" s="88">
        <v>45336</v>
      </c>
      <c r="B941" s="128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38">
        <f t="shared" si="167"/>
        <v>1.7857142857142857E-4</v>
      </c>
      <c r="Y941" s="135">
        <f t="shared" si="160"/>
        <v>2.0277302256378665E-2</v>
      </c>
      <c r="Z941" s="135">
        <f t="shared" si="161"/>
        <v>0</v>
      </c>
      <c r="AA941" s="135">
        <f t="shared" si="162"/>
        <v>0</v>
      </c>
      <c r="AB941" s="140">
        <f t="shared" si="163"/>
        <v>7.336318305409228</v>
      </c>
      <c r="AC941" s="140">
        <f t="shared" si="164"/>
        <v>-2.5736447536456371E-2</v>
      </c>
      <c r="AD941" s="140">
        <f t="shared" si="165"/>
        <v>-4.4869541197054323E-2</v>
      </c>
      <c r="AE941" s="140">
        <f t="shared" si="166"/>
        <v>-3.4389577672854235E-2</v>
      </c>
    </row>
    <row r="942" spans="1:31">
      <c r="A942" s="88">
        <v>45337</v>
      </c>
      <c r="B942" s="128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38">
        <f t="shared" si="167"/>
        <v>1.7857142857142857E-4</v>
      </c>
      <c r="Y942" s="135">
        <f t="shared" si="160"/>
        <v>1.1215725430866819E-2</v>
      </c>
      <c r="Z942" s="135">
        <f t="shared" si="161"/>
        <v>0</v>
      </c>
      <c r="AA942" s="135">
        <f t="shared" si="162"/>
        <v>0</v>
      </c>
      <c r="AB942" s="140">
        <f t="shared" si="163"/>
        <v>7.611073879205045</v>
      </c>
      <c r="AC942" s="140">
        <f t="shared" si="164"/>
        <v>-2.5182240784489145E-2</v>
      </c>
      <c r="AD942" s="140">
        <f t="shared" si="165"/>
        <v>-4.4658789032274666E-2</v>
      </c>
      <c r="AE942" s="140">
        <f t="shared" si="166"/>
        <v>-3.4301710710188761E-2</v>
      </c>
    </row>
    <row r="943" spans="1:31">
      <c r="A943" s="88">
        <v>45338</v>
      </c>
      <c r="B943" s="128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38">
        <f t="shared" si="167"/>
        <v>1.7857142857142857E-4</v>
      </c>
      <c r="Y943" s="135">
        <f t="shared" si="160"/>
        <v>1.0477577831733698E-3</v>
      </c>
      <c r="Z943" s="135">
        <f t="shared" si="161"/>
        <v>0</v>
      </c>
      <c r="AA943" s="135">
        <f t="shared" si="162"/>
        <v>0</v>
      </c>
      <c r="AB943" s="140">
        <f t="shared" si="163"/>
        <v>7.8369708608281732</v>
      </c>
      <c r="AC943" s="140">
        <f t="shared" si="164"/>
        <v>-2.5169099585360837E-2</v>
      </c>
      <c r="AD943" s="140">
        <f t="shared" si="165"/>
        <v>-4.4276919199908289E-2</v>
      </c>
      <c r="AE943" s="140">
        <f t="shared" si="166"/>
        <v>-3.4253266905543429E-2</v>
      </c>
    </row>
    <row r="944" spans="1:31">
      <c r="A944" s="88">
        <v>45342</v>
      </c>
      <c r="B944" s="128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38">
        <f t="shared" si="167"/>
        <v>1.7857142857142857E-4</v>
      </c>
      <c r="Y944" s="135">
        <f t="shared" si="160"/>
        <v>-6.1981436356908009E-3</v>
      </c>
      <c r="Z944" s="135">
        <f t="shared" si="161"/>
        <v>-6.1981436356908009E-3</v>
      </c>
      <c r="AA944" s="135">
        <f t="shared" si="162"/>
        <v>3.8416984528654382E-5</v>
      </c>
      <c r="AB944" s="140">
        <f t="shared" si="163"/>
        <v>7.4851686515949041</v>
      </c>
      <c r="AC944" s="140">
        <f t="shared" si="164"/>
        <v>-2.4767374846209896E-2</v>
      </c>
      <c r="AD944" s="140">
        <f t="shared" si="165"/>
        <v>-4.4502406788055886E-2</v>
      </c>
      <c r="AE944" s="140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38">
        <f t="shared" si="167"/>
        <v>1.7857142857142857E-4</v>
      </c>
      <c r="Y945" s="135">
        <f t="shared" si="160"/>
        <v>-1.0994083812264173E-2</v>
      </c>
      <c r="Z945" s="135">
        <f t="shared" si="161"/>
        <v>-1.0994083812264173E-2</v>
      </c>
      <c r="AA945" s="135">
        <f t="shared" si="162"/>
        <v>1.2086987887108912E-4</v>
      </c>
      <c r="AB945" s="140">
        <f t="shared" si="163"/>
        <v>6.7178388627908161</v>
      </c>
      <c r="AC945" s="140">
        <f t="shared" si="164"/>
        <v>-2.4738845149612537E-2</v>
      </c>
      <c r="AD945" s="140">
        <f t="shared" si="165"/>
        <v>-4.4583305290924746E-2</v>
      </c>
      <c r="AE945" s="140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38">
        <f t="shared" si="167"/>
        <v>1.7857142857142857E-4</v>
      </c>
      <c r="Y946" s="135">
        <f t="shared" si="160"/>
        <v>2.1060330030299966E-2</v>
      </c>
      <c r="Z946" s="135">
        <f t="shared" si="161"/>
        <v>0</v>
      </c>
      <c r="AA946" s="135">
        <f t="shared" si="162"/>
        <v>0</v>
      </c>
      <c r="AB946" s="140">
        <f t="shared" si="163"/>
        <v>7.0654518366840549</v>
      </c>
      <c r="AC946" s="140">
        <f t="shared" si="164"/>
        <v>-2.5076321069589215E-2</v>
      </c>
      <c r="AD946" s="140">
        <f t="shared" si="165"/>
        <v>-4.3941531272326903E-2</v>
      </c>
      <c r="AE946" s="140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38">
        <f t="shared" si="167"/>
        <v>1.7857142857142857E-4</v>
      </c>
      <c r="Y947" s="135">
        <f t="shared" si="160"/>
        <v>-1.0359647165081611E-3</v>
      </c>
      <c r="Z947" s="135">
        <f t="shared" si="161"/>
        <v>-1.0359647165081611E-3</v>
      </c>
      <c r="AA947" s="135">
        <f t="shared" si="162"/>
        <v>1.0732228938498346E-6</v>
      </c>
      <c r="AB947" s="140">
        <f t="shared" si="163"/>
        <v>7.4977608569536605</v>
      </c>
      <c r="AC947" s="140">
        <f t="shared" si="164"/>
        <v>-2.4738268815693108E-2</v>
      </c>
      <c r="AD947" s="140">
        <f t="shared" si="165"/>
        <v>-4.3596760075896149E-2</v>
      </c>
      <c r="AE947" s="140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38">
        <f t="shared" si="167"/>
        <v>1.7857142857142857E-4</v>
      </c>
      <c r="Y948" s="135">
        <f t="shared" si="160"/>
        <v>-1.0693167861930277E-2</v>
      </c>
      <c r="Z948" s="135">
        <f t="shared" si="161"/>
        <v>-1.0693167861930277E-2</v>
      </c>
      <c r="AA948" s="135">
        <f t="shared" si="162"/>
        <v>1.1434383892341854E-4</v>
      </c>
      <c r="AB948" s="140">
        <f t="shared" si="163"/>
        <v>7.2685756135469441</v>
      </c>
      <c r="AC948" s="140">
        <f t="shared" si="164"/>
        <v>-2.5069979832799863E-2</v>
      </c>
      <c r="AD948" s="140">
        <f t="shared" si="165"/>
        <v>-4.3072192353358296E-2</v>
      </c>
      <c r="AE948" s="140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38">
        <f t="shared" si="167"/>
        <v>1.7857142857142857E-4</v>
      </c>
      <c r="Y949" s="135">
        <f t="shared" si="160"/>
        <v>-2.3463052572196543E-3</v>
      </c>
      <c r="Z949" s="135">
        <f t="shared" si="161"/>
        <v>-2.3463052572196543E-3</v>
      </c>
      <c r="AA949" s="135">
        <f t="shared" si="162"/>
        <v>5.5051483600565887E-6</v>
      </c>
      <c r="AB949" s="140">
        <f t="shared" si="163"/>
        <v>7.7873150226622236</v>
      </c>
      <c r="AC949" s="140">
        <f t="shared" si="164"/>
        <v>-2.5128561938322375E-2</v>
      </c>
      <c r="AD949" s="140">
        <f t="shared" si="165"/>
        <v>-4.314396208341556E-2</v>
      </c>
      <c r="AE949" s="140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38">
        <f t="shared" si="167"/>
        <v>1.7857142857142857E-4</v>
      </c>
      <c r="Y950" s="135">
        <f t="shared" si="160"/>
        <v>-7.2779096240366895E-3</v>
      </c>
      <c r="Z950" s="135">
        <f t="shared" si="161"/>
        <v>-7.2779096240366895E-3</v>
      </c>
      <c r="AA950" s="135">
        <f t="shared" si="162"/>
        <v>5.2967968495645867E-5</v>
      </c>
      <c r="AB950" s="140">
        <f t="shared" si="163"/>
        <v>7.9379375875176557</v>
      </c>
      <c r="AC950" s="140">
        <f t="shared" si="164"/>
        <v>-2.3973462155542899E-2</v>
      </c>
      <c r="AD950" s="140">
        <f t="shared" si="165"/>
        <v>-4.3402079060762447E-2</v>
      </c>
      <c r="AE950" s="140">
        <f t="shared" si="166"/>
        <v>-3.4093982507731921E-2</v>
      </c>
    </row>
    <row r="951" spans="1:31" s="47" customFormat="1">
      <c r="A951" s="90">
        <v>45351</v>
      </c>
      <c r="B951" s="133">
        <v>47170258.159999996</v>
      </c>
      <c r="C951" s="131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2">
        <f t="shared" si="177"/>
        <v>-2.7172387638634068</v>
      </c>
      <c r="X951" s="139">
        <f t="shared" si="167"/>
        <v>1.7857142857142857E-4</v>
      </c>
      <c r="Y951" s="136">
        <f t="shared" si="160"/>
        <v>5.7055892542576302E-3</v>
      </c>
      <c r="Z951" s="136">
        <f t="shared" si="161"/>
        <v>0</v>
      </c>
      <c r="AA951" s="136">
        <f t="shared" si="162"/>
        <v>0</v>
      </c>
      <c r="AB951" s="141">
        <f t="shared" si="163"/>
        <v>8.0329323976571825</v>
      </c>
      <c r="AC951" s="141">
        <f t="shared" si="164"/>
        <v>-2.3112361046083028E-2</v>
      </c>
      <c r="AD951" s="141">
        <f t="shared" si="165"/>
        <v>-4.2053174769526844E-2</v>
      </c>
      <c r="AE951" s="141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38">
        <f t="shared" si="167"/>
        <v>1.7857142857142857E-4</v>
      </c>
      <c r="Y952" s="135">
        <f t="shared" si="160"/>
        <v>3.6637110904764396E-2</v>
      </c>
      <c r="Z952" s="135">
        <f t="shared" si="161"/>
        <v>0</v>
      </c>
      <c r="AA952" s="135">
        <f t="shared" si="162"/>
        <v>0</v>
      </c>
      <c r="AB952" s="140">
        <f t="shared" si="163"/>
        <v>8.266380113851346</v>
      </c>
      <c r="AC952" s="140">
        <f t="shared" si="164"/>
        <v>-2.4439121844878186E-2</v>
      </c>
      <c r="AD952" s="140">
        <f t="shared" si="165"/>
        <v>-4.0906499055082139E-2</v>
      </c>
      <c r="AE952" s="140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38">
        <f t="shared" si="167"/>
        <v>1.7857142857142857E-4</v>
      </c>
      <c r="Y953" s="135">
        <f t="shared" si="160"/>
        <v>9.4851118899544756E-3</v>
      </c>
      <c r="Z953" s="135">
        <f t="shared" si="161"/>
        <v>0</v>
      </c>
      <c r="AA953" s="135">
        <f t="shared" si="162"/>
        <v>0</v>
      </c>
      <c r="AB953" s="140">
        <f t="shared" si="163"/>
        <v>8.4240219704263293</v>
      </c>
      <c r="AC953" s="140">
        <f t="shared" si="164"/>
        <v>-2.4112870216956409E-2</v>
      </c>
      <c r="AD953" s="140">
        <f t="shared" si="165"/>
        <v>-4.0903244717206903E-2</v>
      </c>
      <c r="AE953" s="140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38">
        <f t="shared" si="167"/>
        <v>1.7857142857142857E-4</v>
      </c>
      <c r="Y954" s="135">
        <f t="shared" si="160"/>
        <v>-1.8314886561022245E-2</v>
      </c>
      <c r="Z954" s="135">
        <f t="shared" si="161"/>
        <v>-1.8314886561022245E-2</v>
      </c>
      <c r="AA954" s="135">
        <f t="shared" si="162"/>
        <v>3.3543506974311322E-4</v>
      </c>
      <c r="AB954" s="140">
        <f t="shared" si="163"/>
        <v>7.3654891490387815</v>
      </c>
      <c r="AC954" s="140">
        <f t="shared" si="164"/>
        <v>-2.5517281162816562E-2</v>
      </c>
      <c r="AD954" s="140">
        <f t="shared" si="165"/>
        <v>-4.1432719944686419E-2</v>
      </c>
      <c r="AE954" s="140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38">
        <f t="shared" si="167"/>
        <v>1.7857142857142857E-4</v>
      </c>
      <c r="Y955" s="135">
        <f t="shared" si="160"/>
        <v>2.6794954786550716E-2</v>
      </c>
      <c r="Z955" s="135">
        <f t="shared" si="161"/>
        <v>0</v>
      </c>
      <c r="AA955" s="135">
        <f t="shared" si="162"/>
        <v>0</v>
      </c>
      <c r="AB955" s="140">
        <f t="shared" si="163"/>
        <v>8.0634070548989811</v>
      </c>
      <c r="AC955" s="140">
        <f t="shared" si="164"/>
        <v>-2.5948111716303526E-2</v>
      </c>
      <c r="AD955" s="140">
        <f t="shared" si="165"/>
        <v>-4.1405411821555174E-2</v>
      </c>
      <c r="AE955" s="140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38">
        <f t="shared" si="167"/>
        <v>1.7857142857142857E-4</v>
      </c>
      <c r="Y956" s="135">
        <f t="shared" si="160"/>
        <v>2.6842686006073181E-2</v>
      </c>
      <c r="Z956" s="135">
        <f t="shared" si="161"/>
        <v>0</v>
      </c>
      <c r="AA956" s="135">
        <f t="shared" si="162"/>
        <v>0</v>
      </c>
      <c r="AB956" s="140">
        <f t="shared" si="163"/>
        <v>8.5274496647758475</v>
      </c>
      <c r="AC956" s="140">
        <f t="shared" si="164"/>
        <v>-2.5862389639895299E-2</v>
      </c>
      <c r="AD956" s="140">
        <f t="shared" si="165"/>
        <v>-4.1354250152934431E-2</v>
      </c>
      <c r="AE956" s="140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38">
        <f t="shared" si="167"/>
        <v>1.7857142857142857E-4</v>
      </c>
      <c r="Y957" s="135">
        <f t="shared" si="160"/>
        <v>-1.7794067168912239E-2</v>
      </c>
      <c r="Z957" s="135">
        <f t="shared" si="161"/>
        <v>-1.7794067168912239E-2</v>
      </c>
      <c r="AA957" s="135">
        <f t="shared" si="162"/>
        <v>3.1662882641176043E-4</v>
      </c>
      <c r="AB957" s="140">
        <f t="shared" si="163"/>
        <v>8.1143612035754185</v>
      </c>
      <c r="AC957" s="140">
        <f t="shared" si="164"/>
        <v>-2.6586260861807685E-2</v>
      </c>
      <c r="AD957" s="140">
        <f t="shared" si="165"/>
        <v>-4.1785076168458134E-2</v>
      </c>
      <c r="AE957" s="140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38">
        <f t="shared" si="167"/>
        <v>1.7857142857142857E-4</v>
      </c>
      <c r="Y958" s="135">
        <f t="shared" si="160"/>
        <v>-2.6688114585070762E-2</v>
      </c>
      <c r="Z958" s="135">
        <f t="shared" si="161"/>
        <v>-2.6688114585070762E-2</v>
      </c>
      <c r="AA958" s="135">
        <f t="shared" si="162"/>
        <v>7.1225546010586667E-4</v>
      </c>
      <c r="AB958" s="140">
        <f t="shared" si="163"/>
        <v>7.7256711389105188</v>
      </c>
      <c r="AC958" s="140">
        <f t="shared" si="164"/>
        <v>-2.8483151606661983E-2</v>
      </c>
      <c r="AD958" s="140">
        <f t="shared" si="165"/>
        <v>-4.2524121371315164E-2</v>
      </c>
      <c r="AE958" s="140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38">
        <f t="shared" si="167"/>
        <v>1.7857142857142857E-4</v>
      </c>
      <c r="Y959" s="135">
        <f t="shared" si="160"/>
        <v>3.1031620600829327E-2</v>
      </c>
      <c r="Z959" s="135">
        <f t="shared" si="161"/>
        <v>0</v>
      </c>
      <c r="AA959" s="135">
        <f t="shared" si="162"/>
        <v>0</v>
      </c>
      <c r="AB959" s="140">
        <f t="shared" si="163"/>
        <v>7.8601378592814291</v>
      </c>
      <c r="AC959" s="140">
        <f t="shared" si="164"/>
        <v>-2.8606967758754029E-2</v>
      </c>
      <c r="AD959" s="140">
        <f t="shared" si="165"/>
        <v>-4.2496748047174557E-2</v>
      </c>
      <c r="AE959" s="140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38">
        <f t="shared" si="167"/>
        <v>1.7857142857142857E-4</v>
      </c>
      <c r="Y960" s="135">
        <f t="shared" si="160"/>
        <v>-2.2914878612881676E-2</v>
      </c>
      <c r="Z960" s="135">
        <f t="shared" si="161"/>
        <v>-2.2914878612881676E-2</v>
      </c>
      <c r="AA960" s="135">
        <f t="shared" si="162"/>
        <v>5.2509166184310202E-4</v>
      </c>
      <c r="AB960" s="140">
        <f t="shared" si="163"/>
        <v>7.1554772202930694</v>
      </c>
      <c r="AC960" s="140">
        <f t="shared" si="164"/>
        <v>-3.00713058321685E-2</v>
      </c>
      <c r="AD960" s="140">
        <f t="shared" si="165"/>
        <v>-4.3115877470068099E-2</v>
      </c>
      <c r="AE960" s="140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38">
        <f t="shared" si="167"/>
        <v>1.7857142857142857E-4</v>
      </c>
      <c r="Y961" s="135">
        <f t="shared" si="160"/>
        <v>-1.7104247549519305E-2</v>
      </c>
      <c r="Z961" s="135">
        <f t="shared" si="161"/>
        <v>-1.7104247549519305E-2</v>
      </c>
      <c r="AA961" s="135">
        <f t="shared" si="162"/>
        <v>2.9255528423523713E-4</v>
      </c>
      <c r="AB961" s="140">
        <f t="shared" si="163"/>
        <v>7.292415174411591</v>
      </c>
      <c r="AC961" s="140">
        <f t="shared" si="164"/>
        <v>-2.8763898320379094E-2</v>
      </c>
      <c r="AD961" s="140">
        <f t="shared" si="165"/>
        <v>-4.3475240664682849E-2</v>
      </c>
      <c r="AE961" s="140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38">
        <f t="shared" si="167"/>
        <v>1.7857142857142857E-4</v>
      </c>
      <c r="Y962" s="135">
        <f t="shared" si="160"/>
        <v>-1.7297224181377576E-2</v>
      </c>
      <c r="Z962" s="135">
        <f t="shared" si="161"/>
        <v>-1.7297224181377576E-2</v>
      </c>
      <c r="AA962" s="135">
        <f t="shared" si="162"/>
        <v>2.9919396438083317E-4</v>
      </c>
      <c r="AB962" s="140">
        <f t="shared" si="163"/>
        <v>7.1241878496511069</v>
      </c>
      <c r="AC962" s="140">
        <f t="shared" si="164"/>
        <v>-2.9951526999944453E-2</v>
      </c>
      <c r="AD962" s="140">
        <f t="shared" si="165"/>
        <v>-4.3437447968744353E-2</v>
      </c>
      <c r="AE962" s="140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38">
        <f t="shared" si="167"/>
        <v>1.7857142857142857E-4</v>
      </c>
      <c r="Y963" s="135">
        <f t="shared" si="160"/>
        <v>1.2632768727241927E-2</v>
      </c>
      <c r="Z963" s="135">
        <f t="shared" si="161"/>
        <v>0</v>
      </c>
      <c r="AA963" s="135">
        <f t="shared" si="162"/>
        <v>0</v>
      </c>
      <c r="AB963" s="140">
        <f t="shared" si="163"/>
        <v>7.0288852729436391</v>
      </c>
      <c r="AC963" s="140">
        <f t="shared" si="164"/>
        <v>-2.9607355214012247E-2</v>
      </c>
      <c r="AD963" s="140">
        <f t="shared" si="165"/>
        <v>-4.3272435064807914E-2</v>
      </c>
      <c r="AE963" s="140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38">
        <f t="shared" si="167"/>
        <v>1.7857142857142857E-4</v>
      </c>
      <c r="Y964" s="135">
        <f t="shared" si="160"/>
        <v>6.8649570460025547E-3</v>
      </c>
      <c r="Z964" s="135">
        <f t="shared" si="161"/>
        <v>0</v>
      </c>
      <c r="AA964" s="135">
        <f t="shared" si="162"/>
        <v>0</v>
      </c>
      <c r="AB964" s="140">
        <f t="shared" si="163"/>
        <v>6.9544075458808505</v>
      </c>
      <c r="AC964" s="140">
        <f t="shared" si="164"/>
        <v>-2.700095854111486E-2</v>
      </c>
      <c r="AD964" s="140">
        <f t="shared" si="165"/>
        <v>-4.3114431462874893E-2</v>
      </c>
      <c r="AE964" s="140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38">
        <f t="shared" si="167"/>
        <v>1.7857142857142857E-4</v>
      </c>
      <c r="Y965" s="135">
        <f t="shared" si="160"/>
        <v>4.2517293917622739E-2</v>
      </c>
      <c r="Z965" s="135">
        <f t="shared" si="161"/>
        <v>0</v>
      </c>
      <c r="AA965" s="135">
        <f t="shared" si="162"/>
        <v>0</v>
      </c>
      <c r="AB965" s="140">
        <f t="shared" si="163"/>
        <v>7.2882016294408665</v>
      </c>
      <c r="AC965" s="140">
        <f t="shared" si="164"/>
        <v>-2.8420243206887151E-2</v>
      </c>
      <c r="AD965" s="140">
        <f t="shared" si="165"/>
        <v>-4.3185230138585252E-2</v>
      </c>
      <c r="AE965" s="140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38">
        <f t="shared" si="167"/>
        <v>1.7857142857142857E-4</v>
      </c>
      <c r="Y966" s="135">
        <f t="shared" si="160"/>
        <v>2.8121605960707209E-2</v>
      </c>
      <c r="Z966" s="135">
        <f t="shared" si="161"/>
        <v>0</v>
      </c>
      <c r="AA966" s="135">
        <f t="shared" si="162"/>
        <v>0</v>
      </c>
      <c r="AB966" s="140">
        <f t="shared" si="163"/>
        <v>7.6913545345888936</v>
      </c>
      <c r="AC966" s="140">
        <f t="shared" si="164"/>
        <v>-2.8602395987518788E-2</v>
      </c>
      <c r="AD966" s="140">
        <f t="shared" si="165"/>
        <v>-4.3058472253806615E-2</v>
      </c>
      <c r="AE966" s="140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38">
        <f t="shared" si="167"/>
        <v>1.7857142857142857E-4</v>
      </c>
      <c r="Y967" s="135">
        <f t="shared" si="160"/>
        <v>-4.8696685412379414E-3</v>
      </c>
      <c r="Z967" s="135">
        <f t="shared" si="161"/>
        <v>-4.8696685412379414E-3</v>
      </c>
      <c r="AA967" s="135">
        <f t="shared" si="162"/>
        <v>2.3713671701522459E-5</v>
      </c>
      <c r="AB967" s="140">
        <f t="shared" si="163"/>
        <v>7.5466994329529786</v>
      </c>
      <c r="AC967" s="140">
        <f t="shared" si="164"/>
        <v>-2.8133710414750619E-2</v>
      </c>
      <c r="AD967" s="140">
        <f t="shared" si="165"/>
        <v>-4.3142964550434218E-2</v>
      </c>
      <c r="AE967" s="140">
        <f t="shared" si="166"/>
        <v>-3.4385851298976408E-2</v>
      </c>
    </row>
    <row r="968" spans="1:31">
      <c r="A968" s="88">
        <v>45376</v>
      </c>
      <c r="B968" s="78">
        <v>54501565.909999996</v>
      </c>
      <c r="C968" s="129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38">
        <f t="shared" si="167"/>
        <v>1.7857142857142857E-4</v>
      </c>
      <c r="Y968" s="135">
        <f t="shared" si="160"/>
        <v>-4.9181048152228931E-3</v>
      </c>
      <c r="Z968" s="135">
        <f t="shared" si="161"/>
        <v>-4.9181048152228931E-3</v>
      </c>
      <c r="AA968" s="135">
        <f t="shared" si="162"/>
        <v>2.4187754973518609E-5</v>
      </c>
      <c r="AB968" s="140">
        <f t="shared" si="163"/>
        <v>7.4947151156196599</v>
      </c>
      <c r="AC968" s="140">
        <f t="shared" si="164"/>
        <v>-2.8261075980346918E-2</v>
      </c>
      <c r="AD968" s="140">
        <f t="shared" si="165"/>
        <v>-4.3234705143577579E-2</v>
      </c>
      <c r="AE968" s="140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38">
        <f t="shared" si="167"/>
        <v>1.7857142857142857E-4</v>
      </c>
      <c r="Y969" s="135">
        <f t="shared" si="160"/>
        <v>-9.5963525772377479E-3</v>
      </c>
      <c r="Z969" s="135">
        <f t="shared" si="161"/>
        <v>-9.5963525772377479E-3</v>
      </c>
      <c r="AA969" s="135">
        <f t="shared" si="162"/>
        <v>9.2089982786657562E-5</v>
      </c>
      <c r="AB969" s="140">
        <f t="shared" si="163"/>
        <v>7.113398151017531</v>
      </c>
      <c r="AC969" s="140">
        <f t="shared" si="164"/>
        <v>-2.9045817557525704E-2</v>
      </c>
      <c r="AD969" s="140">
        <f t="shared" si="165"/>
        <v>-4.3523494741796516E-2</v>
      </c>
      <c r="AE969" s="140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38">
        <f t="shared" si="167"/>
        <v>1.7857142857142857E-4</v>
      </c>
      <c r="Y970" s="135">
        <f t="shared" si="160"/>
        <v>1.1015967953001908E-2</v>
      </c>
      <c r="Z970" s="135">
        <f t="shared" si="161"/>
        <v>0</v>
      </c>
      <c r="AA970" s="135">
        <f t="shared" si="162"/>
        <v>0</v>
      </c>
      <c r="AB970" s="140">
        <f t="shared" si="163"/>
        <v>7.3897042812545966</v>
      </c>
      <c r="AC970" s="140">
        <f t="shared" si="164"/>
        <v>-2.7049185133168237E-2</v>
      </c>
      <c r="AD970" s="140">
        <f t="shared" si="165"/>
        <v>-4.3381620402802849E-2</v>
      </c>
      <c r="AE970" s="140">
        <f t="shared" si="166"/>
        <v>-3.4322401778496756E-2</v>
      </c>
    </row>
    <row r="971" spans="1:31" s="47" customFormat="1">
      <c r="A971" s="90">
        <v>45379</v>
      </c>
      <c r="B971" s="133">
        <v>54958718.710000001</v>
      </c>
      <c r="C971" s="131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2">
        <f t="shared" si="177"/>
        <v>-0.45472110166155622</v>
      </c>
      <c r="X971" s="139">
        <f t="shared" si="167"/>
        <v>1.7857142857142857E-4</v>
      </c>
      <c r="Y971" s="136">
        <f t="shared" si="160"/>
        <v>6.526774977945007E-3</v>
      </c>
      <c r="Z971" s="136">
        <f t="shared" si="161"/>
        <v>0</v>
      </c>
      <c r="AA971" s="136">
        <f t="shared" si="162"/>
        <v>0</v>
      </c>
      <c r="AB971" s="141">
        <f t="shared" si="163"/>
        <v>7.5959482478492895</v>
      </c>
      <c r="AC971" s="141">
        <f t="shared" si="164"/>
        <v>-2.7096903415193635E-2</v>
      </c>
      <c r="AD971" s="141">
        <f t="shared" si="165"/>
        <v>-4.3411149078748511E-2</v>
      </c>
      <c r="AE971" s="141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38">
        <f t="shared" si="167"/>
        <v>1.7857142857142857E-4</v>
      </c>
      <c r="Y972" s="135">
        <f t="shared" si="160"/>
        <v>-4.9950110438537459E-3</v>
      </c>
      <c r="Z972" s="135">
        <f t="shared" si="161"/>
        <v>-4.9950110438537459E-3</v>
      </c>
      <c r="AA972" s="135">
        <f t="shared" si="162"/>
        <v>2.4950135328220889E-5</v>
      </c>
      <c r="AB972" s="140">
        <f t="shared" si="163"/>
        <v>7.7414979001707831</v>
      </c>
      <c r="AC972" s="140">
        <f t="shared" si="164"/>
        <v>-2.7634032845952797E-2</v>
      </c>
      <c r="AD972" s="140">
        <f t="shared" si="165"/>
        <v>-4.3492549551162087E-2</v>
      </c>
      <c r="AE972" s="140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38">
        <f t="shared" si="167"/>
        <v>1.7857142857142857E-4</v>
      </c>
      <c r="Y973" s="135">
        <f t="shared" si="160"/>
        <v>-1.870976429110234E-2</v>
      </c>
      <c r="Z973" s="135">
        <f t="shared" si="161"/>
        <v>-1.870976429110234E-2</v>
      </c>
      <c r="AA973" s="135">
        <f t="shared" si="162"/>
        <v>3.5005527982860825E-4</v>
      </c>
      <c r="AB973" s="140">
        <f t="shared" si="163"/>
        <v>7.5490081865818865</v>
      </c>
      <c r="AC973" s="140">
        <f t="shared" si="164"/>
        <v>-2.8964783986933432E-2</v>
      </c>
      <c r="AD973" s="140">
        <f t="shared" si="165"/>
        <v>-4.3815556337103906E-2</v>
      </c>
      <c r="AE973" s="140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38">
        <f t="shared" si="167"/>
        <v>1.7857142857142857E-4</v>
      </c>
      <c r="Y974" s="135">
        <f t="shared" ref="Y974:Y1015" si="188">G974-X974</f>
        <v>1.3197624720299637E-2</v>
      </c>
      <c r="Z974" s="135">
        <f t="shared" ref="Z974:Z1015" si="189">IF(Y974&lt;0,Y974,0)</f>
        <v>0</v>
      </c>
      <c r="AA974" s="135">
        <f t="shared" ref="AA974:AA1015" si="190">Z974^2</f>
        <v>0</v>
      </c>
      <c r="AB974" s="140">
        <f t="shared" ref="AB974:AB1007" si="191">AVERAGE(Y723:Y974)/AVERAGE(AA723:AA974)</f>
        <v>7.3336763396799576</v>
      </c>
      <c r="AC974" s="140">
        <f t="shared" ref="AC974:AC1007" si="192">AVERAGE(G945:G974)-_xlfn.NORM.S.INV(0.95)*_xlfn.STDEV.S(G945:G974)</f>
        <v>-2.8379568760066424E-2</v>
      </c>
      <c r="AD974" s="140">
        <f t="shared" ref="AD974:AD1007" si="193">AVERAGE(G885:G974)-_xlfn.NORM.S.INV(0.95)*_xlfn.STDEV.S(G885:G974)</f>
        <v>-4.3738827672089566E-2</v>
      </c>
      <c r="AE974" s="140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38">
        <f t="shared" si="167"/>
        <v>1.7857142857142857E-4</v>
      </c>
      <c r="Y975" s="135">
        <f t="shared" si="188"/>
        <v>-5.8477032476157619E-2</v>
      </c>
      <c r="Z975" s="135">
        <f t="shared" si="189"/>
        <v>-5.8477032476157619E-2</v>
      </c>
      <c r="AA975" s="135">
        <f t="shared" si="190"/>
        <v>3.4195633272175929E-3</v>
      </c>
      <c r="AB975" s="140">
        <f t="shared" si="191"/>
        <v>6.2764594495367625</v>
      </c>
      <c r="AC975" s="140">
        <f t="shared" si="192"/>
        <v>-3.4783030808407188E-2</v>
      </c>
      <c r="AD975" s="140">
        <f t="shared" si="193"/>
        <v>-4.5675095286502737E-2</v>
      </c>
      <c r="AE975" s="140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38">
        <f t="shared" ref="X976:X1072" si="195">4.5%/252</f>
        <v>1.7857142857142857E-4</v>
      </c>
      <c r="Y976" s="135">
        <f t="shared" si="188"/>
        <v>3.9425973349622043E-2</v>
      </c>
      <c r="Z976" s="135">
        <f t="shared" si="189"/>
        <v>0</v>
      </c>
      <c r="AA976" s="135">
        <f t="shared" si="190"/>
        <v>0</v>
      </c>
      <c r="AB976" s="140">
        <f t="shared" si="191"/>
        <v>7.21401682836298</v>
      </c>
      <c r="AC976" s="140">
        <f t="shared" si="192"/>
        <v>-3.5509377023382936E-2</v>
      </c>
      <c r="AD976" s="140">
        <f t="shared" si="193"/>
        <v>-4.5548344550441273E-2</v>
      </c>
      <c r="AE976" s="140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38">
        <f t="shared" si="195"/>
        <v>1.7857142857142857E-4</v>
      </c>
      <c r="Y977" s="135">
        <f t="shared" si="188"/>
        <v>2.7157164666828091E-3</v>
      </c>
      <c r="Z977" s="135">
        <f t="shared" si="189"/>
        <v>0</v>
      </c>
      <c r="AA977" s="135">
        <f t="shared" si="190"/>
        <v>0</v>
      </c>
      <c r="AB977" s="140">
        <f t="shared" si="191"/>
        <v>7.197950732963549</v>
      </c>
      <c r="AC977" s="140">
        <f t="shared" si="192"/>
        <v>-3.5374842095046488E-2</v>
      </c>
      <c r="AD977" s="140">
        <f t="shared" si="193"/>
        <v>-4.5462261478081516E-2</v>
      </c>
      <c r="AE977" s="140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38">
        <f t="shared" si="195"/>
        <v>1.7857142857142857E-4</v>
      </c>
      <c r="Y978" s="135">
        <f t="shared" si="188"/>
        <v>3.1490981428901883E-3</v>
      </c>
      <c r="Z978" s="135">
        <f t="shared" si="189"/>
        <v>0</v>
      </c>
      <c r="AA978" s="135">
        <f t="shared" si="190"/>
        <v>0</v>
      </c>
      <c r="AB978" s="140">
        <f t="shared" si="191"/>
        <v>7.4296725518862283</v>
      </c>
      <c r="AC978" s="140">
        <f t="shared" si="192"/>
        <v>-3.470884359711647E-2</v>
      </c>
      <c r="AD978" s="140">
        <f t="shared" si="193"/>
        <v>-4.5404956360575129E-2</v>
      </c>
      <c r="AE978" s="140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38">
        <f t="shared" si="195"/>
        <v>1.7857142857142857E-4</v>
      </c>
      <c r="Y979" s="135">
        <f t="shared" si="188"/>
        <v>-4.8062612655126201E-2</v>
      </c>
      <c r="Z979" s="135">
        <f t="shared" si="189"/>
        <v>-4.8062612655126201E-2</v>
      </c>
      <c r="AA979" s="135">
        <f t="shared" si="190"/>
        <v>2.310014735236697E-3</v>
      </c>
      <c r="AB979" s="140">
        <f t="shared" si="191"/>
        <v>6.3111367042854898</v>
      </c>
      <c r="AC979" s="140">
        <f t="shared" si="192"/>
        <v>-3.918541835247169E-2</v>
      </c>
      <c r="AD979" s="140">
        <f t="shared" si="193"/>
        <v>-4.6170539645990043E-2</v>
      </c>
      <c r="AE979" s="140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38">
        <f t="shared" si="195"/>
        <v>1.7857142857142857E-4</v>
      </c>
      <c r="Y980" s="135">
        <f t="shared" si="188"/>
        <v>5.9865489177499988E-2</v>
      </c>
      <c r="Z980" s="135">
        <f t="shared" si="189"/>
        <v>0</v>
      </c>
      <c r="AA980" s="135">
        <f t="shared" si="190"/>
        <v>0</v>
      </c>
      <c r="AB980" s="140">
        <f t="shared" si="191"/>
        <v>7.3576198989382826</v>
      </c>
      <c r="AC980" s="140">
        <f t="shared" si="192"/>
        <v>-4.0571829499422896E-2</v>
      </c>
      <c r="AD980" s="140">
        <f t="shared" si="193"/>
        <v>-4.6632546159236801E-2</v>
      </c>
      <c r="AE980" s="140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38">
        <f t="shared" si="195"/>
        <v>1.7857142857142857E-4</v>
      </c>
      <c r="Y981" s="135">
        <f t="shared" si="188"/>
        <v>-9.187447981361424E-2</v>
      </c>
      <c r="Z981" s="135">
        <f t="shared" si="189"/>
        <v>-9.187447981361424E-2</v>
      </c>
      <c r="AA981" s="135">
        <f t="shared" si="190"/>
        <v>8.440920041022211E-3</v>
      </c>
      <c r="AB981" s="140">
        <f t="shared" si="191"/>
        <v>4.9540748794860798</v>
      </c>
      <c r="AC981" s="140">
        <f t="shared" si="192"/>
        <v>-5.2263054904553762E-2</v>
      </c>
      <c r="AD981" s="140">
        <f t="shared" si="193"/>
        <v>-5.0012873412469794E-2</v>
      </c>
      <c r="AE981" s="140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38">
        <f t="shared" si="195"/>
        <v>1.7857142857142857E-4</v>
      </c>
      <c r="Y982" s="135">
        <f t="shared" si="188"/>
        <v>-4.9447849874598451E-2</v>
      </c>
      <c r="Z982" s="135">
        <f t="shared" si="189"/>
        <v>-4.9447849874598451E-2</v>
      </c>
      <c r="AA982" s="135">
        <f t="shared" si="190"/>
        <v>2.4450898572208261E-3</v>
      </c>
      <c r="AB982" s="140">
        <f t="shared" si="191"/>
        <v>4.1812718981241312</v>
      </c>
      <c r="AC982" s="140">
        <f t="shared" si="192"/>
        <v>-5.586642686063617E-2</v>
      </c>
      <c r="AD982" s="140">
        <f t="shared" si="193"/>
        <v>-5.1404601468952579E-2</v>
      </c>
      <c r="AE982" s="140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38">
        <f t="shared" si="195"/>
        <v>1.7857142857142857E-4</v>
      </c>
      <c r="Y983" s="135">
        <f t="shared" si="188"/>
        <v>-1.8553362307231609E-2</v>
      </c>
      <c r="Z983" s="135">
        <f t="shared" si="189"/>
        <v>-1.8553362307231609E-2</v>
      </c>
      <c r="AA983" s="135">
        <f t="shared" si="190"/>
        <v>3.442272529034026E-4</v>
      </c>
      <c r="AB983" s="140">
        <f t="shared" si="191"/>
        <v>4.0803470555972208</v>
      </c>
      <c r="AC983" s="140">
        <f t="shared" si="192"/>
        <v>-5.6852213719398345E-2</v>
      </c>
      <c r="AD983" s="140">
        <f t="shared" si="193"/>
        <v>-5.1804808589151777E-2</v>
      </c>
      <c r="AE983" s="140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38">
        <f t="shared" si="195"/>
        <v>1.7857142857142857E-4</v>
      </c>
      <c r="Y984" s="135">
        <f t="shared" si="188"/>
        <v>-6.3487085763295176E-2</v>
      </c>
      <c r="Z984" s="135">
        <f t="shared" si="189"/>
        <v>-6.3487085763295176E-2</v>
      </c>
      <c r="AA984" s="135">
        <f t="shared" si="190"/>
        <v>4.0306100587159969E-3</v>
      </c>
      <c r="AB984" s="140">
        <f t="shared" si="191"/>
        <v>2.5400102694972517</v>
      </c>
      <c r="AC984" s="140">
        <f t="shared" si="192"/>
        <v>-6.1157680911040541E-2</v>
      </c>
      <c r="AD984" s="140">
        <f t="shared" si="193"/>
        <v>-5.3780767167830042E-2</v>
      </c>
      <c r="AE984" s="140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38">
        <f t="shared" si="195"/>
        <v>1.7857142857142857E-4</v>
      </c>
      <c r="Y985" s="135">
        <f t="shared" si="188"/>
        <v>-2.0671502651849888E-2</v>
      </c>
      <c r="Z985" s="135">
        <f t="shared" si="189"/>
        <v>-2.0671502651849888E-2</v>
      </c>
      <c r="AA985" s="135">
        <f t="shared" si="190"/>
        <v>4.2731102188543697E-4</v>
      </c>
      <c r="AB985" s="140">
        <f t="shared" si="191"/>
        <v>1.9113190577196275</v>
      </c>
      <c r="AC985" s="140">
        <f t="shared" si="192"/>
        <v>-6.1995986969980328E-2</v>
      </c>
      <c r="AD985" s="140">
        <f t="shared" si="193"/>
        <v>-5.4165381131790993E-2</v>
      </c>
      <c r="AE985" s="140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38">
        <f t="shared" si="195"/>
        <v>1.7857142857142857E-4</v>
      </c>
      <c r="Y986" s="135">
        <f t="shared" si="188"/>
        <v>-7.852461281517735E-2</v>
      </c>
      <c r="Z986" s="135">
        <f t="shared" si="189"/>
        <v>-7.852461281517735E-2</v>
      </c>
      <c r="AA986" s="135">
        <f t="shared" si="190"/>
        <v>6.166114817773515E-3</v>
      </c>
      <c r="AB986" s="140">
        <f t="shared" si="191"/>
        <v>1.1764162459473919</v>
      </c>
      <c r="AC986" s="140">
        <f t="shared" si="192"/>
        <v>-6.8466406897128157E-2</v>
      </c>
      <c r="AD986" s="140">
        <f t="shared" si="193"/>
        <v>-5.2462395111610084E-2</v>
      </c>
      <c r="AE986" s="140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38">
        <f t="shared" si="195"/>
        <v>1.7857142857142857E-4</v>
      </c>
      <c r="Y987" s="135">
        <f t="shared" si="188"/>
        <v>5.7160723815037409E-2</v>
      </c>
      <c r="Z987" s="135">
        <f t="shared" si="189"/>
        <v>0</v>
      </c>
      <c r="AA987" s="135">
        <f t="shared" si="190"/>
        <v>0</v>
      </c>
      <c r="AB987" s="140">
        <f t="shared" si="191"/>
        <v>1.7207419961966197</v>
      </c>
      <c r="AC987" s="140">
        <f t="shared" si="192"/>
        <v>-6.9360188684141663E-2</v>
      </c>
      <c r="AD987" s="140">
        <f t="shared" si="193"/>
        <v>-5.2510833216810528E-2</v>
      </c>
      <c r="AE987" s="140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38">
        <f t="shared" si="195"/>
        <v>1.7857142857142857E-4</v>
      </c>
      <c r="Y988" s="135">
        <f t="shared" si="188"/>
        <v>6.9062550803804246E-2</v>
      </c>
      <c r="Z988" s="135">
        <f t="shared" si="189"/>
        <v>0</v>
      </c>
      <c r="AA988" s="135">
        <f t="shared" si="190"/>
        <v>0</v>
      </c>
      <c r="AB988" s="140">
        <f t="shared" si="191"/>
        <v>2.6993633917748672</v>
      </c>
      <c r="AC988" s="140">
        <f t="shared" si="192"/>
        <v>-7.0064052126932147E-2</v>
      </c>
      <c r="AD988" s="140">
        <f t="shared" si="193"/>
        <v>-5.3125619444278918E-2</v>
      </c>
      <c r="AE988" s="140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38">
        <f t="shared" si="195"/>
        <v>1.7857142857142857E-4</v>
      </c>
      <c r="Y989" s="135">
        <f t="shared" si="188"/>
        <v>5.2931580363080226E-3</v>
      </c>
      <c r="Z989" s="135">
        <f t="shared" si="189"/>
        <v>0</v>
      </c>
      <c r="AA989" s="135">
        <f t="shared" si="190"/>
        <v>0</v>
      </c>
      <c r="AB989" s="140">
        <f t="shared" si="191"/>
        <v>2.7925676865361249</v>
      </c>
      <c r="AC989" s="140">
        <f t="shared" si="192"/>
        <v>-7.0054269089845245E-2</v>
      </c>
      <c r="AD989" s="140">
        <f t="shared" si="193"/>
        <v>-5.3140092638448051E-2</v>
      </c>
      <c r="AE989" s="140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38">
        <f t="shared" si="195"/>
        <v>1.7857142857142857E-4</v>
      </c>
      <c r="Y990" s="135">
        <f t="shared" si="188"/>
        <v>1.6863880417069189E-2</v>
      </c>
      <c r="Z990" s="135">
        <f t="shared" si="189"/>
        <v>0</v>
      </c>
      <c r="AA990" s="135">
        <f t="shared" si="190"/>
        <v>0</v>
      </c>
      <c r="AB990" s="140">
        <f t="shared" si="191"/>
        <v>2.8067759192453052</v>
      </c>
      <c r="AC990" s="140">
        <f t="shared" si="192"/>
        <v>-6.8845768598961563E-2</v>
      </c>
      <c r="AD990" s="140">
        <f t="shared" si="193"/>
        <v>-5.2660394263796401E-2</v>
      </c>
      <c r="AE990" s="140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38">
        <f t="shared" si="195"/>
        <v>1.7857142857142857E-4</v>
      </c>
      <c r="Y991" s="135">
        <f t="shared" si="188"/>
        <v>7.0544547884922745E-2</v>
      </c>
      <c r="Z991" s="135">
        <f t="shared" si="189"/>
        <v>0</v>
      </c>
      <c r="AA991" s="135">
        <f t="shared" si="190"/>
        <v>0</v>
      </c>
      <c r="AB991" s="140">
        <f t="shared" si="191"/>
        <v>3.8357824444714765</v>
      </c>
      <c r="AC991" s="140">
        <f t="shared" si="192"/>
        <v>-6.9574993976112873E-2</v>
      </c>
      <c r="AD991" s="140">
        <f t="shared" si="193"/>
        <v>-5.0391336694776148E-2</v>
      </c>
      <c r="AE991" s="140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38">
        <f t="shared" si="195"/>
        <v>1.7857142857142857E-4</v>
      </c>
      <c r="Y992" s="135">
        <f t="shared" si="188"/>
        <v>1.6479685275708651E-2</v>
      </c>
      <c r="Z992" s="135">
        <f t="shared" si="189"/>
        <v>0</v>
      </c>
      <c r="AA992" s="135">
        <f t="shared" si="190"/>
        <v>0</v>
      </c>
      <c r="AB992" s="140">
        <f t="shared" si="191"/>
        <v>4.1052467007637166</v>
      </c>
      <c r="AC992" s="140">
        <f t="shared" si="192"/>
        <v>-6.8472749063940463E-2</v>
      </c>
      <c r="AD992" s="140">
        <f t="shared" si="193"/>
        <v>-4.9669257384517836E-2</v>
      </c>
      <c r="AE992" s="140">
        <f t="shared" si="194"/>
        <v>-3.852541636722584E-2</v>
      </c>
    </row>
    <row r="993" spans="1:31" s="47" customFormat="1">
      <c r="A993" s="90">
        <v>45412</v>
      </c>
      <c r="B993" s="133">
        <v>45196322.469999999</v>
      </c>
      <c r="C993" s="131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2">
        <f t="shared" si="187"/>
        <v>-1.2682050447873532</v>
      </c>
      <c r="X993" s="139">
        <f t="shared" si="195"/>
        <v>1.7857142857142857E-4</v>
      </c>
      <c r="Y993" s="136">
        <f t="shared" si="188"/>
        <v>-7.38495649453247E-2</v>
      </c>
      <c r="Z993" s="136">
        <f t="shared" si="189"/>
        <v>-7.38495649453247E-2</v>
      </c>
      <c r="AA993" s="136">
        <f t="shared" si="190"/>
        <v>5.4537582426137307E-3</v>
      </c>
      <c r="AB993" s="141">
        <f t="shared" si="191"/>
        <v>2.6642952986338071</v>
      </c>
      <c r="AC993" s="141">
        <f t="shared" si="192"/>
        <v>-7.4678206962796354E-2</v>
      </c>
      <c r="AD993" s="141">
        <f t="shared" si="193"/>
        <v>-5.2160682576613257E-2</v>
      </c>
      <c r="AE993" s="141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38">
        <f t="shared" si="195"/>
        <v>1.7857142857142857E-4</v>
      </c>
      <c r="Y994" s="135">
        <f t="shared" si="188"/>
        <v>-4.8336958683303309E-2</v>
      </c>
      <c r="Z994" s="135">
        <f t="shared" si="189"/>
        <v>-4.8336958683303309E-2</v>
      </c>
      <c r="AA994" s="135">
        <f t="shared" si="190"/>
        <v>2.3364615747513712E-3</v>
      </c>
      <c r="AB994" s="140">
        <f t="shared" si="191"/>
        <v>1.9412700895880914</v>
      </c>
      <c r="AC994" s="140">
        <f t="shared" si="192"/>
        <v>-7.7700450693419951E-2</v>
      </c>
      <c r="AD994" s="140">
        <f t="shared" si="193"/>
        <v>-5.3324531937345376E-2</v>
      </c>
      <c r="AE994" s="140">
        <f t="shared" si="194"/>
        <v>-3.9623117716486689E-2</v>
      </c>
    </row>
    <row r="995" spans="1:31">
      <c r="A995" s="88">
        <v>45414</v>
      </c>
      <c r="B995" s="78">
        <v>45778333.640000001</v>
      </c>
      <c r="D995" s="147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38">
        <f t="shared" si="195"/>
        <v>1.7857142857142857E-4</v>
      </c>
      <c r="Y995" s="135">
        <f t="shared" si="188"/>
        <v>6.3945320065467645E-2</v>
      </c>
      <c r="Z995" s="135">
        <f t="shared" si="189"/>
        <v>0</v>
      </c>
      <c r="AA995" s="135">
        <f t="shared" si="190"/>
        <v>0</v>
      </c>
      <c r="AB995" s="140">
        <f t="shared" si="191"/>
        <v>2.8214294265679145</v>
      </c>
      <c r="AC995" s="140">
        <f t="shared" si="192"/>
        <v>-7.8560679766911945E-2</v>
      </c>
      <c r="AD995" s="140">
        <f t="shared" si="193"/>
        <v>-5.3769174329535395E-2</v>
      </c>
      <c r="AE995" s="140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38">
        <f t="shared" si="195"/>
        <v>1.7857142857142857E-4</v>
      </c>
      <c r="Y996" s="135">
        <f t="shared" si="188"/>
        <v>7.0506400537568417E-2</v>
      </c>
      <c r="Z996" s="135">
        <f t="shared" si="189"/>
        <v>0</v>
      </c>
      <c r="AA996" s="135">
        <f t="shared" si="190"/>
        <v>0</v>
      </c>
      <c r="AB996" s="140">
        <f t="shared" si="191"/>
        <v>3.6650629281077882</v>
      </c>
      <c r="AC996" s="140">
        <f t="shared" si="192"/>
        <v>-7.9913023741876033E-2</v>
      </c>
      <c r="AD996" s="140">
        <f t="shared" si="193"/>
        <v>-5.4474745232662339E-2</v>
      </c>
      <c r="AE996" s="140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38">
        <f t="shared" si="195"/>
        <v>1.7857142857142857E-4</v>
      </c>
      <c r="Y997" s="135">
        <f t="shared" si="188"/>
        <v>5.2637639997660378E-2</v>
      </c>
      <c r="Z997" s="135">
        <f t="shared" si="189"/>
        <v>0</v>
      </c>
      <c r="AA997" s="135">
        <f t="shared" si="190"/>
        <v>0</v>
      </c>
      <c r="AB997" s="140">
        <f t="shared" si="191"/>
        <v>4.3877036173450632</v>
      </c>
      <c r="AC997" s="140">
        <f t="shared" si="192"/>
        <v>-7.977558069496514E-2</v>
      </c>
      <c r="AD997" s="140">
        <f t="shared" si="193"/>
        <v>-5.4515978337941036E-2</v>
      </c>
      <c r="AE997" s="140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38">
        <f t="shared" si="195"/>
        <v>1.7857142857142857E-4</v>
      </c>
      <c r="Y998" s="135">
        <f t="shared" si="188"/>
        <v>-1.3539317336360327E-2</v>
      </c>
      <c r="Z998" s="135">
        <f t="shared" si="189"/>
        <v>-1.3539317336360327E-2</v>
      </c>
      <c r="AA998" s="135">
        <f t="shared" si="190"/>
        <v>1.8331311393466731E-4</v>
      </c>
      <c r="AB998" s="140">
        <f t="shared" si="191"/>
        <v>4.0189114900697138</v>
      </c>
      <c r="AC998" s="140">
        <f t="shared" si="192"/>
        <v>-8.0144935060494582E-2</v>
      </c>
      <c r="AD998" s="140">
        <f t="shared" si="193"/>
        <v>-5.3591726319038226E-2</v>
      </c>
      <c r="AE998" s="140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38">
        <f t="shared" si="195"/>
        <v>1.7857142857142857E-4</v>
      </c>
      <c r="Y999" s="135">
        <f t="shared" si="188"/>
        <v>-1.3798621273305033E-3</v>
      </c>
      <c r="Z999" s="135">
        <f t="shared" si="189"/>
        <v>-1.3798621273305033E-3</v>
      </c>
      <c r="AA999" s="135">
        <f t="shared" si="190"/>
        <v>1.904019490441062E-6</v>
      </c>
      <c r="AB999" s="140">
        <f t="shared" si="191"/>
        <v>3.738321114021582</v>
      </c>
      <c r="AC999" s="140">
        <f t="shared" si="192"/>
        <v>-7.9829311317651655E-2</v>
      </c>
      <c r="AD999" s="140">
        <f t="shared" si="193"/>
        <v>-5.3601502945814852E-2</v>
      </c>
      <c r="AE999" s="140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38">
        <f t="shared" si="195"/>
        <v>1.7857142857142857E-4</v>
      </c>
      <c r="Y1000" s="135">
        <f t="shared" si="188"/>
        <v>7.070956302784182E-3</v>
      </c>
      <c r="Z1000" s="135">
        <f t="shared" si="189"/>
        <v>0</v>
      </c>
      <c r="AA1000" s="135">
        <f t="shared" si="190"/>
        <v>0</v>
      </c>
      <c r="AB1000" s="140">
        <f t="shared" si="191"/>
        <v>3.9031488759831916</v>
      </c>
      <c r="AC1000" s="140">
        <f t="shared" si="192"/>
        <v>-7.9913438873892823E-2</v>
      </c>
      <c r="AD1000" s="140">
        <f t="shared" si="193"/>
        <v>-5.1685641056016994E-2</v>
      </c>
      <c r="AE1000" s="140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38">
        <f t="shared" si="195"/>
        <v>1.7857142857142857E-4</v>
      </c>
      <c r="Y1001" s="135">
        <f t="shared" si="188"/>
        <v>2.5644136418594792E-2</v>
      </c>
      <c r="Z1001" s="135">
        <f t="shared" si="189"/>
        <v>0</v>
      </c>
      <c r="AA1001" s="135">
        <f t="shared" si="190"/>
        <v>0</v>
      </c>
      <c r="AB1001" s="140">
        <f t="shared" si="191"/>
        <v>4.2830455282630968</v>
      </c>
      <c r="AC1001" s="140">
        <f t="shared" si="192"/>
        <v>-7.9658353646636398E-2</v>
      </c>
      <c r="AD1001" s="140">
        <f t="shared" si="193"/>
        <v>-4.9838639258303209E-2</v>
      </c>
      <c r="AE1001" s="140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38">
        <f t="shared" si="195"/>
        <v>1.7857142857142857E-4</v>
      </c>
      <c r="Y1002" s="135">
        <f t="shared" si="188"/>
        <v>-4.8802668531192665E-3</v>
      </c>
      <c r="Z1002" s="135">
        <f t="shared" si="189"/>
        <v>-4.8802668531192665E-3</v>
      </c>
      <c r="AA1002" s="135">
        <f t="shared" si="190"/>
        <v>2.3817004557654627E-5</v>
      </c>
      <c r="AB1002" s="140">
        <f t="shared" si="191"/>
        <v>4.6198851507593277</v>
      </c>
      <c r="AC1002" s="140">
        <f t="shared" si="192"/>
        <v>-7.9653935523654587E-2</v>
      </c>
      <c r="AD1002" s="140">
        <f t="shared" si="193"/>
        <v>-4.9775450992848538E-2</v>
      </c>
      <c r="AE1002" s="140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38">
        <f t="shared" si="195"/>
        <v>1.7857142857142857E-4</v>
      </c>
      <c r="Y1003" s="135">
        <f t="shared" si="188"/>
        <v>2.3317192635821726E-2</v>
      </c>
      <c r="Z1003" s="135">
        <f t="shared" si="189"/>
        <v>0</v>
      </c>
      <c r="AA1003" s="135">
        <f t="shared" si="190"/>
        <v>0</v>
      </c>
      <c r="AB1003" s="140">
        <f t="shared" si="191"/>
        <v>5.0949947751662661</v>
      </c>
      <c r="AC1003" s="140">
        <f t="shared" si="192"/>
        <v>-7.8359000298952555E-2</v>
      </c>
      <c r="AD1003" s="140">
        <f t="shared" si="193"/>
        <v>-4.9674407322804981E-2</v>
      </c>
      <c r="AE1003" s="140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38">
        <f t="shared" si="195"/>
        <v>1.7857142857142857E-4</v>
      </c>
      <c r="Y1004" s="135">
        <f t="shared" si="188"/>
        <v>5.1201286252403305E-2</v>
      </c>
      <c r="Z1004" s="135">
        <f t="shared" si="189"/>
        <v>0</v>
      </c>
      <c r="AA1004" s="135">
        <f t="shared" si="190"/>
        <v>0</v>
      </c>
      <c r="AB1004" s="140">
        <f t="shared" si="191"/>
        <v>5.3103779657422923</v>
      </c>
      <c r="AC1004" s="140">
        <f t="shared" si="192"/>
        <v>-7.845177426916991E-2</v>
      </c>
      <c r="AD1004" s="140">
        <f t="shared" si="193"/>
        <v>-4.9945732754975346E-2</v>
      </c>
      <c r="AE1004" s="140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38">
        <f t="shared" si="195"/>
        <v>1.7857142857142857E-4</v>
      </c>
      <c r="Y1005" s="135">
        <f t="shared" si="188"/>
        <v>-1.1429432560099748E-2</v>
      </c>
      <c r="Z1005" s="135">
        <f t="shared" si="189"/>
        <v>-1.1429432560099748E-2</v>
      </c>
      <c r="AA1005" s="135">
        <f t="shared" si="190"/>
        <v>1.3063192864586827E-4</v>
      </c>
      <c r="AB1005" s="140">
        <f t="shared" si="191"/>
        <v>4.6631332883754526</v>
      </c>
      <c r="AC1005" s="140">
        <f t="shared" si="192"/>
        <v>-7.4798631978956406E-2</v>
      </c>
      <c r="AD1005" s="140">
        <f t="shared" si="193"/>
        <v>-4.9946517416222247E-2</v>
      </c>
      <c r="AE1005" s="140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38">
        <f t="shared" si="195"/>
        <v>1.7857142857142857E-4</v>
      </c>
      <c r="Y1006" s="135">
        <f t="shared" si="188"/>
        <v>3.9742288168001542E-3</v>
      </c>
      <c r="Z1006" s="135">
        <f t="shared" si="189"/>
        <v>0</v>
      </c>
      <c r="AA1006" s="135">
        <f t="shared" si="190"/>
        <v>0</v>
      </c>
      <c r="AB1006" s="140">
        <f t="shared" si="191"/>
        <v>4.6920728527897309</v>
      </c>
      <c r="AC1006" s="140">
        <f t="shared" si="192"/>
        <v>-7.5194635220387884E-2</v>
      </c>
      <c r="AD1006" s="140">
        <f t="shared" si="193"/>
        <v>-4.996039692632142E-2</v>
      </c>
      <c r="AE1006" s="140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38">
        <f t="shared" si="195"/>
        <v>1.7857142857142857E-4</v>
      </c>
      <c r="Y1007" s="135">
        <f t="shared" si="188"/>
        <v>1.6156877754983635E-2</v>
      </c>
      <c r="Z1007" s="135">
        <f t="shared" si="189"/>
        <v>0</v>
      </c>
      <c r="AA1007" s="135">
        <f t="shared" si="190"/>
        <v>0</v>
      </c>
      <c r="AB1007" s="140">
        <f t="shared" si="191"/>
        <v>4.6812202840167085</v>
      </c>
      <c r="AC1007" s="140">
        <f t="shared" si="192"/>
        <v>-7.4854379040152672E-2</v>
      </c>
      <c r="AD1007" s="140">
        <f t="shared" si="193"/>
        <v>-4.9730774356453657E-2</v>
      </c>
      <c r="AE1007" s="140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38">
        <f t="shared" si="195"/>
        <v>1.7857142857142857E-4</v>
      </c>
      <c r="Y1008" s="135">
        <f>G1008-X1008</f>
        <v>-1.7857142857142857E-4</v>
      </c>
      <c r="Z1008" s="135">
        <f>IF(Y1008&lt;0,Y1008,0)</f>
        <v>-1.7857142857142857E-4</v>
      </c>
      <c r="AA1008" s="135">
        <f>Z1008^2</f>
        <v>3.1887755102040814E-8</v>
      </c>
      <c r="AB1008" s="140">
        <f>AVERAGE(Y757:Y1008)/AVERAGE(AA757:AA1008)</f>
        <v>4.7690155554625049</v>
      </c>
      <c r="AC1008" s="140">
        <f>AVERAGE(G979:G1008)-_xlfn.NORM.S.INV(0.95)*_xlfn.STDEV.S(G979:G1008)</f>
        <v>-7.4970955352915605E-2</v>
      </c>
      <c r="AD1008" s="140">
        <f>AVERAGE(G919:G1008)-_xlfn.NORM.S.INV(0.95)*_xlfn.STDEV.S(G919:G1008)</f>
        <v>-4.9660783551317332E-2</v>
      </c>
      <c r="AE1008" s="140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38">
        <f t="shared" si="195"/>
        <v>1.7857142857142857E-4</v>
      </c>
      <c r="Y1009" s="135">
        <f t="shared" si="188"/>
        <v>-1.031137564507794E-2</v>
      </c>
      <c r="Z1009" s="135">
        <f t="shared" si="189"/>
        <v>-1.031137564507794E-2</v>
      </c>
      <c r="AA1009" s="135">
        <f t="shared" si="190"/>
        <v>1.0632446769390651E-4</v>
      </c>
      <c r="AB1009" s="140">
        <f>AVERAGE(Y757:Y1009)/AVERAGE(AA757:AA1009)</f>
        <v>4.6437584309885223</v>
      </c>
      <c r="AC1009" s="140">
        <f>AVERAGE(G979:G1009)-_xlfn.NORM.S.INV(0.95)*_xlfn.STDEV.S(G979:G1009)</f>
        <v>-7.4183018955808283E-2</v>
      </c>
      <c r="AD1009" s="140">
        <f>AVERAGE(G919:G1009)-_xlfn.NORM.S.INV(0.95)*_xlfn.STDEV.S(G919:G1009)</f>
        <v>-4.9545514912552817E-2</v>
      </c>
      <c r="AE1009" s="140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38">
        <f t="shared" si="195"/>
        <v>1.7857142857142857E-4</v>
      </c>
      <c r="Y1010" s="135">
        <f t="shared" si="188"/>
        <v>-1.1111022210820205E-2</v>
      </c>
      <c r="Z1010" s="135">
        <f t="shared" si="189"/>
        <v>-1.1111022210820205E-2</v>
      </c>
      <c r="AA1010" s="135">
        <f t="shared" si="190"/>
        <v>1.234548145693399E-4</v>
      </c>
      <c r="AB1010" s="140">
        <f>AVERAGE(Y758:Y1010)/AVERAGE(AA758:AA1010)</f>
        <v>4.2409003949683592</v>
      </c>
      <c r="AC1010" s="140">
        <f>AVERAGE(G980:G1010)-_xlfn.NORM.S.INV(0.95)*_xlfn.STDEV.S(G980:G1010)</f>
        <v>-7.1562577094764435E-2</v>
      </c>
      <c r="AD1010" s="140">
        <f>AVERAGE(G920:G1010)-_xlfn.NORM.S.INV(0.95)*_xlfn.STDEV.S(G920:G1010)</f>
        <v>-4.9703677553362149E-2</v>
      </c>
      <c r="AE1010" s="140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38">
        <f t="shared" si="195"/>
        <v>1.7857142857142857E-4</v>
      </c>
      <c r="Y1011" s="135">
        <f t="shared" si="188"/>
        <v>2.5123347504798957E-2</v>
      </c>
      <c r="Z1011" s="135">
        <f t="shared" si="189"/>
        <v>0</v>
      </c>
      <c r="AA1011" s="135">
        <f t="shared" si="190"/>
        <v>0</v>
      </c>
      <c r="AB1011" s="140">
        <f>AVERAGE(Y759:Y1011)/AVERAGE(AA759:AA1011)</f>
        <v>4.3971878539489762</v>
      </c>
      <c r="AC1011" s="140">
        <f>AVERAGE(G981:G1011)-_xlfn.NORM.S.INV(0.95)*_xlfn.STDEV.S(G981:G1011)</f>
        <v>-7.102536962153147E-2</v>
      </c>
      <c r="AD1011" s="140">
        <f>AVERAGE(G921:G1011)-_xlfn.NORM.S.INV(0.95)*_xlfn.STDEV.S(G921:G1011)</f>
        <v>-4.921612528107084E-2</v>
      </c>
      <c r="AE1011" s="140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38">
        <f t="shared" si="195"/>
        <v>1.7857142857142857E-4</v>
      </c>
      <c r="Y1012" s="135">
        <f>G1012-X1012</f>
        <v>-1.7857142857142857E-4</v>
      </c>
      <c r="Z1012" s="135">
        <f>IF(Y1012&lt;0,Y1012,0)</f>
        <v>-1.7857142857142857E-4</v>
      </c>
      <c r="AA1012" s="135">
        <f>Z1012^2</f>
        <v>3.1887755102040814E-8</v>
      </c>
      <c r="AB1012" s="140">
        <f>AVERAGE(Y760:Y1012)/AVERAGE(AA760:AA1012)</f>
        <v>4.3826529079574481</v>
      </c>
      <c r="AC1012" s="140">
        <f>AVERAGE(G982:G1012)-_xlfn.NORM.S.INV(0.95)*_xlfn.STDEV.S(G982:G1012)</f>
        <v>-6.2225393772515777E-2</v>
      </c>
      <c r="AD1012" s="140">
        <f>AVERAGE(G922:G1012)-_xlfn.NORM.S.INV(0.95)*_xlfn.STDEV.S(G922:G1012)</f>
        <v>-4.9019686341091467E-2</v>
      </c>
      <c r="AE1012" s="140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38">
        <f t="shared" si="195"/>
        <v>1.7857142857142857E-4</v>
      </c>
      <c r="Y1013" s="135">
        <f t="shared" si="188"/>
        <v>2.6421091817274346E-2</v>
      </c>
      <c r="Z1013" s="135">
        <f t="shared" si="189"/>
        <v>0</v>
      </c>
      <c r="AA1013" s="135">
        <f t="shared" si="190"/>
        <v>0</v>
      </c>
      <c r="AB1013" s="140">
        <f t="shared" ref="AB1013:AB1023" si="209">AVERAGE(Y760:Y1013)/AVERAGE(AA760:AA1013)</f>
        <v>4.6881225975217049</v>
      </c>
      <c r="AC1013" s="140">
        <f t="shared" ref="AC1013:AC1023" si="210">AVERAGE(G982:G1013)-_xlfn.NORM.S.INV(0.95)*_xlfn.STDEV.S(G982:G1013)</f>
        <v>-6.0744525317219931E-2</v>
      </c>
      <c r="AD1013" s="140">
        <f t="shared" ref="AD1013:AD1023" si="211">AVERAGE(G922:G1013)-_xlfn.NORM.S.INV(0.95)*_xlfn.STDEV.S(G922:G1013)</f>
        <v>-4.8644977650139906E-2</v>
      </c>
      <c r="AE1013" s="140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38">
        <f t="shared" si="195"/>
        <v>1.7857142857142857E-4</v>
      </c>
      <c r="Y1014" s="135">
        <f t="shared" si="188"/>
        <v>-2.7413051582883798E-2</v>
      </c>
      <c r="Z1014" s="135">
        <f t="shared" si="189"/>
        <v>-2.7413051582883798E-2</v>
      </c>
      <c r="AA1014" s="135">
        <f t="shared" si="190"/>
        <v>7.5147539708584786E-4</v>
      </c>
      <c r="AB1014" s="140">
        <f t="shared" si="209"/>
        <v>4.3280413155253958</v>
      </c>
      <c r="AC1014" s="140">
        <f t="shared" si="210"/>
        <v>-5.8755635071662031E-2</v>
      </c>
      <c r="AD1014" s="140">
        <f t="shared" si="211"/>
        <v>-4.9253022216800071E-2</v>
      </c>
      <c r="AE1014" s="140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38">
        <f t="shared" si="195"/>
        <v>1.7857142857142857E-4</v>
      </c>
      <c r="Y1015" s="135">
        <f t="shared" si="188"/>
        <v>-2.2742092216669386E-2</v>
      </c>
      <c r="Z1015" s="135">
        <f t="shared" si="189"/>
        <v>-2.2742092216669386E-2</v>
      </c>
      <c r="AA1015" s="135">
        <f t="shared" si="190"/>
        <v>5.1720275839149427E-4</v>
      </c>
      <c r="AB1015" s="140">
        <f t="shared" si="209"/>
        <v>4.5141031537284304</v>
      </c>
      <c r="AC1015" s="140">
        <f t="shared" si="210"/>
        <v>-5.9038636358617724E-2</v>
      </c>
      <c r="AD1015" s="140">
        <f t="shared" si="211"/>
        <v>-4.9787437045010548E-2</v>
      </c>
      <c r="AE1015" s="140">
        <f t="shared" si="212"/>
        <v>-3.9248376066934758E-2</v>
      </c>
    </row>
    <row r="1016" spans="1:31" s="47" customFormat="1">
      <c r="A1016" s="90">
        <v>45443</v>
      </c>
      <c r="B1016" s="133">
        <v>55303668.579999998</v>
      </c>
      <c r="C1016" s="131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2">
        <f t="shared" ref="W1016:W1023" si="218">O1016/P1016</f>
        <v>0.11396688270301465</v>
      </c>
      <c r="X1016" s="139">
        <f t="shared" si="195"/>
        <v>1.7857142857142857E-4</v>
      </c>
      <c r="Y1016" s="136">
        <f t="shared" ref="Y1016:Y1023" si="219">G1016-X1016</f>
        <v>9.9963302999816362E-3</v>
      </c>
      <c r="Z1016" s="136">
        <f t="shared" ref="Z1016:Z1023" si="220">IF(Y1016&lt;0,Y1016,0)</f>
        <v>0</v>
      </c>
      <c r="AA1016" s="136">
        <f t="shared" ref="AA1016:AA1023" si="221">Z1016^2</f>
        <v>0</v>
      </c>
      <c r="AB1016" s="141">
        <f t="shared" si="209"/>
        <v>4.3030172534281883</v>
      </c>
      <c r="AC1016" s="141">
        <f t="shared" si="210"/>
        <v>-5.3287464209170105E-2</v>
      </c>
      <c r="AD1016" s="141">
        <f t="shared" si="211"/>
        <v>-4.9799570086898601E-2</v>
      </c>
      <c r="AE1016" s="141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38">
        <f t="shared" si="195"/>
        <v>1.7857142857142857E-4</v>
      </c>
      <c r="Y1017" s="135">
        <f t="shared" si="219"/>
        <v>1.9392349954958969E-2</v>
      </c>
      <c r="Z1017" s="135">
        <f t="shared" si="220"/>
        <v>0</v>
      </c>
      <c r="AA1017" s="135">
        <f t="shared" si="221"/>
        <v>0</v>
      </c>
      <c r="AB1017" s="140">
        <f t="shared" si="209"/>
        <v>4.4528634637067332</v>
      </c>
      <c r="AC1017" s="140">
        <f t="shared" si="210"/>
        <v>-5.145986730934083E-2</v>
      </c>
      <c r="AD1017" s="140">
        <f t="shared" si="211"/>
        <v>-4.9709712658637217E-2</v>
      </c>
      <c r="AE1017" s="140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38">
        <f t="shared" si="195"/>
        <v>1.7857142857142857E-4</v>
      </c>
      <c r="Y1018" s="135">
        <f t="shared" si="219"/>
        <v>-2.2981324573714799E-2</v>
      </c>
      <c r="Z1018" s="135">
        <f t="shared" si="220"/>
        <v>-2.2981324573714799E-2</v>
      </c>
      <c r="AA1018" s="135">
        <f t="shared" si="221"/>
        <v>5.2814127916242764E-4</v>
      </c>
      <c r="AB1018" s="140">
        <f t="shared" si="209"/>
        <v>3.899903796734721</v>
      </c>
      <c r="AC1018" s="140">
        <f t="shared" si="210"/>
        <v>-4.4671588706973395E-2</v>
      </c>
      <c r="AD1018" s="140">
        <f t="shared" si="211"/>
        <v>-5.0045696851219595E-2</v>
      </c>
      <c r="AE1018" s="140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38">
        <f t="shared" si="195"/>
        <v>1.7857142857142857E-4</v>
      </c>
      <c r="Y1019" s="135">
        <f t="shared" si="219"/>
        <v>4.6161570612449285E-2</v>
      </c>
      <c r="Z1019" s="135">
        <f t="shared" si="220"/>
        <v>0</v>
      </c>
      <c r="AA1019" s="135">
        <f t="shared" si="221"/>
        <v>0</v>
      </c>
      <c r="AB1019" s="140">
        <f t="shared" si="209"/>
        <v>4.3322423591561678</v>
      </c>
      <c r="AC1019" s="140">
        <f t="shared" si="210"/>
        <v>-4.4337272215747965E-2</v>
      </c>
      <c r="AD1019" s="140">
        <f t="shared" si="211"/>
        <v>-4.9981261082271855E-2</v>
      </c>
      <c r="AE1019" s="140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38">
        <f t="shared" si="195"/>
        <v>1.7857142857142857E-4</v>
      </c>
      <c r="Y1020" s="135">
        <f t="shared" si="219"/>
        <v>4.839438397793272E-3</v>
      </c>
      <c r="Z1020" s="135">
        <f t="shared" si="220"/>
        <v>0</v>
      </c>
      <c r="AA1020" s="135">
        <f t="shared" si="221"/>
        <v>0</v>
      </c>
      <c r="AB1020" s="140">
        <f t="shared" si="209"/>
        <v>4.256653328618099</v>
      </c>
      <c r="AC1020" s="140">
        <f t="shared" si="210"/>
        <v>-4.3648283325038388E-2</v>
      </c>
      <c r="AD1020" s="140">
        <f t="shared" si="211"/>
        <v>-4.9857859131585129E-2</v>
      </c>
      <c r="AE1020" s="140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38">
        <f t="shared" si="195"/>
        <v>1.7857142857142857E-4</v>
      </c>
      <c r="Y1021" s="135">
        <f t="shared" si="219"/>
        <v>-1.5758904816583326E-2</v>
      </c>
      <c r="Z1021" s="135">
        <f t="shared" si="220"/>
        <v>-1.5758904816583326E-2</v>
      </c>
      <c r="AA1021" s="135">
        <f t="shared" si="221"/>
        <v>2.4834308101813316E-4</v>
      </c>
      <c r="AB1021" s="140">
        <f t="shared" si="209"/>
        <v>3.8053329856018463</v>
      </c>
      <c r="AC1021" s="140">
        <f t="shared" si="210"/>
        <v>-4.4802668406280236E-2</v>
      </c>
      <c r="AD1021" s="140">
        <f t="shared" si="211"/>
        <v>-5.0220679867112684E-2</v>
      </c>
      <c r="AE1021" s="140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38">
        <f t="shared" si="195"/>
        <v>1.7857142857142857E-4</v>
      </c>
      <c r="Y1022" s="135">
        <f t="shared" si="219"/>
        <v>1.193774588283371E-2</v>
      </c>
      <c r="Z1022" s="135">
        <f t="shared" si="220"/>
        <v>0</v>
      </c>
      <c r="AA1022" s="135">
        <f t="shared" si="221"/>
        <v>0</v>
      </c>
      <c r="AB1022" s="140">
        <f t="shared" si="209"/>
        <v>4.0422670171212607</v>
      </c>
      <c r="AC1022" s="140">
        <f t="shared" si="210"/>
        <v>-4.4912466628403466E-2</v>
      </c>
      <c r="AD1022" s="140">
        <f t="shared" si="211"/>
        <v>-5.0072266084014549E-2</v>
      </c>
      <c r="AE1022" s="140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38">
        <f t="shared" si="195"/>
        <v>1.7857142857142857E-4</v>
      </c>
      <c r="Y1023" s="135">
        <f t="shared" si="219"/>
        <v>-6.4159782257423789E-3</v>
      </c>
      <c r="Z1023" s="135">
        <f t="shared" si="220"/>
        <v>-6.4159782257423789E-3</v>
      </c>
      <c r="AA1023" s="135">
        <f t="shared" si="221"/>
        <v>4.1164776593200324E-5</v>
      </c>
      <c r="AB1023" s="140">
        <f t="shared" si="209"/>
        <v>3.9742095153401973</v>
      </c>
      <c r="AC1023" s="140">
        <f t="shared" si="210"/>
        <v>-4.4174434463342467E-2</v>
      </c>
      <c r="AD1023" s="140">
        <f t="shared" si="211"/>
        <v>-4.9563912690452579E-2</v>
      </c>
      <c r="AE1023" s="140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38">
        <f t="shared" si="195"/>
        <v>1.7857142857142857E-4</v>
      </c>
      <c r="Y1024" s="135">
        <f t="shared" ref="Y1024:Y1055" si="226">G1024-X1024</f>
        <v>3.6066667015389492E-2</v>
      </c>
      <c r="Z1024" s="135">
        <f t="shared" ref="Z1024:Z1055" si="227">IF(Y1024&lt;0,Y1024,0)</f>
        <v>0</v>
      </c>
      <c r="AA1024" s="135">
        <f t="shared" ref="AA1024:AA1055" si="228">Z1024^2</f>
        <v>0</v>
      </c>
      <c r="AB1024" s="140">
        <f t="shared" ref="AB1024:AB1055" si="229">AVERAGE(Y771:Y1024)/AVERAGE(AA771:AA1024)</f>
        <v>4.5184788832327554</v>
      </c>
      <c r="AC1024" s="140">
        <f t="shared" ref="AC1024:AC1055" si="230">AVERAGE(G993:G1024)-_xlfn.NORM.S.INV(0.95)*_xlfn.STDEV.S(G993:G1024)</f>
        <v>-4.4217897737016468E-2</v>
      </c>
      <c r="AD1024" s="140">
        <f t="shared" ref="AD1024:AD1055" si="231">AVERAGE(G933:G1024)-_xlfn.NORM.S.INV(0.95)*_xlfn.STDEV.S(G933:G1024)</f>
        <v>-4.9621864237930587E-2</v>
      </c>
      <c r="AE1024" s="140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38">
        <f t="shared" si="195"/>
        <v>1.7857142857142857E-4</v>
      </c>
      <c r="Y1025" s="135">
        <f t="shared" si="226"/>
        <v>5.0247482166592486E-3</v>
      </c>
      <c r="Z1025" s="135">
        <f t="shared" si="227"/>
        <v>0</v>
      </c>
      <c r="AA1025" s="135">
        <f t="shared" si="228"/>
        <v>0</v>
      </c>
      <c r="AB1025" s="140">
        <f t="shared" si="229"/>
        <v>4.8199888981310988</v>
      </c>
      <c r="AC1025" s="140">
        <f t="shared" si="230"/>
        <v>-3.5683042109203977E-2</v>
      </c>
      <c r="AD1025" s="140">
        <f t="shared" si="231"/>
        <v>-4.9507518264733943E-2</v>
      </c>
      <c r="AE1025" s="140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38">
        <f t="shared" si="195"/>
        <v>1.7857142857142857E-4</v>
      </c>
      <c r="Y1026" s="135">
        <f t="shared" si="226"/>
        <v>-1.8816016855847549E-4</v>
      </c>
      <c r="Z1026" s="135">
        <f t="shared" si="227"/>
        <v>-1.8816016855847549E-4</v>
      </c>
      <c r="AA1026" s="135">
        <f t="shared" si="228"/>
        <v>3.5404249031953908E-8</v>
      </c>
      <c r="AB1026" s="140">
        <f t="shared" si="229"/>
        <v>4.6974978137538086</v>
      </c>
      <c r="AC1026" s="140">
        <f t="shared" si="230"/>
        <v>-3.0860405290159876E-2</v>
      </c>
      <c r="AD1026" s="140">
        <f t="shared" si="231"/>
        <v>-4.8899308502572895E-2</v>
      </c>
      <c r="AE1026" s="140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38">
        <f t="shared" si="195"/>
        <v>1.7857142857142857E-4</v>
      </c>
      <c r="Y1027" s="135">
        <f t="shared" si="226"/>
        <v>1.1463319052054858E-2</v>
      </c>
      <c r="Z1027" s="135">
        <f t="shared" si="227"/>
        <v>0</v>
      </c>
      <c r="AA1027" s="135">
        <f t="shared" si="228"/>
        <v>0</v>
      </c>
      <c r="AB1027" s="140">
        <f t="shared" si="229"/>
        <v>4.9997023658431008</v>
      </c>
      <c r="AC1027" s="140">
        <f t="shared" si="230"/>
        <v>-2.9379425998385028E-2</v>
      </c>
      <c r="AD1027" s="140">
        <f t="shared" si="231"/>
        <v>-4.890396571954389E-2</v>
      </c>
      <c r="AE1027" s="140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38">
        <f t="shared" si="195"/>
        <v>1.7857142857142857E-4</v>
      </c>
      <c r="Y1028" s="135">
        <f t="shared" si="226"/>
        <v>2.0432477808629449E-2</v>
      </c>
      <c r="Z1028" s="135">
        <f t="shared" si="227"/>
        <v>0</v>
      </c>
      <c r="AA1028" s="135">
        <f t="shared" si="228"/>
        <v>0</v>
      </c>
      <c r="AB1028" s="140">
        <f t="shared" si="229"/>
        <v>5.4822150485508976</v>
      </c>
      <c r="AC1028" s="140">
        <f t="shared" si="230"/>
        <v>-2.6545217471954069E-2</v>
      </c>
      <c r="AD1028" s="140">
        <f t="shared" si="231"/>
        <v>-4.8826139676213277E-2</v>
      </c>
      <c r="AE1028" s="140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38">
        <f t="shared" si="195"/>
        <v>1.7857142857142857E-4</v>
      </c>
      <c r="Y1029" s="135">
        <f t="shared" si="226"/>
        <v>1.4197121677734384E-2</v>
      </c>
      <c r="Z1029" s="135">
        <f t="shared" si="227"/>
        <v>0</v>
      </c>
      <c r="AA1029" s="135">
        <f t="shared" si="228"/>
        <v>0</v>
      </c>
      <c r="AB1029" s="140">
        <f t="shared" si="229"/>
        <v>5.3521077197049856</v>
      </c>
      <c r="AC1029" s="140">
        <f t="shared" si="230"/>
        <v>-2.5089684071027921E-2</v>
      </c>
      <c r="AD1029" s="140">
        <f t="shared" si="231"/>
        <v>-4.8517680133965492E-2</v>
      </c>
      <c r="AE1029" s="140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38">
        <f t="shared" si="195"/>
        <v>1.7857142857142857E-4</v>
      </c>
      <c r="Y1030" s="135">
        <f t="shared" si="226"/>
        <v>-1.6233134944247146E-2</v>
      </c>
      <c r="Z1030" s="135">
        <f t="shared" si="227"/>
        <v>-1.6233134944247146E-2</v>
      </c>
      <c r="AA1030" s="135">
        <f t="shared" si="228"/>
        <v>2.6351467011813775E-4</v>
      </c>
      <c r="AB1030" s="140">
        <f t="shared" si="229"/>
        <v>5.1152593036824374</v>
      </c>
      <c r="AC1030" s="140">
        <f t="shared" si="230"/>
        <v>-2.5331579680308969E-2</v>
      </c>
      <c r="AD1030" s="140">
        <f t="shared" si="231"/>
        <v>-4.8763263572841553E-2</v>
      </c>
      <c r="AE1030" s="140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38">
        <f t="shared" si="195"/>
        <v>1.7857142857142857E-4</v>
      </c>
      <c r="Y1031" s="135">
        <f t="shared" si="226"/>
        <v>-2.755506000021881E-2</v>
      </c>
      <c r="Z1031" s="135">
        <f t="shared" si="227"/>
        <v>-2.755506000021881E-2</v>
      </c>
      <c r="AA1031" s="135">
        <f t="shared" si="228"/>
        <v>7.5928133161565865E-4</v>
      </c>
      <c r="AB1031" s="140">
        <f t="shared" si="229"/>
        <v>4.8517727633825167</v>
      </c>
      <c r="AC1031" s="140">
        <f t="shared" si="230"/>
        <v>-2.7583956780760425E-2</v>
      </c>
      <c r="AD1031" s="140">
        <f t="shared" si="231"/>
        <v>-4.9405188987036518E-2</v>
      </c>
      <c r="AE1031" s="140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38">
        <f t="shared" si="195"/>
        <v>1.7857142857142857E-4</v>
      </c>
      <c r="Y1032" s="135">
        <f t="shared" si="226"/>
        <v>-3.1192750742768598E-2</v>
      </c>
      <c r="Z1032" s="135">
        <f t="shared" si="227"/>
        <v>-3.1192750742768598E-2</v>
      </c>
      <c r="AA1032" s="135">
        <f t="shared" si="228"/>
        <v>9.7298769890049089E-4</v>
      </c>
      <c r="AB1032" s="140">
        <f t="shared" si="229"/>
        <v>4.0635517771698613</v>
      </c>
      <c r="AC1032" s="140">
        <f t="shared" si="230"/>
        <v>-3.0448788498208285E-2</v>
      </c>
      <c r="AD1032" s="140">
        <f t="shared" si="231"/>
        <v>-4.9647465580693134E-2</v>
      </c>
      <c r="AE1032" s="140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38">
        <f t="shared" si="195"/>
        <v>1.7857142857142857E-4</v>
      </c>
      <c r="Y1033" s="135">
        <f t="shared" si="226"/>
        <v>3.3576832632170345E-2</v>
      </c>
      <c r="Z1033" s="135">
        <f t="shared" si="227"/>
        <v>0</v>
      </c>
      <c r="AA1033" s="135">
        <f t="shared" si="228"/>
        <v>0</v>
      </c>
      <c r="AB1033" s="140">
        <f t="shared" si="229"/>
        <v>4.4035650261953068</v>
      </c>
      <c r="AC1033" s="140">
        <f t="shared" si="230"/>
        <v>-3.0691216636420583E-2</v>
      </c>
      <c r="AD1033" s="140">
        <f t="shared" si="231"/>
        <v>-4.9687762671392369E-2</v>
      </c>
      <c r="AE1033" s="140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38">
        <f t="shared" si="195"/>
        <v>1.7857142857142857E-4</v>
      </c>
      <c r="Y1034" s="135">
        <f t="shared" si="226"/>
        <v>-8.3637535208453458E-3</v>
      </c>
      <c r="Z1034" s="135">
        <f t="shared" si="227"/>
        <v>-8.3637535208453458E-3</v>
      </c>
      <c r="AA1034" s="135">
        <f t="shared" si="228"/>
        <v>6.9952372957452923E-5</v>
      </c>
      <c r="AB1034" s="140">
        <f t="shared" si="229"/>
        <v>4.3288714239477093</v>
      </c>
      <c r="AC1034" s="140">
        <f t="shared" si="230"/>
        <v>-3.0896309213307223E-2</v>
      </c>
      <c r="AD1034" s="140">
        <f t="shared" si="231"/>
        <v>-4.9911791265889273E-2</v>
      </c>
      <c r="AE1034" s="140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38">
        <f t="shared" si="195"/>
        <v>1.7857142857142857E-4</v>
      </c>
      <c r="Y1035" s="135">
        <f t="shared" si="226"/>
        <v>-1.3339495877212946E-2</v>
      </c>
      <c r="Z1035" s="135">
        <f t="shared" si="227"/>
        <v>-1.3339495877212946E-2</v>
      </c>
      <c r="AA1035" s="135">
        <f t="shared" si="228"/>
        <v>1.7794215025818119E-4</v>
      </c>
      <c r="AB1035" s="140">
        <f t="shared" si="229"/>
        <v>4.287867926125271</v>
      </c>
      <c r="AC1035" s="140">
        <f t="shared" si="230"/>
        <v>-3.1955576482478786E-2</v>
      </c>
      <c r="AD1035" s="140">
        <f t="shared" si="231"/>
        <v>-5.0136646312727469E-2</v>
      </c>
      <c r="AE1035" s="140">
        <f t="shared" si="232"/>
        <v>-3.9895464899501104E-2</v>
      </c>
    </row>
    <row r="1036" spans="1:31" s="47" customFormat="1">
      <c r="A1036" s="90">
        <v>45471</v>
      </c>
      <c r="B1036" s="133">
        <v>59394922.759999998</v>
      </c>
      <c r="C1036" s="131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2">
        <f t="shared" si="225"/>
        <v>0.42330763486571055</v>
      </c>
      <c r="X1036" s="139">
        <f t="shared" si="195"/>
        <v>1.7857142857142857E-4</v>
      </c>
      <c r="Y1036" s="136">
        <f t="shared" si="226"/>
        <v>1.1236670560981273E-2</v>
      </c>
      <c r="Z1036" s="136">
        <f t="shared" si="227"/>
        <v>0</v>
      </c>
      <c r="AA1036" s="136">
        <f t="shared" si="228"/>
        <v>0</v>
      </c>
      <c r="AB1036" s="141">
        <f t="shared" si="229"/>
        <v>4.9041985588739401</v>
      </c>
      <c r="AC1036" s="141">
        <f t="shared" si="230"/>
        <v>-3.0304136490358687E-2</v>
      </c>
      <c r="AD1036" s="141">
        <f t="shared" si="231"/>
        <v>-4.9949627576061889E-2</v>
      </c>
      <c r="AE1036" s="141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38">
        <f t="shared" si="195"/>
        <v>1.7857142857142857E-4</v>
      </c>
      <c r="Y1037" s="135">
        <f t="shared" si="226"/>
        <v>4.3357374978571037E-3</v>
      </c>
      <c r="Z1037" s="135">
        <f t="shared" si="227"/>
        <v>0</v>
      </c>
      <c r="AA1037" s="135">
        <f t="shared" si="228"/>
        <v>0</v>
      </c>
      <c r="AB1037" s="140">
        <f t="shared" si="229"/>
        <v>5.021229363998704</v>
      </c>
      <c r="AC1037" s="140">
        <f t="shared" si="230"/>
        <v>-2.9557960535826329E-2</v>
      </c>
      <c r="AD1037" s="140">
        <f t="shared" si="231"/>
        <v>-4.9732835991934059E-2</v>
      </c>
      <c r="AE1037" s="140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38">
        <f t="shared" si="195"/>
        <v>1.7857142857142857E-4</v>
      </c>
      <c r="Y1038" s="135">
        <f t="shared" si="226"/>
        <v>2.128575480308138E-2</v>
      </c>
      <c r="Z1038" s="135">
        <f t="shared" si="227"/>
        <v>0</v>
      </c>
      <c r="AA1038" s="135">
        <f t="shared" si="228"/>
        <v>0</v>
      </c>
      <c r="AB1038" s="140">
        <f t="shared" si="229"/>
        <v>5.2213477235305579</v>
      </c>
      <c r="AC1038" s="140">
        <f t="shared" si="230"/>
        <v>-2.9463880541429781E-2</v>
      </c>
      <c r="AD1038" s="140">
        <f t="shared" si="231"/>
        <v>-4.9732768405414927E-2</v>
      </c>
      <c r="AE1038" s="140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38">
        <f t="shared" si="195"/>
        <v>1.7857142857142857E-4</v>
      </c>
      <c r="Y1039" s="135">
        <f t="shared" si="226"/>
        <v>4.7704060234334607E-2</v>
      </c>
      <c r="Z1039" s="135">
        <f t="shared" si="227"/>
        <v>0</v>
      </c>
      <c r="AA1039" s="135">
        <f t="shared" si="228"/>
        <v>0</v>
      </c>
      <c r="AB1039" s="140">
        <f t="shared" si="229"/>
        <v>5.6342215004473752</v>
      </c>
      <c r="AC1039" s="140">
        <f t="shared" si="230"/>
        <v>-3.0759860350514208E-2</v>
      </c>
      <c r="AD1039" s="140">
        <f t="shared" si="231"/>
        <v>-4.9767465713307056E-2</v>
      </c>
      <c r="AE1039" s="140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38">
        <f t="shared" si="195"/>
        <v>1.7857142857142857E-4</v>
      </c>
      <c r="Y1040" s="135">
        <f t="shared" si="226"/>
        <v>2.6838473860758927E-3</v>
      </c>
      <c r="Z1040" s="135">
        <f t="shared" si="227"/>
        <v>0</v>
      </c>
      <c r="AA1040" s="135">
        <f t="shared" si="228"/>
        <v>0</v>
      </c>
      <c r="AB1040" s="140">
        <f t="shared" si="229"/>
        <v>5.2737523090605452</v>
      </c>
      <c r="AC1040" s="140">
        <f t="shared" si="230"/>
        <v>-3.0648961766183223E-2</v>
      </c>
      <c r="AD1040" s="140">
        <f t="shared" si="231"/>
        <v>-4.9568478429387386E-2</v>
      </c>
      <c r="AE1040" s="140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29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38">
        <f t="shared" si="195"/>
        <v>1.7857142857142857E-4</v>
      </c>
      <c r="Y1041" s="135">
        <f t="shared" si="226"/>
        <v>3.5521024009600118E-3</v>
      </c>
      <c r="Z1041" s="135">
        <f t="shared" si="227"/>
        <v>0</v>
      </c>
      <c r="AA1041" s="135">
        <f t="shared" si="228"/>
        <v>0</v>
      </c>
      <c r="AB1041" s="140">
        <f t="shared" si="229"/>
        <v>4.8559194287112399</v>
      </c>
      <c r="AC1041" s="140">
        <f t="shared" si="230"/>
        <v>-2.9942270840895714E-2</v>
      </c>
      <c r="AD1041" s="140">
        <f t="shared" si="231"/>
        <v>-4.9495637189965372E-2</v>
      </c>
      <c r="AE1041" s="140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38">
        <f t="shared" si="195"/>
        <v>1.7857142857142857E-4</v>
      </c>
      <c r="Y1042" s="135">
        <f t="shared" si="226"/>
        <v>5.6524146799457504E-3</v>
      </c>
      <c r="Z1042" s="135">
        <f t="shared" si="227"/>
        <v>0</v>
      </c>
      <c r="AA1042" s="135">
        <f t="shared" si="228"/>
        <v>0</v>
      </c>
      <c r="AB1042" s="140">
        <f t="shared" si="229"/>
        <v>4.9464288480531122</v>
      </c>
      <c r="AC1042" s="140">
        <f t="shared" si="230"/>
        <v>-2.9092139218424941E-2</v>
      </c>
      <c r="AD1042" s="140">
        <f t="shared" si="231"/>
        <v>-4.9324924324236831E-2</v>
      </c>
      <c r="AE1042" s="140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38">
        <f t="shared" si="195"/>
        <v>1.7857142857142857E-4</v>
      </c>
      <c r="Y1043" s="135">
        <f t="shared" si="226"/>
        <v>9.0723778613035415E-4</v>
      </c>
      <c r="Z1043" s="135">
        <f t="shared" si="227"/>
        <v>0</v>
      </c>
      <c r="AA1043" s="135">
        <f t="shared" si="228"/>
        <v>0</v>
      </c>
      <c r="AB1043" s="140">
        <f t="shared" si="229"/>
        <v>4.7949668092228981</v>
      </c>
      <c r="AC1043" s="140">
        <f t="shared" si="230"/>
        <v>-2.9348388109228879E-2</v>
      </c>
      <c r="AD1043" s="140">
        <f t="shared" si="231"/>
        <v>-4.9377291427549513E-2</v>
      </c>
      <c r="AE1043" s="140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38">
        <f t="shared" si="195"/>
        <v>1.7857142857142857E-4</v>
      </c>
      <c r="Y1044" s="135">
        <f t="shared" si="226"/>
        <v>3.5343414201902214E-2</v>
      </c>
      <c r="Z1044" s="135">
        <f t="shared" si="227"/>
        <v>0</v>
      </c>
      <c r="AA1044" s="135">
        <f t="shared" si="228"/>
        <v>0</v>
      </c>
      <c r="AB1044" s="140">
        <f t="shared" si="229"/>
        <v>4.9543689874453207</v>
      </c>
      <c r="AC1044" s="140">
        <f t="shared" si="230"/>
        <v>-2.9359276474642881E-2</v>
      </c>
      <c r="AD1044" s="140">
        <f t="shared" si="231"/>
        <v>-4.9367623195023073E-2</v>
      </c>
      <c r="AE1044" s="140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38">
        <f t="shared" si="195"/>
        <v>1.7857142857142857E-4</v>
      </c>
      <c r="Y1045" s="135">
        <f t="shared" si="226"/>
        <v>-2.9240917115930288E-2</v>
      </c>
      <c r="Z1045" s="135">
        <f t="shared" si="227"/>
        <v>-2.9240917115930288E-2</v>
      </c>
      <c r="AA1045" s="135">
        <f t="shared" si="228"/>
        <v>8.5503123378070488E-4</v>
      </c>
      <c r="AB1045" s="140">
        <f t="shared" si="229"/>
        <v>4.6139752507713014</v>
      </c>
      <c r="AC1045" s="140">
        <f t="shared" si="230"/>
        <v>-3.1940490045132101E-2</v>
      </c>
      <c r="AD1045" s="140">
        <f t="shared" si="231"/>
        <v>-5.0071060814602733E-2</v>
      </c>
      <c r="AE1045" s="140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38">
        <f t="shared" si="195"/>
        <v>1.7857142857142857E-4</v>
      </c>
      <c r="Y1046" s="135">
        <f t="shared" si="226"/>
        <v>2.5927564834401402E-2</v>
      </c>
      <c r="Z1046" s="135">
        <f t="shared" si="227"/>
        <v>0</v>
      </c>
      <c r="AA1046" s="135">
        <f t="shared" si="228"/>
        <v>0</v>
      </c>
      <c r="AB1046" s="140">
        <f t="shared" si="229"/>
        <v>5.593145699016068</v>
      </c>
      <c r="AC1046" s="140">
        <f t="shared" si="230"/>
        <v>-2.9560240875449111E-2</v>
      </c>
      <c r="AD1046" s="140">
        <f t="shared" si="231"/>
        <v>-4.9606050004516296E-2</v>
      </c>
      <c r="AE1046" s="140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38">
        <f t="shared" si="195"/>
        <v>1.7857142857142857E-4</v>
      </c>
      <c r="Y1047" s="135">
        <f t="shared" si="226"/>
        <v>-1.3150837861755234E-3</v>
      </c>
      <c r="Z1047" s="135">
        <f t="shared" si="227"/>
        <v>-1.3150837861755234E-3</v>
      </c>
      <c r="AA1047" s="135">
        <f t="shared" si="228"/>
        <v>1.7294453646617499E-6</v>
      </c>
      <c r="AB1047" s="140">
        <f t="shared" si="229"/>
        <v>5.6103772165594226</v>
      </c>
      <c r="AC1047" s="140">
        <f t="shared" si="230"/>
        <v>-2.7928154536373002E-2</v>
      </c>
      <c r="AD1047" s="140">
        <f t="shared" si="231"/>
        <v>-4.9762299391119598E-2</v>
      </c>
      <c r="AE1047" s="140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29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38">
        <f t="shared" si="195"/>
        <v>1.7857142857142857E-4</v>
      </c>
      <c r="Y1048" s="135">
        <f t="shared" si="226"/>
        <v>1.3571189346570811E-2</v>
      </c>
      <c r="Z1048" s="135">
        <f t="shared" si="227"/>
        <v>0</v>
      </c>
      <c r="AA1048" s="135">
        <f t="shared" si="228"/>
        <v>0</v>
      </c>
      <c r="AB1048" s="140">
        <f t="shared" si="229"/>
        <v>5.7716640540944315</v>
      </c>
      <c r="AC1048" s="140">
        <f t="shared" si="230"/>
        <v>-2.7866434890763927E-2</v>
      </c>
      <c r="AD1048" s="140">
        <f t="shared" si="231"/>
        <v>-4.9778593149535658E-2</v>
      </c>
      <c r="AE1048" s="140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38">
        <f t="shared" si="195"/>
        <v>1.7857142857142857E-4</v>
      </c>
      <c r="Y1049" s="135">
        <f t="shared" si="226"/>
        <v>-9.6519644516861597E-2</v>
      </c>
      <c r="Z1049" s="135">
        <f t="shared" si="227"/>
        <v>-9.6519644516861597E-2</v>
      </c>
      <c r="AA1049" s="135">
        <f t="shared" si="228"/>
        <v>9.3160417776613318E-3</v>
      </c>
      <c r="AB1049" s="140">
        <f t="shared" si="229"/>
        <v>4.0866096063681416</v>
      </c>
      <c r="AC1049" s="140">
        <f t="shared" si="230"/>
        <v>-4.2427074938043492E-2</v>
      </c>
      <c r="AD1049" s="140">
        <f t="shared" si="231"/>
        <v>-5.3211700426889746E-2</v>
      </c>
      <c r="AE1049" s="140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38">
        <f t="shared" si="195"/>
        <v>1.7857142857142857E-4</v>
      </c>
      <c r="Y1050" s="135">
        <f t="shared" si="226"/>
        <v>-1.4631352031732364E-2</v>
      </c>
      <c r="Z1050" s="135">
        <f t="shared" si="227"/>
        <v>-1.4631352031732364E-2</v>
      </c>
      <c r="AA1050" s="135">
        <f t="shared" si="228"/>
        <v>2.1407646227647876E-4</v>
      </c>
      <c r="AB1050" s="140">
        <f t="shared" si="229"/>
        <v>3.9278060541969588</v>
      </c>
      <c r="AC1050" s="140">
        <f t="shared" si="230"/>
        <v>-4.1816655222685635E-2</v>
      </c>
      <c r="AD1050" s="140">
        <f t="shared" si="231"/>
        <v>-5.2933006656523993E-2</v>
      </c>
      <c r="AE1050" s="140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38">
        <f t="shared" si="195"/>
        <v>1.7857142857142857E-4</v>
      </c>
      <c r="Y1051" s="135">
        <f t="shared" si="226"/>
        <v>-4.7596476322140722E-2</v>
      </c>
      <c r="Z1051" s="135">
        <f t="shared" si="227"/>
        <v>-4.7596476322140722E-2</v>
      </c>
      <c r="AA1051" s="135">
        <f t="shared" si="228"/>
        <v>2.2654245582841024E-3</v>
      </c>
      <c r="AB1051" s="140">
        <f t="shared" si="229"/>
        <v>3.5825235823518407</v>
      </c>
      <c r="AC1051" s="140">
        <f t="shared" si="230"/>
        <v>-4.5149806106453916E-2</v>
      </c>
      <c r="AD1051" s="140">
        <f t="shared" si="231"/>
        <v>-5.4212045167911629E-2</v>
      </c>
      <c r="AE1051" s="140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38">
        <f t="shared" si="195"/>
        <v>1.7857142857142857E-4</v>
      </c>
      <c r="Y1052" s="135">
        <f t="shared" si="226"/>
        <v>4.1916646980102383E-2</v>
      </c>
      <c r="Z1052" s="135">
        <f t="shared" si="227"/>
        <v>0</v>
      </c>
      <c r="AA1052" s="135">
        <f t="shared" si="228"/>
        <v>0</v>
      </c>
      <c r="AB1052" s="140">
        <f t="shared" si="229"/>
        <v>3.6995777660940035</v>
      </c>
      <c r="AC1052" s="140">
        <f t="shared" si="230"/>
        <v>-4.5586034690071081E-2</v>
      </c>
      <c r="AD1052" s="140">
        <f t="shared" si="231"/>
        <v>-5.3775383950557996E-2</v>
      </c>
      <c r="AE1052" s="140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38">
        <f t="shared" si="195"/>
        <v>1.7857142857142857E-4</v>
      </c>
      <c r="Y1053" s="135">
        <f t="shared" si="226"/>
        <v>-1.3196422842870509E-2</v>
      </c>
      <c r="Z1053" s="135">
        <f t="shared" si="227"/>
        <v>-1.3196422842870509E-2</v>
      </c>
      <c r="AA1053" s="135">
        <f t="shared" si="228"/>
        <v>1.7414557584783457E-4</v>
      </c>
      <c r="AB1053" s="140">
        <f t="shared" si="229"/>
        <v>3.5457925182338226</v>
      </c>
      <c r="AC1053" s="140">
        <f t="shared" si="230"/>
        <v>-4.5431044374702467E-2</v>
      </c>
      <c r="AD1053" s="140">
        <f t="shared" si="231"/>
        <v>-5.3697125455768387E-2</v>
      </c>
      <c r="AE1053" s="140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38">
        <f t="shared" si="195"/>
        <v>1.7857142857142857E-4</v>
      </c>
      <c r="Y1054" s="135">
        <f t="shared" si="226"/>
        <v>-6.3328618353724178E-2</v>
      </c>
      <c r="Z1054" s="135">
        <f t="shared" si="227"/>
        <v>-6.3328618353724178E-2</v>
      </c>
      <c r="AA1054" s="135">
        <f t="shared" si="228"/>
        <v>4.010513902591651E-3</v>
      </c>
      <c r="AB1054" s="140">
        <f t="shared" si="229"/>
        <v>2.9490289532673524</v>
      </c>
      <c r="AC1054" s="140">
        <f t="shared" si="230"/>
        <v>-5.1268072015722921E-2</v>
      </c>
      <c r="AD1054" s="140">
        <f t="shared" si="231"/>
        <v>-5.5219135792100499E-2</v>
      </c>
      <c r="AE1054" s="140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38">
        <f t="shared" si="195"/>
        <v>1.7857142857142857E-4</v>
      </c>
      <c r="Y1055" s="135">
        <f t="shared" si="226"/>
        <v>-1.4811868055181466E-2</v>
      </c>
      <c r="Z1055" s="135">
        <f t="shared" si="227"/>
        <v>-1.4811868055181466E-2</v>
      </c>
      <c r="AA1055" s="135">
        <f t="shared" si="228"/>
        <v>2.1939143528410519E-4</v>
      </c>
      <c r="AB1055" s="140">
        <f t="shared" si="229"/>
        <v>3.3205488503941916</v>
      </c>
      <c r="AC1055" s="140">
        <f t="shared" si="230"/>
        <v>-5.1667171876162737E-2</v>
      </c>
      <c r="AD1055" s="140">
        <f t="shared" si="231"/>
        <v>-5.555410704773911E-2</v>
      </c>
      <c r="AE1055" s="140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38">
        <f t="shared" si="195"/>
        <v>1.7857142857142857E-4</v>
      </c>
      <c r="Y1056" s="135">
        <f t="shared" ref="Y1056:Y1087" si="247">G1056-X1056</f>
        <v>3.5987633290215183E-2</v>
      </c>
      <c r="Z1056" s="135">
        <f t="shared" ref="Z1056:Z1087" si="248">IF(Y1056&lt;0,Y1056,0)</f>
        <v>0</v>
      </c>
      <c r="AA1056" s="135">
        <f t="shared" ref="AA1056:AA1087" si="249">Z1056^2</f>
        <v>0</v>
      </c>
      <c r="AB1056" s="140">
        <f t="shared" ref="AB1056:AB1087" si="250">AVERAGE(Y803:Y1056)/AVERAGE(AA803:AA1056)</f>
        <v>3.847634070393533</v>
      </c>
      <c r="AC1056" s="140">
        <f t="shared" ref="AC1056:AC1087" si="251">AVERAGE(G1025:G1056)-_xlfn.NORM.S.INV(0.95)*_xlfn.STDEV.S(G1025:G1056)</f>
        <v>-5.1664539733535506E-2</v>
      </c>
      <c r="AD1056" s="140">
        <f t="shared" ref="AD1056:AD1087" si="252">AVERAGE(G965:G1056)-_xlfn.NORM.S.INV(0.95)*_xlfn.STDEV.S(G965:G1056)</f>
        <v>-5.5539415913611771E-2</v>
      </c>
      <c r="AE1056" s="140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38">
        <f t="shared" si="195"/>
        <v>1.7857142857142857E-4</v>
      </c>
      <c r="Y1057" s="135">
        <f t="shared" si="247"/>
        <v>-8.8848429120723937E-3</v>
      </c>
      <c r="Z1057" s="135">
        <f t="shared" si="248"/>
        <v>-8.8848429120723937E-3</v>
      </c>
      <c r="AA1057" s="135">
        <f t="shared" si="249"/>
        <v>7.8940433572203056E-5</v>
      </c>
      <c r="AB1057" s="140">
        <f t="shared" si="250"/>
        <v>3.7429269437450881</v>
      </c>
      <c r="AC1057" s="140">
        <f t="shared" si="251"/>
        <v>-5.2108296438685121E-2</v>
      </c>
      <c r="AD1057" s="140">
        <f t="shared" si="252"/>
        <v>-5.5684862978777588E-2</v>
      </c>
      <c r="AE1057" s="140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38">
        <f t="shared" si="195"/>
        <v>1.7857142857142857E-4</v>
      </c>
      <c r="Y1058" s="135">
        <f t="shared" si="247"/>
        <v>-3.8981025136926875E-2</v>
      </c>
      <c r="Z1058" s="135">
        <f t="shared" si="248"/>
        <v>-3.8981025136926875E-2</v>
      </c>
      <c r="AA1058" s="135">
        <f t="shared" si="249"/>
        <v>1.519520320725725E-3</v>
      </c>
      <c r="AB1058" s="140">
        <f t="shared" si="250"/>
        <v>3.2484248378611928</v>
      </c>
      <c r="AC1058" s="140">
        <f t="shared" si="251"/>
        <v>-5.4461043450737386E-2</v>
      </c>
      <c r="AD1058" s="140">
        <f t="shared" si="252"/>
        <v>-5.6629183300667713E-2</v>
      </c>
      <c r="AE1058" s="140">
        <f t="shared" si="253"/>
        <v>-4.1270484045593095E-2</v>
      </c>
    </row>
    <row r="1059" spans="1:31" s="47" customFormat="1">
      <c r="A1059" s="90">
        <v>45504</v>
      </c>
      <c r="B1059" s="133">
        <v>60667367.421713203</v>
      </c>
      <c r="C1059" s="131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2">
        <f t="shared" si="246"/>
        <v>0.40279481202642103</v>
      </c>
      <c r="X1059" s="139">
        <f t="shared" si="195"/>
        <v>1.7857142857142857E-4</v>
      </c>
      <c r="Y1059" s="136">
        <f t="shared" si="247"/>
        <v>0.10542655372467835</v>
      </c>
      <c r="Z1059" s="136">
        <f t="shared" si="248"/>
        <v>0</v>
      </c>
      <c r="AA1059" s="136">
        <f t="shared" si="249"/>
        <v>0</v>
      </c>
      <c r="AB1059" s="141">
        <f t="shared" si="250"/>
        <v>4.3625771854468187</v>
      </c>
      <c r="AC1059" s="141">
        <f t="shared" si="251"/>
        <v>-6.0298099521045707E-2</v>
      </c>
      <c r="AD1059" s="141">
        <f t="shared" si="252"/>
        <v>-5.819336865464099E-2</v>
      </c>
      <c r="AE1059" s="141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38">
        <f t="shared" si="195"/>
        <v>1.7857142857142857E-4</v>
      </c>
      <c r="Y1060" s="135">
        <f t="shared" si="247"/>
        <v>-7.7371915577341688E-2</v>
      </c>
      <c r="Z1060" s="135">
        <f t="shared" si="248"/>
        <v>-7.7371915577341688E-2</v>
      </c>
      <c r="AA1060" s="135">
        <f t="shared" si="249"/>
        <v>5.9864133201072891E-3</v>
      </c>
      <c r="AB1060" s="140">
        <f t="shared" si="250"/>
        <v>3.5562124083331792</v>
      </c>
      <c r="AC1060" s="140">
        <f t="shared" si="251"/>
        <v>-6.7041120026474874E-2</v>
      </c>
      <c r="AD1060" s="140">
        <f t="shared" si="252"/>
        <v>-6.0482795322080896E-2</v>
      </c>
      <c r="AE1060" s="140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38">
        <f t="shared" si="195"/>
        <v>1.7857142857142857E-4</v>
      </c>
      <c r="Y1061" s="135">
        <f t="shared" si="247"/>
        <v>-5.733872461040964E-2</v>
      </c>
      <c r="Z1061" s="135">
        <f t="shared" si="248"/>
        <v>-5.733872461040964E-2</v>
      </c>
      <c r="AA1061" s="135">
        <f t="shared" si="249"/>
        <v>3.2877293399483963E-3</v>
      </c>
      <c r="AB1061" s="140">
        <f t="shared" si="250"/>
        <v>2.9452781463220226</v>
      </c>
      <c r="AC1061" s="140">
        <f t="shared" si="251"/>
        <v>-7.0944461902771705E-2</v>
      </c>
      <c r="AD1061" s="140">
        <f t="shared" si="252"/>
        <v>-6.1781817094156637E-2</v>
      </c>
      <c r="AE1061" s="140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38">
        <f t="shared" si="195"/>
        <v>1.7857142857142857E-4</v>
      </c>
      <c r="Y1062" s="135">
        <f t="shared" si="247"/>
        <v>-0.10273499428939145</v>
      </c>
      <c r="Z1062" s="135">
        <f t="shared" si="248"/>
        <v>-0.10273499428939145</v>
      </c>
      <c r="AA1062" s="135">
        <f t="shared" si="249"/>
        <v>1.0554479051641294E-2</v>
      </c>
      <c r="AB1062" s="140">
        <f t="shared" si="250"/>
        <v>1.9565195456369262</v>
      </c>
      <c r="AC1062" s="140">
        <f t="shared" si="251"/>
        <v>-7.9450438556777123E-2</v>
      </c>
      <c r="AD1062" s="140">
        <f t="shared" si="252"/>
        <v>-6.5443924057929995E-2</v>
      </c>
      <c r="AE1062" s="140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38">
        <f t="shared" si="195"/>
        <v>1.7857142857142857E-4</v>
      </c>
      <c r="Y1063" s="135">
        <f t="shared" si="247"/>
        <v>2.9072007286715853E-2</v>
      </c>
      <c r="Z1063" s="135">
        <f t="shared" si="248"/>
        <v>0</v>
      </c>
      <c r="AA1063" s="135">
        <f t="shared" si="249"/>
        <v>0</v>
      </c>
      <c r="AB1063" s="140">
        <f t="shared" si="250"/>
        <v>2.0716872076254882</v>
      </c>
      <c r="AC1063" s="140">
        <f t="shared" si="251"/>
        <v>-7.8225132318648694E-2</v>
      </c>
      <c r="AD1063" s="140">
        <f t="shared" si="252"/>
        <v>-6.5392192317157025E-2</v>
      </c>
      <c r="AE1063" s="140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38">
        <f t="shared" si="195"/>
        <v>1.7857142857142857E-4</v>
      </c>
      <c r="Y1064" s="135">
        <f t="shared" si="247"/>
        <v>-2.9797704522692963E-2</v>
      </c>
      <c r="Z1064" s="135">
        <f t="shared" si="248"/>
        <v>-2.9797704522692963E-2</v>
      </c>
      <c r="AA1064" s="135">
        <f t="shared" si="249"/>
        <v>8.879031948217167E-4</v>
      </c>
      <c r="AB1064" s="140">
        <f t="shared" si="250"/>
        <v>1.992514542194338</v>
      </c>
      <c r="AC1064" s="140">
        <f t="shared" si="251"/>
        <v>-7.8140600274760857E-2</v>
      </c>
      <c r="AD1064" s="140">
        <f t="shared" si="252"/>
        <v>-6.5849383425390415E-2</v>
      </c>
      <c r="AE1064" s="140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38">
        <f t="shared" si="195"/>
        <v>1.7857142857142857E-4</v>
      </c>
      <c r="Y1065" s="135">
        <f t="shared" si="247"/>
        <v>9.3878662861147516E-2</v>
      </c>
      <c r="Z1065" s="135">
        <f t="shared" si="248"/>
        <v>0</v>
      </c>
      <c r="AA1065" s="135">
        <f t="shared" si="249"/>
        <v>0</v>
      </c>
      <c r="AB1065" s="140">
        <f t="shared" si="250"/>
        <v>2.9630792513487707</v>
      </c>
      <c r="AC1065" s="140">
        <f t="shared" si="251"/>
        <v>-8.1129547881972672E-2</v>
      </c>
      <c r="AD1065" s="140">
        <f t="shared" si="252"/>
        <v>-6.6553027926578898E-2</v>
      </c>
      <c r="AE1065" s="140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38">
        <f t="shared" si="195"/>
        <v>1.7857142857142857E-4</v>
      </c>
      <c r="Y1066" s="135">
        <f t="shared" si="247"/>
        <v>1.4481841220575558E-2</v>
      </c>
      <c r="Z1066" s="135">
        <f t="shared" si="248"/>
        <v>0</v>
      </c>
      <c r="AA1066" s="135">
        <f t="shared" si="249"/>
        <v>0</v>
      </c>
      <c r="AB1066" s="140">
        <f t="shared" si="250"/>
        <v>3.3382773825840899</v>
      </c>
      <c r="AC1066" s="140">
        <f t="shared" si="251"/>
        <v>-8.0597913346316635E-2</v>
      </c>
      <c r="AD1066" s="140">
        <f t="shared" si="252"/>
        <v>-6.6546840225213774E-2</v>
      </c>
      <c r="AE1066" s="140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38">
        <f t="shared" si="195"/>
        <v>1.7857142857142857E-4</v>
      </c>
      <c r="Y1067" s="135">
        <f t="shared" si="247"/>
        <v>1.6556935624663132E-2</v>
      </c>
      <c r="Z1067" s="135">
        <f t="shared" si="248"/>
        <v>0</v>
      </c>
      <c r="AA1067" s="135">
        <f t="shared" si="249"/>
        <v>0</v>
      </c>
      <c r="AB1067" s="140">
        <f t="shared" si="250"/>
        <v>3.4828855207605875</v>
      </c>
      <c r="AC1067" s="140">
        <f t="shared" si="251"/>
        <v>-7.982482649947141E-2</v>
      </c>
      <c r="AD1067" s="140">
        <f t="shared" si="252"/>
        <v>-6.500792880552704E-2</v>
      </c>
      <c r="AE1067" s="140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38">
        <f t="shared" si="195"/>
        <v>1.7857142857142857E-4</v>
      </c>
      <c r="Y1068" s="135">
        <f t="shared" si="247"/>
        <v>5.8705735768973449E-2</v>
      </c>
      <c r="Z1068" s="135">
        <f t="shared" si="248"/>
        <v>0</v>
      </c>
      <c r="AA1068" s="135">
        <f t="shared" si="249"/>
        <v>0</v>
      </c>
      <c r="AB1068" s="140">
        <f t="shared" si="250"/>
        <v>3.7972404316124515</v>
      </c>
      <c r="AC1068" s="140">
        <f t="shared" si="251"/>
        <v>-8.0295449356181714E-2</v>
      </c>
      <c r="AD1068" s="140">
        <f t="shared" si="252"/>
        <v>-6.5211889589931432E-2</v>
      </c>
      <c r="AE1068" s="140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38">
        <f t="shared" si="195"/>
        <v>1.7857142857142857E-4</v>
      </c>
      <c r="Y1069" s="135">
        <f t="shared" si="247"/>
        <v>2.4279269620333132E-3</v>
      </c>
      <c r="Z1069" s="135">
        <f t="shared" si="248"/>
        <v>0</v>
      </c>
      <c r="AA1069" s="135">
        <f t="shared" si="249"/>
        <v>0</v>
      </c>
      <c r="AB1069" s="140">
        <f t="shared" si="250"/>
        <v>3.8279142658956222</v>
      </c>
      <c r="AC1069" s="140">
        <f t="shared" si="251"/>
        <v>-8.0345356631114709E-2</v>
      </c>
      <c r="AD1069" s="140">
        <f t="shared" si="252"/>
        <v>-6.5214847390028127E-2</v>
      </c>
      <c r="AE1069" s="140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38">
        <f t="shared" si="195"/>
        <v>1.7857142857142857E-4</v>
      </c>
      <c r="Y1070" s="135">
        <f t="shared" si="247"/>
        <v>5.474060731744361E-2</v>
      </c>
      <c r="Z1070" s="135">
        <f t="shared" si="248"/>
        <v>0</v>
      </c>
      <c r="AA1070" s="135">
        <f t="shared" si="249"/>
        <v>0</v>
      </c>
      <c r="AB1070" s="140">
        <f t="shared" si="250"/>
        <v>4.0221459644508366</v>
      </c>
      <c r="AC1070" s="140">
        <f t="shared" si="251"/>
        <v>-8.0715274745450385E-2</v>
      </c>
      <c r="AD1070" s="140">
        <f t="shared" si="252"/>
        <v>-6.5282294465200175E-2</v>
      </c>
      <c r="AE1070" s="140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38">
        <f t="shared" si="195"/>
        <v>1.7857142857142857E-4</v>
      </c>
      <c r="Y1071" s="135">
        <f t="shared" si="247"/>
        <v>2.2076769011564037E-2</v>
      </c>
      <c r="Z1071" s="135">
        <f t="shared" si="248"/>
        <v>0</v>
      </c>
      <c r="AA1071" s="135">
        <f t="shared" si="249"/>
        <v>0</v>
      </c>
      <c r="AB1071" s="140">
        <f t="shared" si="250"/>
        <v>4.5944340438539024</v>
      </c>
      <c r="AC1071" s="140">
        <f t="shared" si="251"/>
        <v>-8.0525308402567289E-2</v>
      </c>
      <c r="AD1071" s="140">
        <f t="shared" si="252"/>
        <v>-6.4047694801402419E-2</v>
      </c>
      <c r="AE1071" s="140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38">
        <f t="shared" si="195"/>
        <v>1.7857142857142857E-4</v>
      </c>
      <c r="Y1072" s="135">
        <f t="shared" si="247"/>
        <v>3.3551800224288171E-2</v>
      </c>
      <c r="Z1072" s="135">
        <f t="shared" si="248"/>
        <v>0</v>
      </c>
      <c r="AA1072" s="135">
        <f t="shared" si="249"/>
        <v>0</v>
      </c>
      <c r="AB1072" s="140">
        <f t="shared" si="250"/>
        <v>4.7704845971016443</v>
      </c>
      <c r="AC1072" s="140">
        <f t="shared" si="251"/>
        <v>-8.0189188563951422E-2</v>
      </c>
      <c r="AD1072" s="140">
        <f t="shared" si="252"/>
        <v>-6.3812979448044857E-2</v>
      </c>
      <c r="AE1072" s="140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38">
        <f t="shared" ref="X1073:X1168" si="256">4.5%/252</f>
        <v>1.7857142857142857E-4</v>
      </c>
      <c r="Y1073" s="135">
        <f t="shared" si="247"/>
        <v>-2.2661055011005092E-2</v>
      </c>
      <c r="Z1073" s="135">
        <f t="shared" si="248"/>
        <v>-2.2661055011005092E-2</v>
      </c>
      <c r="AA1073" s="135">
        <f t="shared" si="249"/>
        <v>5.1352341421179897E-4</v>
      </c>
      <c r="AB1073" s="140">
        <f t="shared" si="250"/>
        <v>4.4622341284670526</v>
      </c>
      <c r="AC1073" s="140">
        <f t="shared" si="251"/>
        <v>-8.1266698832261078E-2</v>
      </c>
      <c r="AD1073" s="140">
        <f t="shared" si="252"/>
        <v>-6.1173075071309119E-2</v>
      </c>
      <c r="AE1073" s="140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38">
        <f t="shared" si="256"/>
        <v>1.7857142857142857E-4</v>
      </c>
      <c r="Y1074" s="135">
        <f t="shared" si="247"/>
        <v>1.407637857403521E-2</v>
      </c>
      <c r="Z1074" s="135">
        <f t="shared" si="248"/>
        <v>0</v>
      </c>
      <c r="AA1074" s="135">
        <f t="shared" si="249"/>
        <v>0</v>
      </c>
      <c r="AB1074" s="140">
        <f t="shared" si="250"/>
        <v>4.2900569120052872</v>
      </c>
      <c r="AC1074" s="140">
        <f t="shared" si="251"/>
        <v>-8.1100248023314891E-2</v>
      </c>
      <c r="AD1074" s="140">
        <f t="shared" si="252"/>
        <v>-5.986171041713944E-2</v>
      </c>
      <c r="AE1074" s="140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38">
        <f t="shared" si="256"/>
        <v>1.7857142857142857E-4</v>
      </c>
      <c r="Y1075" s="135">
        <f t="shared" si="247"/>
        <v>-3.8420754244126935E-2</v>
      </c>
      <c r="Z1075" s="135">
        <f t="shared" si="248"/>
        <v>-3.8420754244126935E-2</v>
      </c>
      <c r="AA1075" s="135">
        <f t="shared" si="249"/>
        <v>1.476154356687598E-3</v>
      </c>
      <c r="AB1075" s="140">
        <f t="shared" si="250"/>
        <v>3.86741166014298</v>
      </c>
      <c r="AC1075" s="140">
        <f t="shared" si="251"/>
        <v>-8.3071559752930249E-2</v>
      </c>
      <c r="AD1075" s="140">
        <f t="shared" si="252"/>
        <v>-6.0374355797443068E-2</v>
      </c>
      <c r="AE1075" s="140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38">
        <f t="shared" si="256"/>
        <v>1.7857142857142857E-4</v>
      </c>
      <c r="Y1076" s="135">
        <f t="shared" si="247"/>
        <v>5.3638149474892823E-2</v>
      </c>
      <c r="Z1076" s="135">
        <f t="shared" si="248"/>
        <v>0</v>
      </c>
      <c r="AA1076" s="135">
        <f t="shared" si="249"/>
        <v>0</v>
      </c>
      <c r="AB1076" s="140">
        <f t="shared" si="250"/>
        <v>4.286995195524069</v>
      </c>
      <c r="AC1076" s="140">
        <f t="shared" si="251"/>
        <v>-8.3398165723333223E-2</v>
      </c>
      <c r="AD1076" s="140">
        <f t="shared" si="252"/>
        <v>-5.8606381742151187E-2</v>
      </c>
      <c r="AE1076" s="140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38">
        <f t="shared" si="256"/>
        <v>1.7857142857142857E-4</v>
      </c>
      <c r="Y1077" s="135">
        <f t="shared" si="247"/>
        <v>-1.7854743691097418E-2</v>
      </c>
      <c r="Z1077" s="135">
        <f t="shared" si="248"/>
        <v>-1.7854743691097418E-2</v>
      </c>
      <c r="AA1077" s="135">
        <f t="shared" si="249"/>
        <v>3.1879187227478307E-4</v>
      </c>
      <c r="AB1077" s="140">
        <f t="shared" si="250"/>
        <v>4.1310645686509968</v>
      </c>
      <c r="AC1077" s="140">
        <f t="shared" si="251"/>
        <v>-8.2770821785131343E-2</v>
      </c>
      <c r="AD1077" s="140">
        <f t="shared" si="252"/>
        <v>-5.8544059749753012E-2</v>
      </c>
      <c r="AE1077" s="140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38">
        <f t="shared" si="256"/>
        <v>1.7857142857142857E-4</v>
      </c>
      <c r="Y1078" s="135">
        <f t="shared" si="247"/>
        <v>1.2766534362774322E-2</v>
      </c>
      <c r="Z1078" s="135">
        <f t="shared" si="248"/>
        <v>0</v>
      </c>
      <c r="AA1078" s="135">
        <f t="shared" si="249"/>
        <v>0</v>
      </c>
      <c r="AB1078" s="140">
        <f t="shared" si="250"/>
        <v>4.2477540392593589</v>
      </c>
      <c r="AC1078" s="140">
        <f t="shared" si="251"/>
        <v>-8.2894944521658714E-2</v>
      </c>
      <c r="AD1078" s="140">
        <f t="shared" si="252"/>
        <v>-5.5898920337308589E-2</v>
      </c>
      <c r="AE1078" s="140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38">
        <f t="shared" si="256"/>
        <v>1.7857142857142857E-4</v>
      </c>
      <c r="Y1079" s="135">
        <f t="shared" si="247"/>
        <v>-2.8693192920697119E-2</v>
      </c>
      <c r="Z1079" s="135">
        <f t="shared" si="248"/>
        <v>-2.8693192920697119E-2</v>
      </c>
      <c r="AA1079" s="135">
        <f t="shared" si="249"/>
        <v>8.2329931998434327E-4</v>
      </c>
      <c r="AB1079" s="140">
        <f t="shared" si="250"/>
        <v>4.0049980156915082</v>
      </c>
      <c r="AC1079" s="140">
        <f t="shared" si="251"/>
        <v>-8.4136793760729717E-2</v>
      </c>
      <c r="AD1079" s="140">
        <f t="shared" si="252"/>
        <v>-5.6464036163213244E-2</v>
      </c>
      <c r="AE1079" s="140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38">
        <f t="shared" si="256"/>
        <v>1.7857142857142857E-4</v>
      </c>
      <c r="Y1080" s="135">
        <f t="shared" si="247"/>
        <v>-1.8499090440148573E-2</v>
      </c>
      <c r="Z1080" s="135">
        <f t="shared" si="248"/>
        <v>-1.8499090440148573E-2</v>
      </c>
      <c r="AA1080" s="135">
        <f t="shared" si="249"/>
        <v>3.4221634711279636E-4</v>
      </c>
      <c r="AB1080" s="140">
        <f t="shared" si="250"/>
        <v>3.9736304195889498</v>
      </c>
      <c r="AC1080" s="140">
        <f t="shared" si="251"/>
        <v>-8.5131389137528851E-2</v>
      </c>
      <c r="AD1080" s="140">
        <f t="shared" si="252"/>
        <v>-5.6525372787213743E-2</v>
      </c>
      <c r="AE1080" s="140">
        <f t="shared" si="253"/>
        <v>-4.5293039139490364E-2</v>
      </c>
    </row>
    <row r="1081" spans="1:31" s="47" customFormat="1">
      <c r="A1081" s="90">
        <v>45534</v>
      </c>
      <c r="B1081" s="133">
        <v>62205008.162722297</v>
      </c>
      <c r="C1081" s="131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2">
        <f t="shared" si="246"/>
        <v>0.46097322231554289</v>
      </c>
      <c r="X1081" s="139">
        <f t="shared" si="256"/>
        <v>1.7857142857142857E-4</v>
      </c>
      <c r="Y1081" s="136">
        <f t="shared" si="247"/>
        <v>3.2032140760256463E-2</v>
      </c>
      <c r="Z1081" s="136">
        <f t="shared" si="248"/>
        <v>0</v>
      </c>
      <c r="AA1081" s="136">
        <f t="shared" si="249"/>
        <v>0</v>
      </c>
      <c r="AB1081" s="141">
        <f t="shared" si="250"/>
        <v>4.3066337243811654</v>
      </c>
      <c r="AC1081" s="141">
        <f t="shared" si="251"/>
        <v>-7.6754438447849016E-2</v>
      </c>
      <c r="AD1081" s="141">
        <f t="shared" si="252"/>
        <v>-5.6425872321953278E-2</v>
      </c>
      <c r="AE1081" s="141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68">
        <f>J1082</f>
        <v>-243618.46810459346</v>
      </c>
      <c r="I1082" s="267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38">
        <f t="shared" si="256"/>
        <v>1.7857142857142857E-4</v>
      </c>
      <c r="Y1082" s="135">
        <f t="shared" si="247"/>
        <v>-4.0949517217354625E-3</v>
      </c>
      <c r="Z1082" s="135">
        <f t="shared" si="248"/>
        <v>-4.0949517217354625E-3</v>
      </c>
      <c r="AA1082" s="135">
        <f t="shared" si="249"/>
        <v>1.6768629603344228E-5</v>
      </c>
      <c r="AB1082" s="140">
        <f t="shared" si="250"/>
        <v>4.235506051015248</v>
      </c>
      <c r="AC1082" s="140">
        <f t="shared" si="251"/>
        <v>-7.6302603960186691E-2</v>
      </c>
      <c r="AD1082" s="140">
        <f t="shared" si="252"/>
        <v>-5.6630225931091564E-2</v>
      </c>
      <c r="AE1082" s="140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38">
        <f t="shared" si="256"/>
        <v>1.7857142857142857E-4</v>
      </c>
      <c r="Y1083" s="135">
        <f t="shared" si="247"/>
        <v>-0.1012537186838116</v>
      </c>
      <c r="Z1083" s="135">
        <f t="shared" si="248"/>
        <v>-0.1012537186838116</v>
      </c>
      <c r="AA1083" s="135">
        <f t="shared" si="249"/>
        <v>1.0252315547300458E-2</v>
      </c>
      <c r="AB1083" s="140">
        <f t="shared" si="250"/>
        <v>2.9811252616253552</v>
      </c>
      <c r="AC1083" s="140">
        <f t="shared" si="251"/>
        <v>-8.2363969357801506E-2</v>
      </c>
      <c r="AD1083" s="140">
        <f t="shared" si="252"/>
        <v>-6.0024640163128813E-2</v>
      </c>
      <c r="AE1083" s="140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38">
        <f t="shared" si="256"/>
        <v>1.7857142857142857E-4</v>
      </c>
      <c r="Y1084" s="135">
        <f t="shared" si="247"/>
        <v>-2.3825879587469855E-2</v>
      </c>
      <c r="Z1084" s="135">
        <f t="shared" si="248"/>
        <v>-2.3825879587469855E-2</v>
      </c>
      <c r="AA1084" s="135">
        <f t="shared" si="249"/>
        <v>5.6767253811661276E-4</v>
      </c>
      <c r="AB1084" s="140">
        <f t="shared" si="250"/>
        <v>2.9430603855614845</v>
      </c>
      <c r="AC1084" s="140">
        <f t="shared" si="251"/>
        <v>-8.3674192783888685E-2</v>
      </c>
      <c r="AD1084" s="140">
        <f t="shared" si="252"/>
        <v>-6.056972532721696E-2</v>
      </c>
      <c r="AE1084" s="140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38">
        <f t="shared" si="256"/>
        <v>1.7857142857142857E-4</v>
      </c>
      <c r="Y1085" s="135">
        <f t="shared" si="247"/>
        <v>7.9779188570883338E-4</v>
      </c>
      <c r="Z1085" s="135">
        <f t="shared" si="248"/>
        <v>0</v>
      </c>
      <c r="AA1085" s="135">
        <f t="shared" si="249"/>
        <v>0</v>
      </c>
      <c r="AB1085" s="140">
        <f t="shared" si="250"/>
        <v>2.9081271882097686</v>
      </c>
      <c r="AC1085" s="140">
        <f t="shared" si="251"/>
        <v>-8.3179073598131301E-2</v>
      </c>
      <c r="AD1085" s="140">
        <f t="shared" si="252"/>
        <v>-5.8370301321395528E-2</v>
      </c>
      <c r="AE1085" s="140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38">
        <f t="shared" si="256"/>
        <v>1.7857142857142857E-4</v>
      </c>
      <c r="Y1086" s="135">
        <f t="shared" si="247"/>
        <v>-6.3723673568229985E-2</v>
      </c>
      <c r="Z1086" s="135">
        <f t="shared" si="248"/>
        <v>-6.3723673568229985E-2</v>
      </c>
      <c r="AA1086" s="135">
        <f t="shared" si="249"/>
        <v>4.0607065730303331E-3</v>
      </c>
      <c r="AB1086" s="140">
        <f t="shared" si="250"/>
        <v>2.2084904948426916</v>
      </c>
      <c r="AC1086" s="140">
        <f t="shared" si="251"/>
        <v>-8.3217472513318513E-2</v>
      </c>
      <c r="AD1086" s="140">
        <f t="shared" si="252"/>
        <v>-5.8973951004408713E-2</v>
      </c>
      <c r="AE1086" s="140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38">
        <f t="shared" si="256"/>
        <v>1.7857142857142857E-4</v>
      </c>
      <c r="Y1087" s="135">
        <f t="shared" si="247"/>
        <v>3.7027281548401299E-2</v>
      </c>
      <c r="Z1087" s="135">
        <f t="shared" si="248"/>
        <v>0</v>
      </c>
      <c r="AA1087" s="135">
        <f t="shared" si="249"/>
        <v>0</v>
      </c>
      <c r="AB1087" s="140">
        <f t="shared" si="250"/>
        <v>2.7505290520424097</v>
      </c>
      <c r="AC1087" s="140">
        <f t="shared" si="251"/>
        <v>-8.228759684703274E-2</v>
      </c>
      <c r="AD1087" s="140">
        <f t="shared" si="252"/>
        <v>-5.8634311809341158E-2</v>
      </c>
      <c r="AE1087" s="140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38">
        <f t="shared" si="256"/>
        <v>1.7857142857142857E-4</v>
      </c>
      <c r="Y1088" s="135">
        <f t="shared" ref="Y1088:Y1119" si="269">G1088-X1088</f>
        <v>1.246838400860863E-2</v>
      </c>
      <c r="Z1088" s="135">
        <f t="shared" ref="Z1088:Z1119" si="270">IF(Y1088&lt;0,Y1088,0)</f>
        <v>0</v>
      </c>
      <c r="AA1088" s="135">
        <f t="shared" ref="AA1088:AA1119" si="271">Z1088^2</f>
        <v>0</v>
      </c>
      <c r="AB1088" s="140">
        <f t="shared" ref="AB1088:AB1119" si="272">AVERAGE(Y835:Y1088)/AVERAGE(AA835:AA1088)</f>
        <v>2.8731724294488714</v>
      </c>
      <c r="AC1088" s="140">
        <f t="shared" ref="AC1088:AC1119" si="273">AVERAGE(G1057:G1088)-_xlfn.NORM.S.INV(0.95)*_xlfn.STDEV.S(G1057:G1088)</f>
        <v>-8.2390766208945018E-2</v>
      </c>
      <c r="AD1088" s="140">
        <f t="shared" ref="AD1088:AD1119" si="274">AVERAGE(G997:G1088)-_xlfn.NORM.S.INV(0.95)*_xlfn.STDEV.S(G997:G1088)</f>
        <v>-5.8126405536086966E-2</v>
      </c>
      <c r="AE1088" s="140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38">
        <f t="shared" si="256"/>
        <v>1.7857142857142857E-4</v>
      </c>
      <c r="Y1089" s="135">
        <f t="shared" si="269"/>
        <v>6.103786737637084E-2</v>
      </c>
      <c r="Z1089" s="135">
        <f t="shared" si="270"/>
        <v>0</v>
      </c>
      <c r="AA1089" s="135">
        <f t="shared" si="271"/>
        <v>0</v>
      </c>
      <c r="AB1089" s="140">
        <f t="shared" si="272"/>
        <v>3.3674941956647397</v>
      </c>
      <c r="AC1089" s="140">
        <f t="shared" si="273"/>
        <v>-8.2152359423227614E-2</v>
      </c>
      <c r="AD1089" s="140">
        <f t="shared" si="274"/>
        <v>-5.8266385555767318E-2</v>
      </c>
      <c r="AE1089" s="140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38">
        <f t="shared" si="256"/>
        <v>1.7857142857142857E-4</v>
      </c>
      <c r="Y1090" s="135">
        <f t="shared" si="269"/>
        <v>3.183722203879194E-2</v>
      </c>
      <c r="Z1090" s="135">
        <f t="shared" si="270"/>
        <v>0</v>
      </c>
      <c r="AA1090" s="135">
        <f t="shared" si="271"/>
        <v>0</v>
      </c>
      <c r="AB1090" s="140">
        <f t="shared" si="272"/>
        <v>3.8172731082248061</v>
      </c>
      <c r="AC1090" s="140">
        <f t="shared" si="273"/>
        <v>-7.9522451588577042E-2</v>
      </c>
      <c r="AD1090" s="140">
        <f t="shared" si="274"/>
        <v>-5.7939828476748681E-2</v>
      </c>
      <c r="AE1090" s="140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38">
        <f t="shared" si="256"/>
        <v>1.7857142857142857E-4</v>
      </c>
      <c r="Y1091" s="135">
        <f t="shared" si="269"/>
        <v>2.2567061479959554E-2</v>
      </c>
      <c r="Z1091" s="135">
        <f t="shared" si="270"/>
        <v>0</v>
      </c>
      <c r="AA1091" s="135">
        <f t="shared" si="271"/>
        <v>0</v>
      </c>
      <c r="AB1091" s="140">
        <f t="shared" si="272"/>
        <v>4.3283717963692654</v>
      </c>
      <c r="AC1091" s="140">
        <f t="shared" si="273"/>
        <v>-7.6495161935793948E-2</v>
      </c>
      <c r="AD1091" s="140">
        <f t="shared" si="274"/>
        <v>-5.7779936859146487E-2</v>
      </c>
      <c r="AE1091" s="140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38">
        <f t="shared" si="256"/>
        <v>1.7857142857142857E-4</v>
      </c>
      <c r="Y1092" s="135">
        <f t="shared" si="269"/>
        <v>-8.2670238515826951E-3</v>
      </c>
      <c r="Z1092" s="135">
        <f t="shared" si="270"/>
        <v>-8.2670238515826951E-3</v>
      </c>
      <c r="AA1092" s="135">
        <f t="shared" si="271"/>
        <v>6.8343683362637181E-5</v>
      </c>
      <c r="AB1092" s="140">
        <f t="shared" si="272"/>
        <v>4.2288779858739636</v>
      </c>
      <c r="AC1092" s="140">
        <f t="shared" si="273"/>
        <v>-7.0782540730774418E-2</v>
      </c>
      <c r="AD1092" s="140">
        <f t="shared" si="274"/>
        <v>-5.7967528704642814E-2</v>
      </c>
      <c r="AE1092" s="140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38">
        <f t="shared" si="256"/>
        <v>1.7857142857142857E-4</v>
      </c>
      <c r="Y1093" s="135">
        <f t="shared" si="269"/>
        <v>1.4108974177808003E-3</v>
      </c>
      <c r="Z1093" s="135">
        <f t="shared" si="270"/>
        <v>0</v>
      </c>
      <c r="AA1093" s="135">
        <f t="shared" si="271"/>
        <v>0</v>
      </c>
      <c r="AB1093" s="140">
        <f t="shared" si="272"/>
        <v>4.2251416557878931</v>
      </c>
      <c r="AC1093" s="140">
        <f t="shared" si="273"/>
        <v>-6.67142178846033E-2</v>
      </c>
      <c r="AD1093" s="140">
        <f t="shared" si="274"/>
        <v>-5.8092177401258348E-2</v>
      </c>
      <c r="AE1093" s="140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29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38">
        <f t="shared" si="256"/>
        <v>1.7857142857142857E-4</v>
      </c>
      <c r="Y1094" s="135">
        <f t="shared" si="269"/>
        <v>-1.7196355882904416E-2</v>
      </c>
      <c r="Z1094" s="135">
        <f t="shared" si="270"/>
        <v>-1.7196355882904416E-2</v>
      </c>
      <c r="AA1094" s="135">
        <f t="shared" si="271"/>
        <v>2.9571465565150133E-4</v>
      </c>
      <c r="AB1094" s="140">
        <f t="shared" si="272"/>
        <v>4.2909859414325009</v>
      </c>
      <c r="AC1094" s="140">
        <f t="shared" si="273"/>
        <v>-5.679215348559126E-2</v>
      </c>
      <c r="AD1094" s="140">
        <f t="shared" si="274"/>
        <v>-5.8303902553533841E-2</v>
      </c>
      <c r="AE1094" s="140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38">
        <f t="shared" si="256"/>
        <v>1.7857142857142857E-4</v>
      </c>
      <c r="Y1095" s="135">
        <f t="shared" si="269"/>
        <v>7.4000989449859389E-2</v>
      </c>
      <c r="Z1095" s="135">
        <f t="shared" si="270"/>
        <v>0</v>
      </c>
      <c r="AA1095" s="135">
        <f t="shared" si="271"/>
        <v>0</v>
      </c>
      <c r="AB1095" s="140">
        <f t="shared" si="272"/>
        <v>4.8036543029604974</v>
      </c>
      <c r="AC1095" s="140">
        <f t="shared" si="273"/>
        <v>-5.7999820207665705E-2</v>
      </c>
      <c r="AD1095" s="140">
        <f t="shared" si="274"/>
        <v>-5.8911730694688746E-2</v>
      </c>
      <c r="AE1095" s="140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38">
        <f t="shared" si="256"/>
        <v>1.7857142857142857E-4</v>
      </c>
      <c r="Y1096" s="135">
        <f t="shared" si="269"/>
        <v>-8.2538024985181653E-3</v>
      </c>
      <c r="Z1096" s="135">
        <f t="shared" si="270"/>
        <v>-8.2538024985181653E-3</v>
      </c>
      <c r="AA1096" s="135">
        <f t="shared" si="271"/>
        <v>6.8125255684544706E-5</v>
      </c>
      <c r="AB1096" s="140">
        <f t="shared" si="272"/>
        <v>4.6764978479011159</v>
      </c>
      <c r="AC1096" s="140">
        <f t="shared" si="273"/>
        <v>-5.6534243619731105E-2</v>
      </c>
      <c r="AD1096" s="140">
        <f t="shared" si="274"/>
        <v>-5.8991251365173317E-2</v>
      </c>
      <c r="AE1096" s="140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38">
        <f t="shared" si="256"/>
        <v>1.7857142857142857E-4</v>
      </c>
      <c r="Y1097" s="135">
        <f t="shared" si="269"/>
        <v>6.3523173640444809E-3</v>
      </c>
      <c r="Z1097" s="135">
        <f t="shared" si="270"/>
        <v>0</v>
      </c>
      <c r="AA1097" s="135">
        <f t="shared" si="271"/>
        <v>0</v>
      </c>
      <c r="AB1097" s="140">
        <f t="shared" si="272"/>
        <v>4.7514183033382134</v>
      </c>
      <c r="AC1097" s="140">
        <f t="shared" si="273"/>
        <v>-5.4191153425565228E-2</v>
      </c>
      <c r="AD1097" s="140">
        <f t="shared" si="274"/>
        <v>-5.8761260014071795E-2</v>
      </c>
      <c r="AE1097" s="140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38">
        <f t="shared" si="256"/>
        <v>1.7857142857142857E-4</v>
      </c>
      <c r="Y1098" s="135">
        <f t="shared" si="269"/>
        <v>3.9828597900784204E-2</v>
      </c>
      <c r="Z1098" s="135">
        <f t="shared" si="270"/>
        <v>0</v>
      </c>
      <c r="AA1098" s="135">
        <f t="shared" si="271"/>
        <v>0</v>
      </c>
      <c r="AB1098" s="140">
        <f t="shared" si="272"/>
        <v>5.0280125416574926</v>
      </c>
      <c r="AC1098" s="140">
        <f t="shared" si="273"/>
        <v>-5.4128233671137303E-2</v>
      </c>
      <c r="AD1098" s="140">
        <f t="shared" si="274"/>
        <v>-5.872047140774958E-2</v>
      </c>
      <c r="AE1098" s="140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38">
        <f t="shared" si="256"/>
        <v>1.7857142857142857E-4</v>
      </c>
      <c r="Y1099" s="135">
        <f t="shared" si="269"/>
        <v>5.2366626546311091E-4</v>
      </c>
      <c r="Z1099" s="135">
        <f t="shared" si="270"/>
        <v>0</v>
      </c>
      <c r="AA1099" s="135">
        <f t="shared" si="271"/>
        <v>0</v>
      </c>
      <c r="AB1099" s="140">
        <f t="shared" si="272"/>
        <v>5.346823166001224</v>
      </c>
      <c r="AC1099" s="140">
        <f t="shared" si="273"/>
        <v>-5.45965338359456E-2</v>
      </c>
      <c r="AD1099" s="140">
        <f t="shared" si="274"/>
        <v>-5.8842730232043679E-2</v>
      </c>
      <c r="AE1099" s="140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38">
        <f t="shared" si="256"/>
        <v>1.7857142857142857E-4</v>
      </c>
      <c r="Y1100" s="135">
        <f t="shared" si="269"/>
        <v>2.8572355043384973E-2</v>
      </c>
      <c r="Z1100" s="135">
        <f t="shared" si="270"/>
        <v>0</v>
      </c>
      <c r="AA1100" s="135">
        <f t="shared" si="271"/>
        <v>0</v>
      </c>
      <c r="AB1100" s="140">
        <f t="shared" si="272"/>
        <v>5.3699481860987026</v>
      </c>
      <c r="AC1100" s="140">
        <f t="shared" si="273"/>
        <v>-5.3926872262150913E-2</v>
      </c>
      <c r="AD1100" s="140">
        <f t="shared" si="274"/>
        <v>-5.8698734988345616E-2</v>
      </c>
      <c r="AE1100" s="140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38">
        <f t="shared" si="256"/>
        <v>1.7857142857142857E-4</v>
      </c>
      <c r="Y1101" s="135">
        <f t="shared" si="269"/>
        <v>-2.0172030608911949E-2</v>
      </c>
      <c r="Z1101" s="135">
        <f t="shared" si="270"/>
        <v>-2.0172030608911949E-2</v>
      </c>
      <c r="AA1101" s="135">
        <f t="shared" si="271"/>
        <v>4.0691081888688058E-4</v>
      </c>
      <c r="AB1101" s="140">
        <f t="shared" si="272"/>
        <v>5.2787057323811561</v>
      </c>
      <c r="AC1101" s="140">
        <f t="shared" si="273"/>
        <v>-5.5105372576266798E-2</v>
      </c>
      <c r="AD1101" s="140">
        <f t="shared" si="274"/>
        <v>-5.8889690570283842E-2</v>
      </c>
      <c r="AE1101" s="140">
        <f t="shared" si="275"/>
        <v>-4.701806394464312E-2</v>
      </c>
    </row>
    <row r="1102" spans="1:31" s="47" customFormat="1">
      <c r="A1102" s="90">
        <v>45565</v>
      </c>
      <c r="B1102" s="133">
        <v>65466153.520501398</v>
      </c>
      <c r="C1102" s="131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2">
        <f t="shared" si="268"/>
        <v>0.57619045322594442</v>
      </c>
      <c r="X1102" s="139">
        <f t="shared" si="256"/>
        <v>1.7857142857142857E-4</v>
      </c>
      <c r="Y1102" s="136">
        <f t="shared" si="269"/>
        <v>-2.2276471477746793E-3</v>
      </c>
      <c r="Z1102" s="136">
        <f t="shared" si="270"/>
        <v>-2.2276471477746793E-3</v>
      </c>
      <c r="AA1102" s="136">
        <f t="shared" si="271"/>
        <v>4.9624118149886645E-6</v>
      </c>
      <c r="AB1102" s="141">
        <f t="shared" si="272"/>
        <v>4.9776022157848185</v>
      </c>
      <c r="AC1102" s="141">
        <f t="shared" si="273"/>
        <v>-5.505378866745711E-2</v>
      </c>
      <c r="AD1102" s="141">
        <f t="shared" si="274"/>
        <v>-5.8754676044897869E-2</v>
      </c>
      <c r="AE1102" s="141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68">
        <f>J1103</f>
        <v>-2232224.1606987938</v>
      </c>
      <c r="I1103" s="267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38">
        <f t="shared" si="256"/>
        <v>1.7857142857142857E-4</v>
      </c>
      <c r="Y1103" s="135">
        <f t="shared" si="269"/>
        <v>-3.4275949091056974E-2</v>
      </c>
      <c r="Z1103" s="135">
        <f t="shared" si="270"/>
        <v>-3.4275949091056974E-2</v>
      </c>
      <c r="AA1103" s="135">
        <f t="shared" si="271"/>
        <v>1.1748406860927294E-3</v>
      </c>
      <c r="AB1103" s="140">
        <f t="shared" si="272"/>
        <v>4.6295307561400385</v>
      </c>
      <c r="AC1103" s="140">
        <f t="shared" si="273"/>
        <v>-5.7534771375697506E-2</v>
      </c>
      <c r="AD1103" s="140">
        <f t="shared" si="274"/>
        <v>-5.9588964121511129E-2</v>
      </c>
      <c r="AE1103" s="140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38">
        <f t="shared" si="256"/>
        <v>1.7857142857142857E-4</v>
      </c>
      <c r="Y1104" s="135">
        <f t="shared" si="269"/>
        <v>2.7659651798847041E-2</v>
      </c>
      <c r="Z1104" s="135">
        <f t="shared" si="270"/>
        <v>0</v>
      </c>
      <c r="AA1104" s="135">
        <f t="shared" si="271"/>
        <v>0</v>
      </c>
      <c r="AB1104" s="140">
        <f t="shared" si="272"/>
        <v>4.7762178791516501</v>
      </c>
      <c r="AC1104" s="140">
        <f t="shared" si="273"/>
        <v>-5.746684531487932E-2</v>
      </c>
      <c r="AD1104" s="140">
        <f t="shared" si="274"/>
        <v>-5.9447034080586936E-2</v>
      </c>
      <c r="AE1104" s="140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38">
        <f t="shared" si="256"/>
        <v>1.7857142857142857E-4</v>
      </c>
      <c r="Y1105" s="135">
        <f t="shared" si="269"/>
        <v>1.1733907224482648E-2</v>
      </c>
      <c r="Z1105" s="135">
        <f t="shared" si="270"/>
        <v>0</v>
      </c>
      <c r="AA1105" s="135">
        <f t="shared" si="271"/>
        <v>0</v>
      </c>
      <c r="AB1105" s="140">
        <f t="shared" si="272"/>
        <v>4.7845070956235585</v>
      </c>
      <c r="AC1105" s="140">
        <f t="shared" si="273"/>
        <v>-5.6011213856053989E-2</v>
      </c>
      <c r="AD1105" s="140">
        <f t="shared" si="274"/>
        <v>-5.9484566403070538E-2</v>
      </c>
      <c r="AE1105" s="140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38">
        <f t="shared" si="256"/>
        <v>1.7857142857142857E-4</v>
      </c>
      <c r="Y1106" s="135">
        <f t="shared" si="269"/>
        <v>3.456242666469396E-2</v>
      </c>
      <c r="Z1106" s="135">
        <f t="shared" si="270"/>
        <v>0</v>
      </c>
      <c r="AA1106" s="135">
        <f t="shared" si="271"/>
        <v>0</v>
      </c>
      <c r="AB1106" s="140">
        <f t="shared" si="272"/>
        <v>5.1004633118759788</v>
      </c>
      <c r="AC1106" s="140">
        <f t="shared" si="273"/>
        <v>-5.6020349623658101E-2</v>
      </c>
      <c r="AD1106" s="140">
        <f t="shared" si="274"/>
        <v>-5.8854180697872495E-2</v>
      </c>
      <c r="AE1106" s="140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38">
        <f t="shared" si="256"/>
        <v>1.7857142857142857E-4</v>
      </c>
      <c r="Y1107" s="135">
        <f t="shared" si="269"/>
        <v>-6.17531951290005E-3</v>
      </c>
      <c r="Z1107" s="135">
        <f t="shared" si="270"/>
        <v>-6.17531951290005E-3</v>
      </c>
      <c r="AA1107" s="135">
        <f t="shared" si="271"/>
        <v>3.813457108640411E-5</v>
      </c>
      <c r="AB1107" s="140">
        <f t="shared" si="272"/>
        <v>5.2116288106140276</v>
      </c>
      <c r="AC1107" s="140">
        <f t="shared" si="273"/>
        <v>-5.3767987638832365E-2</v>
      </c>
      <c r="AD1107" s="140">
        <f t="shared" si="274"/>
        <v>-5.8537670481695656E-2</v>
      </c>
      <c r="AE1107" s="140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38">
        <f t="shared" si="256"/>
        <v>1.7857142857142857E-4</v>
      </c>
      <c r="Y1108" s="135">
        <f t="shared" si="269"/>
        <v>1.4566035808116108E-2</v>
      </c>
      <c r="Z1108" s="135">
        <f t="shared" si="270"/>
        <v>0</v>
      </c>
      <c r="AA1108" s="135">
        <f t="shared" si="271"/>
        <v>0</v>
      </c>
      <c r="AB1108" s="140">
        <f t="shared" si="272"/>
        <v>5.1985545153934183</v>
      </c>
      <c r="AC1108" s="140">
        <f t="shared" si="273"/>
        <v>-5.3170865989728991E-2</v>
      </c>
      <c r="AD1108" s="140">
        <f t="shared" si="274"/>
        <v>-5.8509268929009525E-2</v>
      </c>
      <c r="AE1108" s="140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38">
        <f t="shared" si="256"/>
        <v>1.7857142857142857E-4</v>
      </c>
      <c r="Y1109" s="135">
        <f t="shared" si="269"/>
        <v>9.4434791510355272E-3</v>
      </c>
      <c r="Z1109" s="135">
        <f t="shared" si="270"/>
        <v>0</v>
      </c>
      <c r="AA1109" s="135">
        <f t="shared" si="271"/>
        <v>0</v>
      </c>
      <c r="AB1109" s="140">
        <f t="shared" si="272"/>
        <v>5.3231629984918394</v>
      </c>
      <c r="AC1109" s="140">
        <f t="shared" si="273"/>
        <v>-5.1995059881175802E-2</v>
      </c>
      <c r="AD1109" s="140">
        <f t="shared" si="274"/>
        <v>-5.8560647855781668E-2</v>
      </c>
      <c r="AE1109" s="140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38">
        <f t="shared" si="256"/>
        <v>1.7857142857142857E-4</v>
      </c>
      <c r="Y1110" s="135">
        <f t="shared" si="269"/>
        <v>8.5228126999483955E-3</v>
      </c>
      <c r="Z1110" s="135">
        <f t="shared" si="270"/>
        <v>0</v>
      </c>
      <c r="AA1110" s="135">
        <f t="shared" si="271"/>
        <v>0</v>
      </c>
      <c r="AB1110" s="140">
        <f t="shared" si="272"/>
        <v>5.5959688701542865</v>
      </c>
      <c r="AC1110" s="140">
        <f t="shared" si="273"/>
        <v>-5.208214415374228E-2</v>
      </c>
      <c r="AD1110" s="140">
        <f t="shared" si="274"/>
        <v>-5.8065444470089704E-2</v>
      </c>
      <c r="AE1110" s="140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38">
        <f t="shared" si="256"/>
        <v>1.7857142857142857E-4</v>
      </c>
      <c r="Y1111" s="135">
        <f t="shared" si="269"/>
        <v>2.3595937738905587E-2</v>
      </c>
      <c r="Z1111" s="135">
        <f t="shared" si="270"/>
        <v>0</v>
      </c>
      <c r="AA1111" s="135">
        <f t="shared" si="271"/>
        <v>0</v>
      </c>
      <c r="AB1111" s="140">
        <f t="shared" si="272"/>
        <v>5.9337590683642718</v>
      </c>
      <c r="AC1111" s="140">
        <f t="shared" si="273"/>
        <v>-4.9869167800886141E-2</v>
      </c>
      <c r="AD1111" s="140">
        <f t="shared" si="274"/>
        <v>-5.7958010416694503E-2</v>
      </c>
      <c r="AE1111" s="140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38">
        <f t="shared" si="256"/>
        <v>1.7857142857142857E-4</v>
      </c>
      <c r="Y1112" s="135">
        <f t="shared" si="269"/>
        <v>2.4273783411366805E-2</v>
      </c>
      <c r="Z1112" s="135">
        <f t="shared" si="270"/>
        <v>0</v>
      </c>
      <c r="AA1112" s="135">
        <f t="shared" si="271"/>
        <v>0</v>
      </c>
      <c r="AB1112" s="140">
        <f t="shared" si="272"/>
        <v>6.3974908566887541</v>
      </c>
      <c r="AC1112" s="140">
        <f t="shared" si="273"/>
        <v>-4.8322374244380746E-2</v>
      </c>
      <c r="AD1112" s="140">
        <f t="shared" si="274"/>
        <v>-5.7858421281386178E-2</v>
      </c>
      <c r="AE1112" s="140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38">
        <f t="shared" si="256"/>
        <v>1.7857142857142857E-4</v>
      </c>
      <c r="Y1113" s="135">
        <f t="shared" si="269"/>
        <v>-4.8343373223624288E-2</v>
      </c>
      <c r="Z1113" s="135">
        <f t="shared" si="270"/>
        <v>-4.8343373223624288E-2</v>
      </c>
      <c r="AA1113" s="135">
        <f t="shared" si="271"/>
        <v>2.3370817346386337E-3</v>
      </c>
      <c r="AB1113" s="140">
        <f t="shared" si="272"/>
        <v>5.8945048661787443</v>
      </c>
      <c r="AC1113" s="140">
        <f t="shared" si="273"/>
        <v>-5.2533027794491968E-2</v>
      </c>
      <c r="AD1113" s="140">
        <f t="shared" si="274"/>
        <v>-5.8762940292062901E-2</v>
      </c>
      <c r="AE1113" s="140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38">
        <f t="shared" si="256"/>
        <v>1.7857142857142857E-4</v>
      </c>
      <c r="Y1114" s="135">
        <f t="shared" si="269"/>
        <v>2.3015152920266489E-2</v>
      </c>
      <c r="Z1114" s="135">
        <f t="shared" si="270"/>
        <v>0</v>
      </c>
      <c r="AA1114" s="135">
        <f t="shared" si="271"/>
        <v>0</v>
      </c>
      <c r="AB1114" s="140">
        <f t="shared" si="272"/>
        <v>5.9267549125224193</v>
      </c>
      <c r="AC1114" s="140">
        <f t="shared" si="273"/>
        <v>-5.1888562640337872E-2</v>
      </c>
      <c r="AD1114" s="140">
        <f t="shared" si="274"/>
        <v>-5.8722145341238E-2</v>
      </c>
      <c r="AE1114" s="140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38">
        <f t="shared" si="256"/>
        <v>1.7857142857142857E-4</v>
      </c>
      <c r="Y1115" s="135">
        <f t="shared" si="269"/>
        <v>2.5428359891867848E-2</v>
      </c>
      <c r="Z1115" s="135">
        <f t="shared" si="270"/>
        <v>0</v>
      </c>
      <c r="AA1115" s="135">
        <f t="shared" si="271"/>
        <v>0</v>
      </c>
      <c r="AB1115" s="140">
        <f t="shared" si="272"/>
        <v>6.5646070664335952</v>
      </c>
      <c r="AC1115" s="140">
        <f t="shared" si="273"/>
        <v>-3.8443839386172157E-2</v>
      </c>
      <c r="AD1115" s="140">
        <f t="shared" si="274"/>
        <v>-5.8478481280774854E-2</v>
      </c>
      <c r="AE1115" s="140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38">
        <f t="shared" si="256"/>
        <v>1.7857142857142857E-4</v>
      </c>
      <c r="Y1116" s="135">
        <f t="shared" si="269"/>
        <v>1.3039542559721052E-2</v>
      </c>
      <c r="Z1116" s="135">
        <f t="shared" si="270"/>
        <v>0</v>
      </c>
      <c r="AA1116" s="135">
        <f t="shared" si="271"/>
        <v>0</v>
      </c>
      <c r="AB1116" s="140">
        <f t="shared" si="272"/>
        <v>7.0527109152391496</v>
      </c>
      <c r="AC1116" s="140">
        <f t="shared" si="273"/>
        <v>-3.6271297226794841E-2</v>
      </c>
      <c r="AD1116" s="140">
        <f t="shared" si="274"/>
        <v>-5.8487752044693669E-2</v>
      </c>
      <c r="AE1116" s="140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38">
        <f t="shared" si="256"/>
        <v>1.7857142857142857E-4</v>
      </c>
      <c r="Y1117" s="135">
        <f t="shared" si="269"/>
        <v>5.4975149013621926E-3</v>
      </c>
      <c r="Z1117" s="135">
        <f t="shared" si="270"/>
        <v>0</v>
      </c>
      <c r="AA1117" s="135">
        <f t="shared" si="271"/>
        <v>0</v>
      </c>
      <c r="AB1117" s="140">
        <f t="shared" si="272"/>
        <v>7.0246219097738827</v>
      </c>
      <c r="AC1117" s="140">
        <f t="shared" si="273"/>
        <v>-3.6062381755998546E-2</v>
      </c>
      <c r="AD1117" s="140">
        <f t="shared" si="274"/>
        <v>-5.8483184968856593E-2</v>
      </c>
      <c r="AE1117" s="140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38">
        <f t="shared" si="256"/>
        <v>1.7857142857142857E-4</v>
      </c>
      <c r="Y1118" s="135">
        <f t="shared" si="269"/>
        <v>-5.6581336673540922E-3</v>
      </c>
      <c r="Z1118" s="135">
        <f t="shared" si="270"/>
        <v>-5.6581336673540922E-3</v>
      </c>
      <c r="AA1118" s="135">
        <f t="shared" si="271"/>
        <v>3.2014476597645872E-5</v>
      </c>
      <c r="AB1118" s="140">
        <f t="shared" si="272"/>
        <v>6.8130212804634986</v>
      </c>
      <c r="AC1118" s="140">
        <f t="shared" si="273"/>
        <v>-2.8948183835354538E-2</v>
      </c>
      <c r="AD1118" s="140">
        <f t="shared" si="274"/>
        <v>-5.8557620952257368E-2</v>
      </c>
      <c r="AE1118" s="140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38">
        <f t="shared" si="256"/>
        <v>1.7857142857142857E-4</v>
      </c>
      <c r="Y1119" s="135">
        <f t="shared" si="269"/>
        <v>-3.254287317771138E-2</v>
      </c>
      <c r="Z1119" s="135">
        <f t="shared" si="270"/>
        <v>-3.254287317771138E-2</v>
      </c>
      <c r="AA1119" s="135">
        <f t="shared" si="271"/>
        <v>1.0590385946606068E-3</v>
      </c>
      <c r="AB1119" s="140">
        <f t="shared" si="272"/>
        <v>6.4178245816100539</v>
      </c>
      <c r="AC1119" s="140">
        <f t="shared" si="273"/>
        <v>-3.2391520711745433E-2</v>
      </c>
      <c r="AD1119" s="140">
        <f t="shared" si="274"/>
        <v>-5.931228995884659E-2</v>
      </c>
      <c r="AE1119" s="140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38">
        <f t="shared" si="256"/>
        <v>1.7857142857142857E-4</v>
      </c>
      <c r="Y1120" s="135">
        <f t="shared" ref="Y1120:Y1151" si="291">G1120-X1120</f>
        <v>7.7621515236979341E-3</v>
      </c>
      <c r="Z1120" s="135">
        <f t="shared" ref="Z1120:Z1151" si="292">IF(Y1120&lt;0,Y1120,0)</f>
        <v>0</v>
      </c>
      <c r="AA1120" s="135">
        <f t="shared" ref="AA1120:AA1151" si="293">Z1120^2</f>
        <v>0</v>
      </c>
      <c r="AB1120" s="140">
        <f t="shared" ref="AB1120:AB1151" si="294">AVERAGE(Y867:Y1120)/AVERAGE(AA867:AA1120)</f>
        <v>6.2050015339991038</v>
      </c>
      <c r="AC1120" s="140">
        <f t="shared" ref="AC1120:AC1151" si="295">AVERAGE(G1089:G1120)-_xlfn.NORM.S.INV(0.95)*_xlfn.STDEV.S(G1089:G1120)</f>
        <v>-3.2535805045660005E-2</v>
      </c>
      <c r="AD1120" s="140">
        <f t="shared" ref="AD1120:AD1151" si="296">AVERAGE(G1029:G1120)-_xlfn.NORM.S.INV(0.95)*_xlfn.STDEV.S(G1029:G1120)</f>
        <v>-5.9377099045390971E-2</v>
      </c>
      <c r="AE1120" s="140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38">
        <f t="shared" si="256"/>
        <v>1.7857142857142857E-4</v>
      </c>
      <c r="Y1121" s="135">
        <f t="shared" si="291"/>
        <v>8.3654176839118629E-3</v>
      </c>
      <c r="Z1121" s="135">
        <f t="shared" si="292"/>
        <v>0</v>
      </c>
      <c r="AA1121" s="135">
        <f t="shared" si="293"/>
        <v>0</v>
      </c>
      <c r="AB1121" s="140">
        <f t="shared" si="294"/>
        <v>5.9884150940741554</v>
      </c>
      <c r="AC1121" s="140">
        <f t="shared" si="295"/>
        <v>-3.1294025514605639E-2</v>
      </c>
      <c r="AD1121" s="140">
        <f t="shared" si="296"/>
        <v>-5.9414540652246516E-2</v>
      </c>
      <c r="AE1121" s="140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38">
        <f t="shared" si="256"/>
        <v>1.7857142857142857E-4</v>
      </c>
      <c r="Y1122" s="135">
        <f t="shared" si="291"/>
        <v>-5.4723228274547271E-3</v>
      </c>
      <c r="Z1122" s="135">
        <f t="shared" si="292"/>
        <v>-5.4723228274547271E-3</v>
      </c>
      <c r="AA1122" s="135">
        <f t="shared" si="293"/>
        <v>2.9946317127882098E-5</v>
      </c>
      <c r="AB1122" s="140">
        <f t="shared" si="294"/>
        <v>5.8077290280086507</v>
      </c>
      <c r="AC1122" s="140">
        <f t="shared" si="295"/>
        <v>-3.1991728882594737E-2</v>
      </c>
      <c r="AD1122" s="140">
        <f t="shared" si="296"/>
        <v>-5.9230365690008432E-2</v>
      </c>
      <c r="AE1122" s="140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38">
        <f t="shared" si="256"/>
        <v>1.7857142857142857E-4</v>
      </c>
      <c r="Y1123" s="135">
        <f t="shared" si="291"/>
        <v>1.3236427520030587E-2</v>
      </c>
      <c r="Z1123" s="135">
        <f t="shared" si="292"/>
        <v>0</v>
      </c>
      <c r="AA1123" s="135">
        <f t="shared" si="293"/>
        <v>0</v>
      </c>
      <c r="AB1123" s="140">
        <f t="shared" si="294"/>
        <v>5.8551248181563267</v>
      </c>
      <c r="AC1123" s="140">
        <f t="shared" si="295"/>
        <v>-3.2051395445228677E-2</v>
      </c>
      <c r="AD1123" s="140">
        <f t="shared" si="296"/>
        <v>-5.8599031373699532E-2</v>
      </c>
      <c r="AE1123" s="140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38">
        <f t="shared" si="256"/>
        <v>1.7857142857142857E-4</v>
      </c>
      <c r="Y1124" s="135">
        <f t="shared" si="291"/>
        <v>-1.7927299676721523E-2</v>
      </c>
      <c r="Z1124" s="135">
        <f t="shared" si="292"/>
        <v>-1.7927299676721523E-2</v>
      </c>
      <c r="AA1124" s="135">
        <f t="shared" si="293"/>
        <v>3.2138807369897962E-4</v>
      </c>
      <c r="AB1124" s="140">
        <f t="shared" si="294"/>
        <v>5.5640578496327864</v>
      </c>
      <c r="AC1124" s="140">
        <f t="shared" si="295"/>
        <v>-3.2775925224827258E-2</v>
      </c>
      <c r="AD1124" s="140">
        <f t="shared" si="296"/>
        <v>-5.8279651563624191E-2</v>
      </c>
      <c r="AE1124" s="140">
        <f t="shared" si="297"/>
        <v>-4.7223452943633566E-2</v>
      </c>
    </row>
    <row r="1125" spans="1:31" s="47" customFormat="1">
      <c r="A1125" s="90">
        <v>45596</v>
      </c>
      <c r="B1125" s="133">
        <v>68111189.483541399</v>
      </c>
      <c r="C1125" s="131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2">
        <f t="shared" si="290"/>
        <v>0.63201309056241017</v>
      </c>
      <c r="X1125" s="139">
        <f t="shared" si="256"/>
        <v>1.7857142857142857E-4</v>
      </c>
      <c r="Y1125" s="136">
        <f t="shared" si="291"/>
        <v>-5.7887676947758253E-2</v>
      </c>
      <c r="Z1125" s="136">
        <f t="shared" si="292"/>
        <v>-5.7887676947758253E-2</v>
      </c>
      <c r="AA1125" s="136">
        <f t="shared" si="293"/>
        <v>3.3509831424080221E-3</v>
      </c>
      <c r="AB1125" s="141">
        <f t="shared" si="294"/>
        <v>4.9659014978332845</v>
      </c>
      <c r="AC1125" s="141">
        <f t="shared" si="295"/>
        <v>-3.8836137188947989E-2</v>
      </c>
      <c r="AD1125" s="141">
        <f t="shared" si="296"/>
        <v>-5.9910009039258943E-2</v>
      </c>
      <c r="AE1125" s="141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68">
        <f>J1126</f>
        <v>1370979.1755632013</v>
      </c>
      <c r="I1126" s="267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38">
        <f t="shared" si="256"/>
        <v>1.7857142857142857E-4</v>
      </c>
      <c r="Y1126" s="135">
        <f t="shared" si="291"/>
        <v>1.9949974056520842E-2</v>
      </c>
      <c r="Z1126" s="135">
        <f t="shared" si="292"/>
        <v>0</v>
      </c>
      <c r="AA1126" s="135">
        <f t="shared" si="293"/>
        <v>0</v>
      </c>
      <c r="AB1126" s="140">
        <f t="shared" si="294"/>
        <v>5.2715257951208496</v>
      </c>
      <c r="AC1126" s="140">
        <f t="shared" si="295"/>
        <v>-3.7398831498316021E-2</v>
      </c>
      <c r="AD1126" s="140">
        <f t="shared" si="296"/>
        <v>-5.9655363375064926E-2</v>
      </c>
      <c r="AE1126" s="140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29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38">
        <f t="shared" si="256"/>
        <v>1.7857142857142857E-4</v>
      </c>
      <c r="Y1127" s="135">
        <f t="shared" si="291"/>
        <v>-5.3408849040194708E-4</v>
      </c>
      <c r="Z1127" s="135">
        <f t="shared" si="292"/>
        <v>-5.3408849040194708E-4</v>
      </c>
      <c r="AA1127" s="135">
        <f t="shared" si="293"/>
        <v>2.8525051557983069E-7</v>
      </c>
      <c r="AB1127" s="140">
        <f t="shared" si="294"/>
        <v>4.936307873974644</v>
      </c>
      <c r="AC1127" s="140">
        <f t="shared" si="295"/>
        <v>-3.4568964055079324E-2</v>
      </c>
      <c r="AD1127" s="140">
        <f t="shared" si="296"/>
        <v>-5.946046131259957E-2</v>
      </c>
      <c r="AE1127" s="140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38">
        <f t="shared" si="256"/>
        <v>1.7857142857142857E-4</v>
      </c>
      <c r="Y1128" s="135">
        <f t="shared" si="291"/>
        <v>4.613795394856858E-2</v>
      </c>
      <c r="Z1128" s="135">
        <f t="shared" si="292"/>
        <v>0</v>
      </c>
      <c r="AA1128" s="135">
        <f t="shared" si="293"/>
        <v>0</v>
      </c>
      <c r="AB1128" s="140">
        <f t="shared" si="294"/>
        <v>5.3278165136432127</v>
      </c>
      <c r="AC1128" s="140">
        <f t="shared" si="295"/>
        <v>-3.4667675849285359E-2</v>
      </c>
      <c r="AD1128" s="140">
        <f t="shared" si="296"/>
        <v>-5.952119651875315E-2</v>
      </c>
      <c r="AE1128" s="140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38">
        <f t="shared" si="256"/>
        <v>1.7857142857142857E-4</v>
      </c>
      <c r="Y1129" s="135">
        <f t="shared" si="291"/>
        <v>4.9865594829969558E-2</v>
      </c>
      <c r="Z1129" s="135">
        <f t="shared" si="292"/>
        <v>0</v>
      </c>
      <c r="AA1129" s="135">
        <f t="shared" si="293"/>
        <v>0</v>
      </c>
      <c r="AB1129" s="140">
        <f t="shared" si="294"/>
        <v>5.6755204950590157</v>
      </c>
      <c r="AC1129" s="140">
        <f t="shared" si="295"/>
        <v>-3.5387361614423775E-2</v>
      </c>
      <c r="AD1129" s="140">
        <f t="shared" si="296"/>
        <v>-5.9552178848741415E-2</v>
      </c>
      <c r="AE1129" s="140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38">
        <f t="shared" si="256"/>
        <v>1.7857142857142857E-4</v>
      </c>
      <c r="Y1130" s="135">
        <f t="shared" si="291"/>
        <v>3.5668469182952883E-2</v>
      </c>
      <c r="Z1130" s="135">
        <f t="shared" si="292"/>
        <v>0</v>
      </c>
      <c r="AA1130" s="135">
        <f t="shared" si="293"/>
        <v>0</v>
      </c>
      <c r="AB1130" s="140">
        <f t="shared" si="294"/>
        <v>5.9464685510856379</v>
      </c>
      <c r="AC1130" s="140">
        <f t="shared" si="295"/>
        <v>-3.5244490751009869E-2</v>
      </c>
      <c r="AD1130" s="140">
        <f t="shared" si="296"/>
        <v>-5.956819046273109E-2</v>
      </c>
      <c r="AE1130" s="140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38">
        <f t="shared" si="256"/>
        <v>1.7857142857142857E-4</v>
      </c>
      <c r="Y1131" s="135">
        <f t="shared" si="291"/>
        <v>1.1829044225146937E-4</v>
      </c>
      <c r="Z1131" s="135">
        <f t="shared" si="292"/>
        <v>0</v>
      </c>
      <c r="AA1131" s="135">
        <f t="shared" si="293"/>
        <v>0</v>
      </c>
      <c r="AB1131" s="140">
        <f t="shared" si="294"/>
        <v>5.9412468525464606</v>
      </c>
      <c r="AC1131" s="140">
        <f t="shared" si="295"/>
        <v>-3.5262191299476976E-2</v>
      </c>
      <c r="AD1131" s="140">
        <f t="shared" si="296"/>
        <v>-5.9612766935976003E-2</v>
      </c>
      <c r="AE1131" s="140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38">
        <f t="shared" si="256"/>
        <v>1.7857142857142857E-4</v>
      </c>
      <c r="Y1132" s="135">
        <f t="shared" si="291"/>
        <v>-1.4168419347378881E-2</v>
      </c>
      <c r="Z1132" s="135">
        <f t="shared" si="292"/>
        <v>-1.4168419347378881E-2</v>
      </c>
      <c r="AA1132" s="135">
        <f t="shared" si="293"/>
        <v>2.0074410680318019E-4</v>
      </c>
      <c r="AB1132" s="140">
        <f t="shared" si="294"/>
        <v>5.8154986650022984</v>
      </c>
      <c r="AC1132" s="140">
        <f t="shared" si="295"/>
        <v>-3.6452071500540015E-2</v>
      </c>
      <c r="AD1132" s="140">
        <f t="shared" si="296"/>
        <v>-5.9862841285837229E-2</v>
      </c>
      <c r="AE1132" s="140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38">
        <f t="shared" si="256"/>
        <v>1.7857142857142857E-4</v>
      </c>
      <c r="Y1133" s="135">
        <f t="shared" si="291"/>
        <v>-1.177211151814766E-2</v>
      </c>
      <c r="Z1133" s="135">
        <f t="shared" si="292"/>
        <v>-1.177211151814766E-2</v>
      </c>
      <c r="AA1133" s="135">
        <f t="shared" si="293"/>
        <v>1.385826095957048E-4</v>
      </c>
      <c r="AB1133" s="140">
        <f t="shared" si="294"/>
        <v>5.6039699461622261</v>
      </c>
      <c r="AC1133" s="140">
        <f t="shared" si="295"/>
        <v>-3.5817078432750366E-2</v>
      </c>
      <c r="AD1133" s="140">
        <f t="shared" si="296"/>
        <v>-6.0077027875337988E-2</v>
      </c>
      <c r="AE1133" s="140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38">
        <f t="shared" si="256"/>
        <v>1.7857142857142857E-4</v>
      </c>
      <c r="Y1134" s="135">
        <f t="shared" si="291"/>
        <v>-1.4557652241597524E-2</v>
      </c>
      <c r="Z1134" s="135">
        <f t="shared" si="292"/>
        <v>-1.4557652241597524E-2</v>
      </c>
      <c r="AA1134" s="135">
        <f t="shared" si="293"/>
        <v>2.1192523878728941E-4</v>
      </c>
      <c r="AB1134" s="140">
        <f t="shared" si="294"/>
        <v>5.5038684613839823</v>
      </c>
      <c r="AC1134" s="140">
        <f t="shared" si="295"/>
        <v>-3.655043367618787E-2</v>
      </c>
      <c r="AD1134" s="140">
        <f t="shared" si="296"/>
        <v>-6.0360882118782586E-2</v>
      </c>
      <c r="AE1134" s="140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38">
        <f t="shared" si="256"/>
        <v>1.7857142857142857E-4</v>
      </c>
      <c r="Y1135" s="135">
        <f t="shared" si="291"/>
        <v>-1.074828988789223E-2</v>
      </c>
      <c r="Z1135" s="135">
        <f t="shared" si="292"/>
        <v>-1.074828988789223E-2</v>
      </c>
      <c r="AA1135" s="135">
        <f t="shared" si="293"/>
        <v>1.1552573551416635E-4</v>
      </c>
      <c r="AB1135" s="140">
        <f t="shared" si="294"/>
        <v>5.3417009009594816</v>
      </c>
      <c r="AC1135" s="140">
        <f t="shared" si="295"/>
        <v>-3.4423493239986384E-2</v>
      </c>
      <c r="AD1135" s="140">
        <f t="shared" si="296"/>
        <v>-6.0526185131806638E-2</v>
      </c>
      <c r="AE1135" s="140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38">
        <f t="shared" si="256"/>
        <v>1.7857142857142857E-4</v>
      </c>
      <c r="Y1136" s="135">
        <f t="shared" si="291"/>
        <v>-3.2972718684444201E-2</v>
      </c>
      <c r="Z1136" s="135">
        <f t="shared" si="292"/>
        <v>-3.2972718684444201E-2</v>
      </c>
      <c r="AA1136" s="135">
        <f t="shared" si="293"/>
        <v>1.0872001774434956E-3</v>
      </c>
      <c r="AB1136" s="140">
        <f t="shared" si="294"/>
        <v>5.0492266958750474</v>
      </c>
      <c r="AC1136" s="140">
        <f t="shared" si="295"/>
        <v>-3.7260695893699694E-2</v>
      </c>
      <c r="AD1136" s="140">
        <f t="shared" si="296"/>
        <v>-6.1283142726150236E-2</v>
      </c>
      <c r="AE1136" s="140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38">
        <f t="shared" si="256"/>
        <v>1.7857142857142857E-4</v>
      </c>
      <c r="Y1137" s="135">
        <f t="shared" si="291"/>
        <v>1.4946017405713729E-2</v>
      </c>
      <c r="Z1137" s="135">
        <f t="shared" si="292"/>
        <v>0</v>
      </c>
      <c r="AA1137" s="135">
        <f t="shared" si="293"/>
        <v>0</v>
      </c>
      <c r="AB1137" s="140">
        <f t="shared" si="294"/>
        <v>5.1809288736585231</v>
      </c>
      <c r="AC1137" s="140">
        <f t="shared" si="295"/>
        <v>-3.7226238266818375E-2</v>
      </c>
      <c r="AD1137" s="140">
        <f t="shared" si="296"/>
        <v>-6.0621489134243083E-2</v>
      </c>
      <c r="AE1137" s="140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38">
        <f t="shared" si="256"/>
        <v>1.7857142857142857E-4</v>
      </c>
      <c r="Y1138" s="135">
        <f t="shared" si="291"/>
        <v>2.6171206751379988E-2</v>
      </c>
      <c r="Z1138" s="135">
        <f t="shared" si="292"/>
        <v>0</v>
      </c>
      <c r="AA1138" s="135">
        <f t="shared" si="293"/>
        <v>0</v>
      </c>
      <c r="AB1138" s="140">
        <f t="shared" si="294"/>
        <v>5.3498719009250584</v>
      </c>
      <c r="AC1138" s="140">
        <f t="shared" si="295"/>
        <v>-3.7008988266937715E-2</v>
      </c>
      <c r="AD1138" s="140">
        <f t="shared" si="296"/>
        <v>-6.062165651023476E-2</v>
      </c>
      <c r="AE1138" s="140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38">
        <f t="shared" si="256"/>
        <v>1.7857142857142857E-4</v>
      </c>
      <c r="Y1139" s="135">
        <f t="shared" si="291"/>
        <v>-7.194902834452867E-4</v>
      </c>
      <c r="Z1139" s="135">
        <f t="shared" si="292"/>
        <v>-7.194902834452867E-4</v>
      </c>
      <c r="AA1139" s="135">
        <f t="shared" si="293"/>
        <v>5.1766626797217896E-7</v>
      </c>
      <c r="AB1139" s="140">
        <f t="shared" si="294"/>
        <v>5.2796076252657986</v>
      </c>
      <c r="AC1139" s="140">
        <f t="shared" si="295"/>
        <v>-3.6756458748838997E-2</v>
      </c>
      <c r="AD1139" s="140">
        <f t="shared" si="296"/>
        <v>-6.0614400681367017E-2</v>
      </c>
      <c r="AE1139" s="140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38">
        <f t="shared" si="256"/>
        <v>1.7857142857142857E-4</v>
      </c>
      <c r="Y1140" s="135">
        <f t="shared" si="291"/>
        <v>1.8626228273058223E-2</v>
      </c>
      <c r="Z1140" s="135">
        <f t="shared" si="292"/>
        <v>0</v>
      </c>
      <c r="AA1140" s="135">
        <f t="shared" si="293"/>
        <v>0</v>
      </c>
      <c r="AB1140" s="140">
        <f t="shared" si="294"/>
        <v>5.4708227525235325</v>
      </c>
      <c r="AC1140" s="140">
        <f t="shared" si="295"/>
        <v>-3.6742082914517901E-2</v>
      </c>
      <c r="AD1140" s="140">
        <f t="shared" si="296"/>
        <v>-6.0593865949893126E-2</v>
      </c>
      <c r="AE1140" s="140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38">
        <f t="shared" si="256"/>
        <v>1.7857142857142857E-4</v>
      </c>
      <c r="Y1141" s="135">
        <f t="shared" si="291"/>
        <v>-3.1681401971910481E-3</v>
      </c>
      <c r="Z1141" s="135">
        <f t="shared" si="292"/>
        <v>-3.1681401971910481E-3</v>
      </c>
      <c r="AA1141" s="135">
        <f t="shared" si="293"/>
        <v>1.0037112309057733E-5</v>
      </c>
      <c r="AB1141" s="140">
        <f t="shared" si="294"/>
        <v>5.4749686429766031</v>
      </c>
      <c r="AC1141" s="140">
        <f t="shared" si="295"/>
        <v>-3.7147734270804179E-2</v>
      </c>
      <c r="AD1141" s="140">
        <f t="shared" si="296"/>
        <v>-5.7221525694881883E-2</v>
      </c>
      <c r="AE1141" s="140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38">
        <f t="shared" si="256"/>
        <v>1.7857142857142857E-4</v>
      </c>
      <c r="Y1142" s="135">
        <f t="shared" si="291"/>
        <v>-1.8151707518474093E-2</v>
      </c>
      <c r="Z1142" s="135">
        <f t="shared" si="292"/>
        <v>-1.8151707518474093E-2</v>
      </c>
      <c r="AA1142" s="135">
        <f t="shared" si="293"/>
        <v>3.2948448583622889E-4</v>
      </c>
      <c r="AB1142" s="140">
        <f t="shared" si="294"/>
        <v>5.0069893135529364</v>
      </c>
      <c r="AC1142" s="140">
        <f t="shared" si="295"/>
        <v>-3.8423131186555902E-2</v>
      </c>
      <c r="AD1142" s="140">
        <f t="shared" si="296"/>
        <v>-5.7293135209546223E-2</v>
      </c>
      <c r="AE1142" s="140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38">
        <f t="shared" si="256"/>
        <v>1.7857142857142857E-4</v>
      </c>
      <c r="Y1143" s="135">
        <f t="shared" si="291"/>
        <v>2.6376630861214777E-3</v>
      </c>
      <c r="Z1143" s="135">
        <f t="shared" si="292"/>
        <v>0</v>
      </c>
      <c r="AA1143" s="135">
        <f t="shared" si="293"/>
        <v>0</v>
      </c>
      <c r="AB1143" s="140">
        <f t="shared" si="294"/>
        <v>5.2549532644194752</v>
      </c>
      <c r="AC1143" s="140">
        <f t="shared" si="295"/>
        <v>-3.8590019093723178E-2</v>
      </c>
      <c r="AD1143" s="140">
        <f t="shared" si="296"/>
        <v>-5.611086482357313E-2</v>
      </c>
      <c r="AE1143" s="140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38">
        <f t="shared" si="256"/>
        <v>1.7857142857142857E-4</v>
      </c>
      <c r="Y1144" s="135">
        <f t="shared" si="291"/>
        <v>-6.1602193271119085E-3</v>
      </c>
      <c r="Z1144" s="135">
        <f t="shared" si="292"/>
        <v>-6.1602193271119085E-3</v>
      </c>
      <c r="AA1144" s="135">
        <f t="shared" si="293"/>
        <v>3.7948302158123097E-5</v>
      </c>
      <c r="AB1144" s="140">
        <f t="shared" si="294"/>
        <v>5.0863250970330398</v>
      </c>
      <c r="AC1144" s="140">
        <f t="shared" si="295"/>
        <v>-3.9037824587077177E-2</v>
      </c>
      <c r="AD1144" s="140">
        <f t="shared" si="296"/>
        <v>-5.6277171389029781E-2</v>
      </c>
      <c r="AE1144" s="140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38">
        <f t="shared" si="256"/>
        <v>1.7857142857142857E-4</v>
      </c>
      <c r="Y1145" s="135">
        <f t="shared" si="291"/>
        <v>-2.0741748223894662E-3</v>
      </c>
      <c r="Z1145" s="135">
        <f t="shared" si="292"/>
        <v>-2.0741748223894662E-3</v>
      </c>
      <c r="AA1145" s="135">
        <f t="shared" si="293"/>
        <v>4.3022011938343737E-6</v>
      </c>
      <c r="AB1145" s="140">
        <f t="shared" si="294"/>
        <v>5.2057890598273877</v>
      </c>
      <c r="AC1145" s="140">
        <f t="shared" si="295"/>
        <v>-3.4792465522351892E-2</v>
      </c>
      <c r="AD1145" s="140">
        <f t="shared" si="296"/>
        <v>-5.6097664510834533E-2</v>
      </c>
      <c r="AE1145" s="140">
        <f t="shared" si="297"/>
        <v>-4.7790832508738453E-2</v>
      </c>
    </row>
    <row r="1146" spans="1:31" s="47" customFormat="1">
      <c r="A1146" s="90">
        <v>45625</v>
      </c>
      <c r="B1146" s="133">
        <v>75288855.555961996</v>
      </c>
      <c r="C1146" s="131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2">
        <f t="shared" si="290"/>
        <v>0.85677883292000123</v>
      </c>
      <c r="X1146" s="139">
        <f t="shared" si="256"/>
        <v>1.7857142857142857E-4</v>
      </c>
      <c r="Y1146" s="136">
        <f t="shared" si="291"/>
        <v>2.5457667307916744E-2</v>
      </c>
      <c r="Z1146" s="136">
        <f t="shared" si="292"/>
        <v>0</v>
      </c>
      <c r="AA1146" s="136">
        <f t="shared" si="293"/>
        <v>0</v>
      </c>
      <c r="AB1146" s="141">
        <f t="shared" si="294"/>
        <v>5.1501824749604701</v>
      </c>
      <c r="AC1146" s="141">
        <f t="shared" si="295"/>
        <v>-3.4840511291159254E-2</v>
      </c>
      <c r="AD1146" s="141">
        <f t="shared" si="296"/>
        <v>-5.4127857233664131E-2</v>
      </c>
      <c r="AE1146" s="141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68">
        <f>J1147</f>
        <v>1268827.1769175082</v>
      </c>
      <c r="I1147" s="267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38">
        <f t="shared" si="256"/>
        <v>1.7857142857142857E-4</v>
      </c>
      <c r="Y1147" s="135">
        <f t="shared" si="291"/>
        <v>1.6674217308194433E-2</v>
      </c>
      <c r="Z1147" s="135">
        <f t="shared" si="292"/>
        <v>0</v>
      </c>
      <c r="AA1147" s="135">
        <f t="shared" si="293"/>
        <v>0</v>
      </c>
      <c r="AB1147" s="140">
        <f t="shared" si="294"/>
        <v>5.2071091880920655</v>
      </c>
      <c r="AC1147" s="140">
        <f t="shared" si="295"/>
        <v>-3.4730019901207193E-2</v>
      </c>
      <c r="AD1147" s="140">
        <f t="shared" si="296"/>
        <v>-5.3735269928480919E-2</v>
      </c>
      <c r="AE1147" s="140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38">
        <f t="shared" si="256"/>
        <v>1.7857142857142857E-4</v>
      </c>
      <c r="Y1148" s="135">
        <f t="shared" si="291"/>
        <v>1.0451872329076088E-2</v>
      </c>
      <c r="Z1148" s="135">
        <f t="shared" si="292"/>
        <v>0</v>
      </c>
      <c r="AA1148" s="135">
        <f t="shared" si="293"/>
        <v>0</v>
      </c>
      <c r="AB1148" s="140">
        <f t="shared" si="294"/>
        <v>5.1765831949139391</v>
      </c>
      <c r="AC1148" s="140">
        <f t="shared" si="295"/>
        <v>-3.4752315494700169E-2</v>
      </c>
      <c r="AD1148" s="140">
        <f t="shared" si="296"/>
        <v>-5.376253855406736E-2</v>
      </c>
      <c r="AE1148" s="140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38">
        <f t="shared" si="256"/>
        <v>1.7857142857142857E-4</v>
      </c>
      <c r="Y1149" s="135">
        <f t="shared" si="291"/>
        <v>2.2136725195960688E-2</v>
      </c>
      <c r="Z1149" s="135">
        <f t="shared" si="292"/>
        <v>0</v>
      </c>
      <c r="AA1149" s="135">
        <f t="shared" si="293"/>
        <v>0</v>
      </c>
      <c r="AB1149" s="140">
        <f t="shared" si="294"/>
        <v>5.0776163411259416</v>
      </c>
      <c r="AC1149" s="140">
        <f t="shared" si="295"/>
        <v>-3.4679183384160095E-2</v>
      </c>
      <c r="AD1149" s="140">
        <f t="shared" si="296"/>
        <v>-5.3465225999797868E-2</v>
      </c>
      <c r="AE1149" s="140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29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38">
        <f t="shared" si="256"/>
        <v>1.7857142857142857E-4</v>
      </c>
      <c r="Y1150" s="135">
        <f t="shared" si="291"/>
        <v>-2.2979459842013068E-3</v>
      </c>
      <c r="Z1150" s="135">
        <f t="shared" si="292"/>
        <v>-2.2979459842013068E-3</v>
      </c>
      <c r="AA1150" s="135">
        <f t="shared" si="293"/>
        <v>5.2805557463069132E-6</v>
      </c>
      <c r="AB1150" s="140">
        <f t="shared" si="294"/>
        <v>4.0158754034779953</v>
      </c>
      <c r="AC1150" s="140">
        <f t="shared" si="295"/>
        <v>-3.4522131126979286E-2</v>
      </c>
      <c r="AD1150" s="140">
        <f t="shared" si="296"/>
        <v>-5.2591480958369317E-2</v>
      </c>
      <c r="AE1150" s="140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38">
        <f t="shared" si="256"/>
        <v>1.7857142857142857E-4</v>
      </c>
      <c r="Y1151" s="135">
        <f t="shared" si="291"/>
        <v>6.3369499364244184E-4</v>
      </c>
      <c r="Z1151" s="135">
        <f t="shared" si="292"/>
        <v>0</v>
      </c>
      <c r="AA1151" s="135">
        <f t="shared" si="293"/>
        <v>0</v>
      </c>
      <c r="AB1151" s="140">
        <f t="shared" si="294"/>
        <v>3.6073187419275787</v>
      </c>
      <c r="AC1151" s="140">
        <f t="shared" si="295"/>
        <v>-3.1969554143038453E-2</v>
      </c>
      <c r="AD1151" s="140">
        <f t="shared" si="296"/>
        <v>-5.1014250078585004E-2</v>
      </c>
      <c r="AE1151" s="140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38">
        <f t="shared" si="256"/>
        <v>1.7857142857142857E-4</v>
      </c>
      <c r="Y1152" s="135">
        <f t="shared" ref="Y1152:Y1153" si="314">G1152-X1152</f>
        <v>-1.6108409869760462E-2</v>
      </c>
      <c r="Z1152" s="135">
        <f t="shared" ref="Z1152:Z1153" si="315">IF(Y1152&lt;0,Y1152,0)</f>
        <v>-1.6108409869760462E-2</v>
      </c>
      <c r="AA1152" s="135">
        <f t="shared" ref="AA1152:AA1153" si="316">Z1152^2</f>
        <v>2.5948086853219628E-4</v>
      </c>
      <c r="AB1152" s="140">
        <f t="shared" ref="AB1152:AB1153" si="317">AVERAGE(Y899:Y1152)/AVERAGE(AA899:AA1152)</f>
        <v>3.571315009390744</v>
      </c>
      <c r="AC1152" s="140">
        <f t="shared" ref="AC1152:AC1153" si="318">AVERAGE(G1121:G1152)-_xlfn.NORM.S.INV(0.95)*_xlfn.STDEV.S(G1121:G1152)</f>
        <v>-3.3151356021522443E-2</v>
      </c>
      <c r="AD1152" s="140">
        <f t="shared" ref="AD1152:AD1153" si="319">AVERAGE(G1061:G1152)-_xlfn.NORM.S.INV(0.95)*_xlfn.STDEV.S(G1061:G1152)</f>
        <v>-4.8637233070914707E-2</v>
      </c>
      <c r="AE1152" s="140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38">
        <f t="shared" si="256"/>
        <v>1.7857142857142857E-4</v>
      </c>
      <c r="Y1153" s="135">
        <f t="shared" si="314"/>
        <v>-2.105097703029301E-2</v>
      </c>
      <c r="Z1153" s="135">
        <f t="shared" si="315"/>
        <v>-2.105097703029301E-2</v>
      </c>
      <c r="AA1153" s="135">
        <f t="shared" si="316"/>
        <v>4.4314363392992392E-4</v>
      </c>
      <c r="AB1153" s="140">
        <f t="shared" si="317"/>
        <v>3.3454154924247654</v>
      </c>
      <c r="AC1153" s="140">
        <f t="shared" si="318"/>
        <v>-3.4693620267449925E-2</v>
      </c>
      <c r="AD1153" s="140">
        <f t="shared" si="319"/>
        <v>-4.7348090145245887E-2</v>
      </c>
      <c r="AE1153" s="140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38">
        <f t="shared" si="256"/>
        <v>1.7857142857142857E-4</v>
      </c>
      <c r="Y1154" s="135">
        <f t="shared" ref="Y1154" si="324">G1154-X1154</f>
        <v>2.4367753647623988E-2</v>
      </c>
      <c r="Z1154" s="135">
        <f t="shared" ref="Z1154" si="325">IF(Y1154&lt;0,Y1154,0)</f>
        <v>0</v>
      </c>
      <c r="AA1154" s="135">
        <f t="shared" ref="AA1154" si="326">Z1154^2</f>
        <v>0</v>
      </c>
      <c r="AB1154" s="140">
        <f t="shared" ref="AB1154" si="327">AVERAGE(Y901:Y1154)/AVERAGE(AA901:AA1154)</f>
        <v>3.1068788362531659</v>
      </c>
      <c r="AC1154" s="140">
        <f t="shared" ref="AC1154" si="328">AVERAGE(G1123:G1154)-_xlfn.NORM.S.INV(0.95)*_xlfn.STDEV.S(G1123:G1154)</f>
        <v>-3.4243378316069578E-2</v>
      </c>
      <c r="AD1154" s="140">
        <f t="shared" ref="AD1154" si="329">AVERAGE(G1063:G1154)-_xlfn.NORM.S.INV(0.95)*_xlfn.STDEV.S(G1063:G1154)</f>
        <v>-4.263586860196588E-2</v>
      </c>
      <c r="AE1154" s="140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38">
        <f t="shared" si="256"/>
        <v>1.7857142857142857E-4</v>
      </c>
      <c r="Y1155" s="135">
        <f t="shared" ref="Y1155" si="347">G1155-X1155</f>
        <v>-1.7520923229346924E-2</v>
      </c>
      <c r="Z1155" s="135">
        <f t="shared" ref="Z1155" si="348">IF(Y1155&lt;0,Y1155,0)</f>
        <v>-1.7520923229346924E-2</v>
      </c>
      <c r="AA1155" s="135">
        <f t="shared" ref="AA1155" si="349">Z1155^2</f>
        <v>3.0698275080866862E-4</v>
      </c>
      <c r="AB1155" s="140">
        <f t="shared" ref="AB1155" si="350">AVERAGE(Y902:Y1155)/AVERAGE(AA902:AA1155)</f>
        <v>3.8081890445294602</v>
      </c>
      <c r="AC1155" s="140">
        <f t="shared" ref="AC1155" si="351">AVERAGE(G1124:G1155)-_xlfn.NORM.S.INV(0.95)*_xlfn.STDEV.S(G1124:G1155)</f>
        <v>-3.5538975015983319E-2</v>
      </c>
      <c r="AD1155" s="140">
        <f t="shared" ref="AD1155" si="352">AVERAGE(G1064:G1155)-_xlfn.NORM.S.INV(0.95)*_xlfn.STDEV.S(G1064:G1155)</f>
        <v>-4.3141270912846898E-2</v>
      </c>
      <c r="AE1155" s="140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38">
        <f t="shared" si="256"/>
        <v>1.7857142857142857E-4</v>
      </c>
      <c r="Y1156" s="135">
        <f t="shared" ref="Y1156" si="370">G1156-X1156</f>
        <v>-3.3539748903108038E-3</v>
      </c>
      <c r="Z1156" s="135">
        <f t="shared" ref="Z1156" si="371">IF(Y1156&lt;0,Y1156,0)</f>
        <v>-3.3539748903108038E-3</v>
      </c>
      <c r="AA1156" s="135">
        <f t="shared" ref="AA1156" si="372">Z1156^2</f>
        <v>1.1249147564835368E-5</v>
      </c>
      <c r="AB1156" s="140">
        <f t="shared" ref="AB1156" si="373">AVERAGE(Y903:Y1156)/AVERAGE(AA903:AA1156)</f>
        <v>3.268240131322349</v>
      </c>
      <c r="AC1156" s="140">
        <f t="shared" ref="AC1156" si="374">AVERAGE(G1125:G1156)-_xlfn.NORM.S.INV(0.95)*_xlfn.STDEV.S(G1125:G1156)</f>
        <v>-3.4645677819338978E-2</v>
      </c>
      <c r="AD1156" s="140">
        <f t="shared" ref="AD1156" si="375">AVERAGE(G1065:G1156)-_xlfn.NORM.S.INV(0.95)*_xlfn.STDEV.S(G1065:G1156)</f>
        <v>-4.2494816639127832E-2</v>
      </c>
      <c r="AE1156" s="140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38">
        <f t="shared" si="256"/>
        <v>1.7857142857142857E-4</v>
      </c>
      <c r="Y1157" s="135">
        <f t="shared" ref="Y1157" si="393">G1157-X1157</f>
        <v>1.9201421586275457E-3</v>
      </c>
      <c r="Z1157" s="135">
        <f t="shared" ref="Z1157" si="394">IF(Y1157&lt;0,Y1157,0)</f>
        <v>0</v>
      </c>
      <c r="AA1157" s="135">
        <f t="shared" ref="AA1157" si="395">Z1157^2</f>
        <v>0</v>
      </c>
      <c r="AB1157" s="140">
        <f t="shared" ref="AB1157" si="396">AVERAGE(Y904:Y1157)/AVERAGE(AA904:AA1157)</f>
        <v>3.202481809207546</v>
      </c>
      <c r="AC1157" s="140">
        <f t="shared" ref="AC1157" si="397">AVERAGE(G1126:G1157)-_xlfn.NORM.S.INV(0.95)*_xlfn.STDEV.S(G1126:G1157)</f>
        <v>-2.8088120065962039E-2</v>
      </c>
      <c r="AD1157" s="140">
        <f t="shared" ref="AD1157" si="398">AVERAGE(G1066:G1157)-_xlfn.NORM.S.INV(0.95)*_xlfn.STDEV.S(G1066:G1157)</f>
        <v>-4.1025898945056469E-2</v>
      </c>
      <c r="AE1157" s="140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38">
        <f t="shared" si="256"/>
        <v>1.7857142857142857E-4</v>
      </c>
      <c r="Y1158" s="135">
        <f t="shared" ref="Y1158" si="416">G1158-X1158</f>
        <v>-1.4827509972123818E-2</v>
      </c>
      <c r="Z1158" s="135">
        <f t="shared" ref="Z1158" si="417">IF(Y1158&lt;0,Y1158,0)</f>
        <v>-1.4827509972123818E-2</v>
      </c>
      <c r="AA1158" s="135">
        <f t="shared" ref="AA1158" si="418">Z1158^2</f>
        <v>2.1985505197343126E-4</v>
      </c>
      <c r="AB1158" s="140">
        <f t="shared" ref="AB1158" si="419">AVERAGE(Y905:Y1158)/AVERAGE(AA905:AA1158)</f>
        <v>3.0845909362927393</v>
      </c>
      <c r="AC1158" s="140">
        <f t="shared" ref="AC1158" si="420">AVERAGE(G1127:G1158)-_xlfn.NORM.S.INV(0.95)*_xlfn.STDEV.S(G1127:G1158)</f>
        <v>-2.9293954740543037E-2</v>
      </c>
      <c r="AD1158" s="140">
        <f t="shared" ref="AD1158" si="421">AVERAGE(G1067:G1158)-_xlfn.NORM.S.INV(0.95)*_xlfn.STDEV.S(G1067:G1158)</f>
        <v>-4.14351160886062E-2</v>
      </c>
      <c r="AE1158" s="140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38">
        <f t="shared" si="256"/>
        <v>1.7857142857142857E-4</v>
      </c>
      <c r="Y1159" s="135">
        <f t="shared" ref="Y1159" si="439">G1159-X1159</f>
        <v>-6.991592689222241E-2</v>
      </c>
      <c r="Z1159" s="135">
        <f t="shared" ref="Z1159" si="440">IF(Y1159&lt;0,Y1159,0)</f>
        <v>-6.991592689222241E-2</v>
      </c>
      <c r="AA1159" s="135">
        <f t="shared" ref="AA1159" si="441">Z1159^2</f>
        <v>4.8882368331985889E-3</v>
      </c>
      <c r="AB1159" s="140">
        <f t="shared" ref="AB1159" si="442">AVERAGE(Y906:Y1159)/AVERAGE(AA906:AA1159)</f>
        <v>2.1073745843058314</v>
      </c>
      <c r="AC1159" s="140">
        <f t="shared" ref="AC1159" si="443">AVERAGE(G1128:G1159)-_xlfn.NORM.S.INV(0.95)*_xlfn.STDEV.S(G1128:G1159)</f>
        <v>-3.777251133590958E-2</v>
      </c>
      <c r="AD1159" s="140">
        <f t="shared" ref="AD1159" si="444">AVERAGE(G1068:G1159)-_xlfn.NORM.S.INV(0.95)*_xlfn.STDEV.S(G1068:G1159)</f>
        <v>-4.4055670339450764E-2</v>
      </c>
      <c r="AE1159" s="140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38">
        <f t="shared" si="256"/>
        <v>1.7857142857142857E-4</v>
      </c>
      <c r="Y1160" s="135">
        <f t="shared" ref="Y1160" si="462">G1160-X1160</f>
        <v>-9.8641105776305429E-3</v>
      </c>
      <c r="Z1160" s="135">
        <f t="shared" ref="Z1160" si="463">IF(Y1160&lt;0,Y1160,0)</f>
        <v>-9.8641105776305429E-3</v>
      </c>
      <c r="AA1160" s="135">
        <f t="shared" ref="AA1160" si="464">Z1160^2</f>
        <v>9.7300677487722762E-5</v>
      </c>
      <c r="AB1160" s="140">
        <f t="shared" ref="AB1160" si="465">AVERAGE(Y907:Y1160)/AVERAGE(AA907:AA1160)</f>
        <v>1.7383629492509944</v>
      </c>
      <c r="AC1160" s="140">
        <f t="shared" ref="AC1160" si="466">AVERAGE(G1129:G1160)-_xlfn.NORM.S.INV(0.95)*_xlfn.STDEV.S(G1129:G1160)</f>
        <v>-3.7218782711741512E-2</v>
      </c>
      <c r="AD1160" s="140">
        <f t="shared" ref="AD1160" si="467">AVERAGE(G1069:G1160)-_xlfn.NORM.S.INV(0.95)*_xlfn.STDEV.S(G1069:G1160)</f>
        <v>-4.3883691308714404E-2</v>
      </c>
      <c r="AE1160" s="140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38">
        <f t="shared" si="256"/>
        <v>1.7857142857142857E-4</v>
      </c>
      <c r="Y1161" s="135">
        <f t="shared" ref="Y1161" si="485">G1161-X1161</f>
        <v>3.3636532132736575E-2</v>
      </c>
      <c r="Z1161" s="135">
        <f t="shared" ref="Z1161" si="486">IF(Y1161&lt;0,Y1161,0)</f>
        <v>0</v>
      </c>
      <c r="AA1161" s="135">
        <f t="shared" ref="AA1161" si="487">Z1161^2</f>
        <v>0</v>
      </c>
      <c r="AB1161" s="140">
        <f t="shared" ref="AB1161" si="488">AVERAGE(Y908:Y1161)/AVERAGE(AA908:AA1161)</f>
        <v>2.1131222847382274</v>
      </c>
      <c r="AC1161" s="140">
        <f t="shared" ref="AC1161" si="489">AVERAGE(G1130:G1161)-_xlfn.NORM.S.INV(0.95)*_xlfn.STDEV.S(G1130:G1161)</f>
        <v>-3.6046202454409551E-2</v>
      </c>
      <c r="AD1161" s="140">
        <f t="shared" ref="AD1161" si="490">AVERAGE(G1070:G1161)-_xlfn.NORM.S.INV(0.95)*_xlfn.STDEV.S(G1070:G1161)</f>
        <v>-4.3842552627768948E-2</v>
      </c>
      <c r="AE1161" s="140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38">
        <f t="shared" si="256"/>
        <v>1.7857142857142857E-4</v>
      </c>
      <c r="Y1162" s="135">
        <f t="shared" ref="Y1162" si="508">G1162-X1162</f>
        <v>2.9897319136982334E-2</v>
      </c>
      <c r="Z1162" s="135">
        <f t="shared" ref="Z1162" si="509">IF(Y1162&lt;0,Y1162,0)</f>
        <v>0</v>
      </c>
      <c r="AA1162" s="135">
        <f t="shared" ref="AA1162" si="510">Z1162^2</f>
        <v>0</v>
      </c>
      <c r="AB1162" s="140">
        <f t="shared" ref="AB1162" si="511">AVERAGE(Y909:Y1162)/AVERAGE(AA909:AA1162)</f>
        <v>2.7393043593239934</v>
      </c>
      <c r="AC1162" s="140">
        <f t="shared" ref="AC1162" si="512">AVERAGE(G1131:G1162)-_xlfn.NORM.S.INV(0.95)*_xlfn.STDEV.S(G1131:G1162)</f>
        <v>-3.573525359456043E-2</v>
      </c>
      <c r="AD1162" s="140">
        <f t="shared" ref="AD1162" si="513">AVERAGE(G1071:G1162)-_xlfn.NORM.S.INV(0.95)*_xlfn.STDEV.S(G1071:G1162)</f>
        <v>-4.349188378820866E-2</v>
      </c>
      <c r="AE1162" s="140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38">
        <f t="shared" si="256"/>
        <v>1.7857142857142857E-4</v>
      </c>
      <c r="Y1163" s="135">
        <f t="shared" ref="Y1163" si="531">G1163-X1163</f>
        <v>2.3307486101960581E-2</v>
      </c>
      <c r="Z1163" s="135">
        <f t="shared" ref="Z1163" si="532">IF(Y1163&lt;0,Y1163,0)</f>
        <v>0</v>
      </c>
      <c r="AA1163" s="135">
        <f t="shared" ref="AA1163" si="533">Z1163^2</f>
        <v>0</v>
      </c>
      <c r="AB1163" s="140">
        <f t="shared" ref="AB1163" si="534">AVERAGE(Y910:Y1163)/AVERAGE(AA910:AA1163)</f>
        <v>2.9223798615438361</v>
      </c>
      <c r="AC1163" s="140">
        <f t="shared" ref="AC1163" si="535">AVERAGE(G1132:G1163)-_xlfn.NORM.S.INV(0.95)*_xlfn.STDEV.S(G1132:G1163)</f>
        <v>-3.5742907061425036E-2</v>
      </c>
      <c r="AD1163" s="140">
        <f t="shared" ref="AD1163" si="536">AVERAGE(G1072:G1163)-_xlfn.NORM.S.INV(0.95)*_xlfn.STDEV.S(G1072:G1163)</f>
        <v>-4.3494117944554524E-2</v>
      </c>
      <c r="AE1163" s="140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38">
        <f t="shared" si="256"/>
        <v>1.7857142857142857E-4</v>
      </c>
      <c r="Y1164" s="135">
        <f t="shared" ref="Y1164" si="554">G1164-X1164</f>
        <v>-1.4019121817953714E-4</v>
      </c>
      <c r="Z1164" s="135">
        <f t="shared" ref="Z1164" si="555">IF(Y1164&lt;0,Y1164,0)</f>
        <v>-1.4019121817953714E-4</v>
      </c>
      <c r="AA1164" s="135">
        <f t="shared" ref="AA1164" si="556">Z1164^2</f>
        <v>1.9653577654662586E-8</v>
      </c>
      <c r="AB1164" s="140">
        <f t="shared" ref="AB1164" si="557">AVERAGE(Y911:Y1164)/AVERAGE(AA911:AA1164)</f>
        <v>3.5185405366843501</v>
      </c>
      <c r="AC1164" s="140">
        <f t="shared" ref="AC1164" si="558">AVERAGE(G1133:G1164)-_xlfn.NORM.S.INV(0.95)*_xlfn.STDEV.S(G1133:G1164)</f>
        <v>-3.5068398645665494E-2</v>
      </c>
      <c r="AD1164" s="140">
        <f t="shared" ref="AD1164" si="559">AVERAGE(G1073:G1164)-_xlfn.NORM.S.INV(0.95)*_xlfn.STDEV.S(G1073:G1164)</f>
        <v>-4.3557129790647513E-2</v>
      </c>
      <c r="AE1164" s="140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38">
        <f t="shared" si="256"/>
        <v>1.7857142857142857E-4</v>
      </c>
      <c r="Y1165" s="135">
        <f t="shared" ref="Y1165" si="577">G1165-X1165</f>
        <v>-3.0671011409215553E-3</v>
      </c>
      <c r="Z1165" s="135">
        <f t="shared" ref="Z1165" si="578">IF(Y1165&lt;0,Y1165,0)</f>
        <v>-3.0671011409215553E-3</v>
      </c>
      <c r="AA1165" s="135">
        <f t="shared" ref="AA1165" si="579">Z1165^2</f>
        <v>9.4071094086423054E-6</v>
      </c>
      <c r="AB1165" s="140">
        <f t="shared" ref="AB1165" si="580">AVERAGE(Y912:Y1165)/AVERAGE(AA912:AA1165)</f>
        <v>4.0897370174876073</v>
      </c>
      <c r="AC1165" s="140">
        <f t="shared" ref="AC1165" si="581">AVERAGE(G1134:G1165)-_xlfn.NORM.S.INV(0.95)*_xlfn.STDEV.S(G1134:G1165)</f>
        <v>-3.4635552394053783E-2</v>
      </c>
      <c r="AD1165" s="140">
        <f t="shared" ref="AD1165" si="582">AVERAGE(G1074:G1165)-_xlfn.NORM.S.INV(0.95)*_xlfn.STDEV.S(G1074:G1165)</f>
        <v>-4.3148933856579495E-2</v>
      </c>
      <c r="AE1165" s="140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38">
        <f t="shared" si="256"/>
        <v>1.7857142857142857E-4</v>
      </c>
      <c r="Y1166" s="135">
        <f t="shared" ref="Y1166" si="600">G1166-X1166</f>
        <v>-2.7403604898608453E-2</v>
      </c>
      <c r="Z1166" s="135">
        <f t="shared" ref="Z1166" si="601">IF(Y1166&lt;0,Y1166,0)</f>
        <v>-2.7403604898608453E-2</v>
      </c>
      <c r="AA1166" s="135">
        <f t="shared" ref="AA1166" si="602">Z1166^2</f>
        <v>7.509575614390372E-4</v>
      </c>
      <c r="AB1166" s="140">
        <f t="shared" ref="AB1166" si="603">AVERAGE(Y913:Y1166)/AVERAGE(AA913:AA1166)</f>
        <v>3.9171418412379793</v>
      </c>
      <c r="AC1166" s="140">
        <f t="shared" ref="AC1166" si="604">AVERAGE(G1135:G1166)-_xlfn.NORM.S.INV(0.95)*_xlfn.STDEV.S(G1135:G1166)</f>
        <v>-3.5701539542127798E-2</v>
      </c>
      <c r="AD1166" s="140">
        <f t="shared" ref="AD1166" si="605">AVERAGE(G1075:G1166)-_xlfn.NORM.S.INV(0.95)*_xlfn.STDEV.S(G1075:G1166)</f>
        <v>-4.3843979903813009E-2</v>
      </c>
      <c r="AE1166" s="140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38">
        <f t="shared" si="256"/>
        <v>1.7857142857142857E-4</v>
      </c>
      <c r="Y1167" s="135">
        <f t="shared" ref="Y1167" si="623">G1167-X1167</f>
        <v>-1.8821805876757858E-2</v>
      </c>
      <c r="Z1167" s="135">
        <f t="shared" ref="Z1167" si="624">IF(Y1167&lt;0,Y1167,0)</f>
        <v>-1.8821805876757858E-2</v>
      </c>
      <c r="AA1167" s="135">
        <f t="shared" ref="AA1167" si="625">Z1167^2</f>
        <v>3.5426037646235664E-4</v>
      </c>
      <c r="AB1167" s="140">
        <f t="shared" ref="AB1167" si="626">AVERAGE(Y914:Y1167)/AVERAGE(AA914:AA1167)</f>
        <v>3.748418876771459</v>
      </c>
      <c r="AC1167" s="140">
        <f t="shared" ref="AC1167" si="627">AVERAGE(G1136:G1167)-_xlfn.NORM.S.INV(0.95)*_xlfn.STDEV.S(G1136:G1167)</f>
        <v>-3.6237407366190473E-2</v>
      </c>
      <c r="AD1167" s="140">
        <f t="shared" ref="AD1167" si="628">AVERAGE(G1076:G1167)-_xlfn.NORM.S.INV(0.95)*_xlfn.STDEV.S(G1076:G1167)</f>
        <v>-4.3239200097306495E-2</v>
      </c>
      <c r="AE1167" s="140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3">
        <v>71204832.621444106</v>
      </c>
      <c r="C1168" s="131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2">
        <f t="shared" ref="W1168:W1169" si="645">O1168/P1168</f>
        <v>0.69947007050490395</v>
      </c>
      <c r="X1168" s="139">
        <f t="shared" si="256"/>
        <v>1.7857142857142857E-4</v>
      </c>
      <c r="Y1168" s="136">
        <f t="shared" ref="Y1168" si="646">G1168-X1168</f>
        <v>-1.4985518520326967E-2</v>
      </c>
      <c r="Z1168" s="136">
        <f t="shared" ref="Z1168" si="647">IF(Y1168&lt;0,Y1168,0)</f>
        <v>-1.4985518520326967E-2</v>
      </c>
      <c r="AA1168" s="136">
        <f t="shared" ref="AA1168" si="648">Z1168^2</f>
        <v>2.2456576532306252E-4</v>
      </c>
      <c r="AB1168" s="141">
        <f t="shared" ref="AB1168" si="649">AVERAGE(Y915:Y1168)/AVERAGE(AA915:AA1168)</f>
        <v>3.3898611370546217</v>
      </c>
      <c r="AC1168" s="141">
        <f t="shared" ref="AC1168" si="650">AVERAGE(G1137:G1168)-_xlfn.NORM.S.INV(0.95)*_xlfn.STDEV.S(G1137:G1168)</f>
        <v>-3.4621663176414852E-2</v>
      </c>
      <c r="AD1168" s="141">
        <f t="shared" ref="AD1168" si="651">AVERAGE(G1077:G1168)-_xlfn.NORM.S.INV(0.95)*_xlfn.STDEV.S(G1077:G1168)</f>
        <v>-4.3212003535676245E-2</v>
      </c>
      <c r="AE1168" s="141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29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68">
        <f>J1169</f>
        <v>1050633.9386638999</v>
      </c>
      <c r="I1169" s="267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38">
        <f t="shared" ref="X1169:X1205" si="656">4.5%/252</f>
        <v>1.7857142857142857E-4</v>
      </c>
      <c r="Y1169" s="135">
        <f t="shared" ref="Y1169:Y1174" si="657">G1169-X1169</f>
        <v>1.4576521729915824E-2</v>
      </c>
      <c r="Z1169" s="135">
        <f t="shared" ref="Z1169:Z1174" si="658">IF(Y1169&lt;0,Y1169,0)</f>
        <v>0</v>
      </c>
      <c r="AA1169" s="135">
        <f t="shared" ref="AA1169:AA1174" si="659">Z1169^2</f>
        <v>0</v>
      </c>
      <c r="AB1169" s="140">
        <f t="shared" ref="AB1169:AB1174" si="660">AVERAGE(Y918:Y1169)/AVERAGE(AA918:AA1169)</f>
        <v>3.6258925045756674</v>
      </c>
      <c r="AC1169" s="140">
        <f t="shared" ref="AC1169:AC1174" si="661">AVERAGE(G1140:G1169)-_xlfn.NORM.S.INV(0.95)*_xlfn.STDEV.S(G1140:G1169)</f>
        <v>-3.5720995633261907E-2</v>
      </c>
      <c r="AD1169" s="140">
        <f t="shared" ref="AD1169:AD1174" si="662">AVERAGE(G1080:G1169)-_xlfn.NORM.S.INV(0.95)*_xlfn.STDEV.S(G1080:G1169)</f>
        <v>-4.2707219794095565E-2</v>
      </c>
      <c r="AE1169" s="140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1">
        <f>PRODUCT($L$1169:L1170)-1</f>
        <v>6.4368653935457987E-2</v>
      </c>
      <c r="O1170" s="301">
        <f>AVERAGE($G$1169:G1170)*252</f>
        <v>8.0195529544735979</v>
      </c>
      <c r="P1170" s="301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38">
        <f t="shared" si="656"/>
        <v>1.7857142857142857E-4</v>
      </c>
      <c r="Y1170" s="135">
        <f t="shared" si="657"/>
        <v>4.8713581083366701E-2</v>
      </c>
      <c r="Z1170" s="135">
        <f t="shared" si="658"/>
        <v>0</v>
      </c>
      <c r="AA1170" s="135">
        <f t="shared" si="659"/>
        <v>0</v>
      </c>
      <c r="AB1170" s="140">
        <f t="shared" si="660"/>
        <v>4.0645772559263671</v>
      </c>
      <c r="AC1170" s="140">
        <f t="shared" si="661"/>
        <v>-3.7339738841182642E-2</v>
      </c>
      <c r="AD1170" s="140">
        <f t="shared" si="662"/>
        <v>-4.2519725913316257E-2</v>
      </c>
      <c r="AE1170" s="140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38">
        <f t="shared" si="656"/>
        <v>1.7857142857142857E-4</v>
      </c>
      <c r="Y1171" s="135">
        <f t="shared" si="657"/>
        <v>3.1439737910276308E-2</v>
      </c>
      <c r="Z1171" s="135">
        <f t="shared" si="658"/>
        <v>0</v>
      </c>
      <c r="AA1171" s="135">
        <f t="shared" si="659"/>
        <v>0</v>
      </c>
      <c r="AB1171" s="140">
        <f t="shared" si="660"/>
        <v>4.3254567103167609</v>
      </c>
      <c r="AC1171" s="140">
        <f t="shared" si="661"/>
        <v>-3.7314732757482927E-2</v>
      </c>
      <c r="AD1171" s="140">
        <f t="shared" si="662"/>
        <v>-4.2515005310440189E-2</v>
      </c>
      <c r="AE1171" s="140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38">
        <f t="shared" si="656"/>
        <v>1.7857142857142857E-4</v>
      </c>
      <c r="Y1172" s="135">
        <f t="shared" si="657"/>
        <v>-5.3669062051482162E-2</v>
      </c>
      <c r="Z1172" s="135">
        <f t="shared" si="658"/>
        <v>-5.3669062051482162E-2</v>
      </c>
      <c r="AA1172" s="135">
        <f t="shared" si="659"/>
        <v>2.8803682214858426E-3</v>
      </c>
      <c r="AB1172" s="140">
        <f t="shared" si="660"/>
        <v>3.980021491647856</v>
      </c>
      <c r="AC1172" s="140">
        <f t="shared" si="661"/>
        <v>-4.1509870763346807E-2</v>
      </c>
      <c r="AD1172" s="140">
        <f t="shared" si="662"/>
        <v>-4.4096934747222268E-2</v>
      </c>
      <c r="AE1172" s="140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38">
        <f t="shared" si="656"/>
        <v>1.7857142857142857E-4</v>
      </c>
      <c r="Y1173" s="135">
        <f t="shared" si="657"/>
        <v>-6.4508222418960884E-3</v>
      </c>
      <c r="Z1173" s="135">
        <f t="shared" si="658"/>
        <v>-6.4508222418960884E-3</v>
      </c>
      <c r="AA1173" s="135">
        <f t="shared" si="659"/>
        <v>4.1613107596541278E-5</v>
      </c>
      <c r="AB1173" s="140">
        <f t="shared" si="660"/>
        <v>4.0325194488371947</v>
      </c>
      <c r="AC1173" s="140">
        <f t="shared" si="661"/>
        <v>-4.1851469353405141E-2</v>
      </c>
      <c r="AD1173" s="140">
        <f t="shared" si="662"/>
        <v>-3.9396627891970681E-2</v>
      </c>
      <c r="AE1173" s="140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38">
        <f t="shared" si="656"/>
        <v>1.7857142857142857E-4</v>
      </c>
      <c r="Y1174" s="135">
        <f t="shared" si="657"/>
        <v>-7.6516323912593283E-4</v>
      </c>
      <c r="Z1174" s="135">
        <f t="shared" si="658"/>
        <v>-7.6516323912593283E-4</v>
      </c>
      <c r="AA1174" s="135">
        <f t="shared" si="659"/>
        <v>5.8547478250968942E-7</v>
      </c>
      <c r="AB1174" s="140">
        <f t="shared" si="660"/>
        <v>3.9807376933868746</v>
      </c>
      <c r="AC1174" s="140">
        <f t="shared" si="661"/>
        <v>-4.1630720012298304E-2</v>
      </c>
      <c r="AD1174" s="140">
        <f t="shared" si="662"/>
        <v>-3.8880118810897604E-2</v>
      </c>
      <c r="AE1174" s="140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38">
        <f t="shared" si="656"/>
        <v>1.7857142857142857E-4</v>
      </c>
      <c r="Y1175" s="135">
        <f t="shared" ref="Y1175" si="753">G1175-X1175</f>
        <v>-4.0115596277181635E-2</v>
      </c>
      <c r="Z1175" s="135">
        <f t="shared" ref="Z1175" si="754">IF(Y1175&lt;0,Y1175,0)</f>
        <v>-4.0115596277181635E-2</v>
      </c>
      <c r="AA1175" s="135">
        <f t="shared" ref="AA1175" si="755">Z1175^2</f>
        <v>1.6092610646738291E-3</v>
      </c>
      <c r="AB1175" s="140">
        <f t="shared" ref="AB1175" si="756">AVERAGE(Y924:Y1175)/AVERAGE(AA924:AA1175)</f>
        <v>3.4290903112562003</v>
      </c>
      <c r="AC1175" s="140">
        <f t="shared" ref="AC1175" si="757">AVERAGE(G1146:G1175)-_xlfn.NORM.S.INV(0.95)*_xlfn.STDEV.S(G1146:G1175)</f>
        <v>-4.4602240978631545E-2</v>
      </c>
      <c r="AD1175" s="140">
        <f t="shared" ref="AD1175" si="758">AVERAGE(G1086:G1175)-_xlfn.NORM.S.INV(0.95)*_xlfn.STDEV.S(G1086:G1175)</f>
        <v>-4.0003526003172224E-2</v>
      </c>
      <c r="AE1175" s="140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38">
        <f t="shared" si="656"/>
        <v>1.7857142857142857E-4</v>
      </c>
      <c r="Y1176" s="135">
        <f t="shared" ref="Y1176" si="776">G1176-X1176</f>
        <v>-2.1950557992640493E-2</v>
      </c>
      <c r="Z1176" s="135">
        <f t="shared" ref="Z1176" si="777">IF(Y1176&lt;0,Y1176,0)</f>
        <v>-2.1950557992640493E-2</v>
      </c>
      <c r="AA1176" s="135">
        <f t="shared" ref="AA1176" si="778">Z1176^2</f>
        <v>4.8182699618827345E-4</v>
      </c>
      <c r="AB1176" s="140">
        <f t="shared" ref="AB1176" si="779">AVERAGE(Y925:Y1176)/AVERAGE(AA925:AA1176)</f>
        <v>3.1478073961057969</v>
      </c>
      <c r="AC1176" s="140">
        <f t="shared" ref="AC1176" si="780">AVERAGE(G1147:G1176)-_xlfn.NORM.S.INV(0.95)*_xlfn.STDEV.S(G1147:G1176)</f>
        <v>-4.5796654173352221E-2</v>
      </c>
      <c r="AD1176" s="140">
        <f t="shared" ref="AD1176" si="781">AVERAGE(G1087:G1176)-_xlfn.NORM.S.INV(0.95)*_xlfn.STDEV.S(G1087:G1176)</f>
        <v>-3.8163505334544982E-2</v>
      </c>
      <c r="AE1176" s="140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38">
        <f t="shared" si="656"/>
        <v>1.7857142857142857E-4</v>
      </c>
      <c r="Y1177" s="135">
        <f t="shared" ref="Y1177" si="799">G1177-X1177</f>
        <v>9.8825470708540121E-3</v>
      </c>
      <c r="Z1177" s="135">
        <f t="shared" ref="Z1177" si="800">IF(Y1177&lt;0,Y1177,0)</f>
        <v>0</v>
      </c>
      <c r="AA1177" s="135">
        <f t="shared" ref="AA1177" si="801">Z1177^2</f>
        <v>0</v>
      </c>
      <c r="AB1177" s="140">
        <f t="shared" ref="AB1177" si="802">AVERAGE(Y926:Y1177)/AVERAGE(AA926:AA1177)</f>
        <v>3.2053471419708282</v>
      </c>
      <c r="AC1177" s="140">
        <f t="shared" ref="AC1177" si="803">AVERAGE(G1148:G1177)-_xlfn.NORM.S.INV(0.95)*_xlfn.STDEV.S(G1148:G1177)</f>
        <v>-4.5784388218508068E-2</v>
      </c>
      <c r="AD1177" s="140">
        <f t="shared" ref="AD1177" si="804">AVERAGE(G1088:G1177)-_xlfn.NORM.S.INV(0.95)*_xlfn.STDEV.S(G1088:G1177)</f>
        <v>-3.8075473966536239E-2</v>
      </c>
      <c r="AE1177" s="140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38">
        <f t="shared" si="656"/>
        <v>1.7857142857142857E-4</v>
      </c>
      <c r="Y1178" s="135">
        <f t="shared" ref="Y1178" si="822">G1178-X1178</f>
        <v>6.6296525019850269E-2</v>
      </c>
      <c r="Z1178" s="135">
        <f t="shared" ref="Z1178" si="823">IF(Y1178&lt;0,Y1178,0)</f>
        <v>0</v>
      </c>
      <c r="AA1178" s="135">
        <f t="shared" ref="AA1178" si="824">Z1178^2</f>
        <v>0</v>
      </c>
      <c r="AB1178" s="140">
        <f t="shared" ref="AB1178" si="825">AVERAGE(Y927:Y1178)/AVERAGE(AA927:AA1178)</f>
        <v>3.7744386128842962</v>
      </c>
      <c r="AC1178" s="140">
        <f t="shared" ref="AC1178" si="826">AVERAGE(G1149:G1178)-_xlfn.NORM.S.INV(0.95)*_xlfn.STDEV.S(G1149:G1178)</f>
        <v>-4.8584749213011036E-2</v>
      </c>
      <c r="AD1178" s="140">
        <f t="shared" ref="AD1178" si="827">AVERAGE(G1089:G1178)-_xlfn.NORM.S.INV(0.95)*_xlfn.STDEV.S(G1089:G1178)</f>
        <v>-3.8849525160357813E-2</v>
      </c>
      <c r="AE1178" s="140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38">
        <f t="shared" si="656"/>
        <v>1.7857142857142857E-4</v>
      </c>
      <c r="Y1179" s="135">
        <f t="shared" ref="Y1179" si="845">G1179-X1179</f>
        <v>7.6732143243090425E-3</v>
      </c>
      <c r="Z1179" s="135">
        <f t="shared" ref="Z1179" si="846">IF(Y1179&lt;0,Y1179,0)</f>
        <v>0</v>
      </c>
      <c r="AA1179" s="135">
        <f t="shared" ref="AA1179" si="847">Z1179^2</f>
        <v>0</v>
      </c>
      <c r="AB1179" s="140">
        <f t="shared" ref="AB1179" si="848">AVERAGE(Y928:Y1179)/AVERAGE(AA928:AA1179)</f>
        <v>3.9085684464912545</v>
      </c>
      <c r="AC1179" s="140">
        <f t="shared" ref="AC1179" si="849">AVERAGE(G1150:G1179)-_xlfn.NORM.S.INV(0.95)*_xlfn.STDEV.S(G1150:G1179)</f>
        <v>-4.8601489152125629E-2</v>
      </c>
      <c r="AD1179" s="140">
        <f t="shared" ref="AD1179" si="850">AVERAGE(G1090:G1179)-_xlfn.NORM.S.INV(0.95)*_xlfn.STDEV.S(G1090:G1179)</f>
        <v>-3.8277240147899093E-2</v>
      </c>
      <c r="AE1179" s="140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38">
        <f t="shared" si="656"/>
        <v>1.7857142857142857E-4</v>
      </c>
      <c r="Y1180" s="135">
        <f t="shared" ref="Y1180" si="868">G1180-X1180</f>
        <v>2.861657351865405E-2</v>
      </c>
      <c r="Z1180" s="135">
        <f t="shared" ref="Z1180" si="869">IF(Y1180&lt;0,Y1180,0)</f>
        <v>0</v>
      </c>
      <c r="AA1180" s="135">
        <f t="shared" ref="AA1180" si="870">Z1180^2</f>
        <v>0</v>
      </c>
      <c r="AB1180" s="140">
        <f t="shared" ref="AB1180" si="871">AVERAGE(Y929:Y1180)/AVERAGE(AA929:AA1180)</f>
        <v>4.1753688985842112</v>
      </c>
      <c r="AC1180" s="140">
        <f t="shared" ref="AC1180" si="872">AVERAGE(G1151:G1180)-_xlfn.NORM.S.INV(0.95)*_xlfn.STDEV.S(G1151:G1180)</f>
        <v>-4.8438980275713965E-2</v>
      </c>
      <c r="AD1180" s="140">
        <f t="shared" ref="AD1180" si="873">AVERAGE(G1091:G1180)-_xlfn.NORM.S.INV(0.95)*_xlfn.STDEV.S(G1091:G1180)</f>
        <v>-3.825057902839997E-2</v>
      </c>
      <c r="AE1180" s="140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38">
        <f t="shared" si="656"/>
        <v>1.7857142857142857E-4</v>
      </c>
      <c r="Y1181" s="135">
        <f t="shared" ref="Y1181" si="891">G1181-X1181</f>
        <v>3.6607200540336492E-3</v>
      </c>
      <c r="Z1181" s="135">
        <f t="shared" ref="Z1181" si="892">IF(Y1181&lt;0,Y1181,0)</f>
        <v>0</v>
      </c>
      <c r="AA1181" s="135">
        <f t="shared" ref="AA1181" si="893">Z1181^2</f>
        <v>0</v>
      </c>
      <c r="AB1181" s="140">
        <f t="shared" ref="AB1181" si="894">AVERAGE(Y930:Y1181)/AVERAGE(AA930:AA1181)</f>
        <v>3.9775394886281554</v>
      </c>
      <c r="AC1181" s="140">
        <f t="shared" ref="AC1181" si="895">AVERAGE(G1152:G1181)-_xlfn.NORM.S.INV(0.95)*_xlfn.STDEV.S(G1152:G1181)</f>
        <v>-4.835415464248146E-2</v>
      </c>
      <c r="AD1181" s="140">
        <f t="shared" ref="AD1181" si="896">AVERAGE(G1092:G1181)-_xlfn.NORM.S.INV(0.95)*_xlfn.STDEV.S(G1092:G1181)</f>
        <v>-3.8326655355715486E-2</v>
      </c>
      <c r="AE1181" s="140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38">
        <f t="shared" si="656"/>
        <v>1.7857142857142857E-4</v>
      </c>
      <c r="Y1182" s="135">
        <f t="shared" ref="Y1182" si="913">G1182-X1182</f>
        <v>3.913675049521656E-2</v>
      </c>
      <c r="Z1182" s="135">
        <f t="shared" ref="Z1182" si="914">IF(Y1182&lt;0,Y1182,0)</f>
        <v>0</v>
      </c>
      <c r="AA1182" s="135">
        <f t="shared" ref="AA1182" si="915">Z1182^2</f>
        <v>0</v>
      </c>
      <c r="AB1182" s="140">
        <f t="shared" ref="AB1182" si="916">AVERAGE(Y931:Y1182)/AVERAGE(AA931:AA1182)</f>
        <v>4.3140313041110341</v>
      </c>
      <c r="AC1182" s="140">
        <f t="shared" ref="AC1182" si="917">AVERAGE(G1153:G1182)-_xlfn.NORM.S.INV(0.95)*_xlfn.STDEV.S(G1153:G1182)</f>
        <v>-4.7693003115482371E-2</v>
      </c>
      <c r="AD1182" s="140">
        <f t="shared" ref="AD1182" si="918">AVERAGE(G1093:G1182)-_xlfn.NORM.S.INV(0.95)*_xlfn.STDEV.S(G1093:G1182)</f>
        <v>-3.8209069134723356E-2</v>
      </c>
      <c r="AE1182" s="140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38">
        <f t="shared" si="656"/>
        <v>1.7857142857142857E-4</v>
      </c>
      <c r="Y1183" s="135">
        <f t="shared" ref="Y1183" si="935">G1183-X1183</f>
        <v>2.2868083977849965E-2</v>
      </c>
      <c r="Z1183" s="135">
        <f t="shared" ref="Z1183" si="936">IF(Y1183&lt;0,Y1183,0)</f>
        <v>0</v>
      </c>
      <c r="AA1183" s="135">
        <f t="shared" ref="AA1183" si="937">Z1183^2</f>
        <v>0</v>
      </c>
      <c r="AB1183" s="140">
        <f t="shared" ref="AB1183" si="938">AVERAGE(Y932:Y1183)/AVERAGE(AA932:AA1183)</f>
        <v>4.75510054480175</v>
      </c>
      <c r="AC1183" s="140">
        <f t="shared" ref="AC1183" si="939">AVERAGE(G1154:G1183)-_xlfn.NORM.S.INV(0.95)*_xlfn.STDEV.S(G1154:G1183)</f>
        <v>-4.6134725804138896E-2</v>
      </c>
      <c r="AD1183" s="140">
        <f t="shared" ref="AD1183" si="940">AVERAGE(G1094:G1183)-_xlfn.NORM.S.INV(0.95)*_xlfn.STDEV.S(G1094:G1183)</f>
        <v>-3.809786535032348E-2</v>
      </c>
      <c r="AE1183" s="140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38">
        <f t="shared" si="656"/>
        <v>1.7857142857142857E-4</v>
      </c>
      <c r="Y1184" s="135">
        <f t="shared" ref="Y1184" si="957">G1184-X1184</f>
        <v>5.9266360597527296E-3</v>
      </c>
      <c r="Z1184" s="135">
        <f t="shared" ref="Z1184" si="958">IF(Y1184&lt;0,Y1184,0)</f>
        <v>0</v>
      </c>
      <c r="AA1184" s="135">
        <f t="shared" ref="AA1184" si="959">Z1184^2</f>
        <v>0</v>
      </c>
      <c r="AB1184" s="140">
        <f t="shared" ref="AB1184" si="960">AVERAGE(Y933:Y1184)/AVERAGE(AA933:AA1184)</f>
        <v>4.675370949516549</v>
      </c>
      <c r="AC1184" s="140">
        <f t="shared" ref="AC1184" si="961">AVERAGE(G1155:G1184)-_xlfn.NORM.S.INV(0.95)*_xlfn.STDEV.S(G1155:G1184)</f>
        <v>-4.6302843443419672E-2</v>
      </c>
      <c r="AD1184" s="140">
        <f t="shared" ref="AD1184" si="962">AVERAGE(G1095:G1184)-_xlfn.NORM.S.INV(0.95)*_xlfn.STDEV.S(G1095:G1184)</f>
        <v>-3.7678014834107001E-2</v>
      </c>
      <c r="AE1184" s="140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38">
        <f t="shared" si="656"/>
        <v>1.7857142857142857E-4</v>
      </c>
      <c r="Y1185" s="135">
        <f t="shared" ref="Y1185" si="979">G1185-X1185</f>
        <v>-1.0432354260676244E-2</v>
      </c>
      <c r="Z1185" s="135">
        <f t="shared" ref="Z1185" si="980">IF(Y1185&lt;0,Y1185,0)</f>
        <v>-1.0432354260676244E-2</v>
      </c>
      <c r="AA1185" s="135">
        <f t="shared" ref="AA1185" si="981">Z1185^2</f>
        <v>1.0883401542024979E-4</v>
      </c>
      <c r="AB1185" s="140">
        <f t="shared" ref="AB1185" si="982">AVERAGE(Y934:Y1185)/AVERAGE(AA934:AA1185)</f>
        <v>4.6254347878252018</v>
      </c>
      <c r="AC1185" s="140">
        <f t="shared" ref="AC1185" si="983">AVERAGE(G1156:G1185)-_xlfn.NORM.S.INV(0.95)*_xlfn.STDEV.S(G1156:G1185)</f>
        <v>-4.5845084744231823E-2</v>
      </c>
      <c r="AD1185" s="140">
        <f t="shared" ref="AD1185" si="984">AVERAGE(G1096:G1185)-_xlfn.NORM.S.INV(0.95)*_xlfn.STDEV.S(G1096:G1185)</f>
        <v>-3.6876147804896481E-2</v>
      </c>
      <c r="AE1185" s="140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38">
        <f t="shared" si="656"/>
        <v>1.7857142857142857E-4</v>
      </c>
      <c r="Y1186" s="135">
        <f t="shared" ref="Y1186" si="1001">G1186-X1186</f>
        <v>-7.5837574914259451E-2</v>
      </c>
      <c r="Z1186" s="135">
        <f t="shared" ref="Z1186" si="1002">IF(Y1186&lt;0,Y1186,0)</f>
        <v>-7.5837574914259451E-2</v>
      </c>
      <c r="AA1186" s="135">
        <f t="shared" ref="AA1186" si="1003">Z1186^2</f>
        <v>5.7513377688759139E-3</v>
      </c>
      <c r="AB1186" s="140">
        <f t="shared" ref="AB1186" si="1004">AVERAGE(Y935:Y1186)/AVERAGE(AA935:AA1186)</f>
        <v>4.102097168785491</v>
      </c>
      <c r="AC1186" s="140">
        <f t="shared" ref="AC1186" si="1005">AVERAGE(G1157:G1186)-_xlfn.NORM.S.INV(0.95)*_xlfn.STDEV.S(G1157:G1186)</f>
        <v>-5.3656421798951019E-2</v>
      </c>
      <c r="AD1186" s="140">
        <f t="shared" ref="AD1186" si="1006">AVERAGE(G1097:G1186)-_xlfn.NORM.S.INV(0.95)*_xlfn.STDEV.S(G1097:G1186)</f>
        <v>-3.9854893508430488E-2</v>
      </c>
      <c r="AE1186" s="140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38">
        <f t="shared" si="656"/>
        <v>1.7857142857142857E-4</v>
      </c>
      <c r="Y1187" s="135">
        <f t="shared" ref="Y1187" si="1024">G1187-X1187</f>
        <v>-2.9439674917357771E-4</v>
      </c>
      <c r="Z1187" s="135">
        <f t="shared" ref="Z1187" si="1025">IF(Y1187&lt;0,Y1187,0)</f>
        <v>-2.9439674917357771E-4</v>
      </c>
      <c r="AA1187" s="135">
        <f t="shared" ref="AA1187" si="1026">Z1187^2</f>
        <v>8.6669445923970425E-8</v>
      </c>
      <c r="AB1187" s="140">
        <f t="shared" ref="AB1187" si="1027">AVERAGE(Y936:Y1187)/AVERAGE(AA936:AA1187)</f>
        <v>4.0064543582111343</v>
      </c>
      <c r="AC1187" s="140">
        <f t="shared" ref="AC1187" si="1028">AVERAGE(G1158:G1187)-_xlfn.NORM.S.INV(0.95)*_xlfn.STDEV.S(G1158:G1187)</f>
        <v>-5.3726888131229937E-2</v>
      </c>
      <c r="AD1187" s="140">
        <f t="shared" ref="AD1187" si="1029">AVERAGE(G1098:G1187)-_xlfn.NORM.S.INV(0.95)*_xlfn.STDEV.S(G1098:G1187)</f>
        <v>-3.992648917433602E-2</v>
      </c>
      <c r="AE1187" s="140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38">
        <f t="shared" si="656"/>
        <v>1.7857142857142857E-4</v>
      </c>
      <c r="Y1188" s="135">
        <f t="shared" ref="Y1188" si="1047">G1188-X1188</f>
        <v>-2.5920663642330967E-4</v>
      </c>
      <c r="Z1188" s="135">
        <f t="shared" ref="Z1188" si="1048">IF(Y1188&lt;0,Y1188,0)</f>
        <v>-2.5920663642330967E-4</v>
      </c>
      <c r="AA1188" s="135">
        <f t="shared" ref="AA1188" si="1049">Z1188^2</f>
        <v>6.7188080365885839E-8</v>
      </c>
      <c r="AB1188" s="140">
        <f t="shared" ref="AB1188" si="1050">AVERAGE(Y937:Y1188)/AVERAGE(AA937:AA1188)</f>
        <v>3.9659644394746971</v>
      </c>
      <c r="AC1188" s="140">
        <f t="shared" ref="AC1188" si="1051">AVERAGE(G1159:G1188)-_xlfn.NORM.S.INV(0.95)*_xlfn.STDEV.S(G1159:G1188)</f>
        <v>-5.3046705527388424E-2</v>
      </c>
      <c r="AD1188" s="140">
        <f t="shared" ref="AD1188" si="1052">AVERAGE(G1099:G1188)-_xlfn.NORM.S.INV(0.95)*_xlfn.STDEV.S(G1099:G1188)</f>
        <v>-3.9868816424293047E-2</v>
      </c>
      <c r="AE1188" s="140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38">
        <f t="shared" si="656"/>
        <v>1.7857142857142857E-4</v>
      </c>
      <c r="Y1189" s="135">
        <f t="shared" ref="Y1189" si="1070">G1189-X1189</f>
        <v>2.9253126902659631E-5</v>
      </c>
      <c r="Z1189" s="135">
        <f t="shared" ref="Z1189" si="1071">IF(Y1189&lt;0,Y1189,0)</f>
        <v>0</v>
      </c>
      <c r="AA1189" s="135">
        <f t="shared" ref="AA1189" si="1072">Z1189^2</f>
        <v>0</v>
      </c>
      <c r="AB1189" s="140">
        <f t="shared" ref="AB1189" si="1073">AVERAGE(Y938:Y1189)/AVERAGE(AA938:AA1189)</f>
        <v>4.0603042907780891</v>
      </c>
      <c r="AC1189" s="140">
        <f t="shared" ref="AC1189" si="1074">AVERAGE(G1160:G1189)-_xlfn.NORM.S.INV(0.95)*_xlfn.STDEV.S(G1160:G1189)</f>
        <v>-4.6071882429871619E-2</v>
      </c>
      <c r="AD1189" s="140">
        <f t="shared" ref="AD1189" si="1075">AVERAGE(G1100:G1189)-_xlfn.NORM.S.INV(0.95)*_xlfn.STDEV.S(G1100:G1189)</f>
        <v>-3.9874949151526437E-2</v>
      </c>
      <c r="AE1189" s="140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3">
        <v>66302018.384809397</v>
      </c>
      <c r="C1190" s="131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2">
        <f t="shared" ref="W1190" si="1092">O1190/P1190</f>
        <v>1.6320307472785629</v>
      </c>
      <c r="X1190" s="139">
        <f t="shared" si="656"/>
        <v>1.7857142857142857E-4</v>
      </c>
      <c r="Y1190" s="136">
        <f t="shared" ref="Y1190" si="1093">G1190-X1190</f>
        <v>-2.5656059436595535E-4</v>
      </c>
      <c r="Z1190" s="136">
        <f t="shared" ref="Z1190" si="1094">IF(Y1190&lt;0,Y1190,0)</f>
        <v>-2.5656059436595535E-4</v>
      </c>
      <c r="AA1190" s="136">
        <f t="shared" ref="AA1190" si="1095">Z1190^2</f>
        <v>6.5823338581412284E-8</v>
      </c>
      <c r="AB1190" s="141">
        <f t="shared" ref="AB1190" si="1096">AVERAGE(Y939:Y1190)/AVERAGE(AA939:AA1190)</f>
        <v>4.0780196067956185</v>
      </c>
      <c r="AC1190" s="141">
        <f t="shared" ref="AC1190" si="1097">AVERAGE(G1161:G1190)-_xlfn.NORM.S.INV(0.95)*_xlfn.STDEV.S(G1161:G1190)</f>
        <v>-4.5606073649123328E-2</v>
      </c>
      <c r="AD1190" s="141">
        <f t="shared" ref="AD1190" si="1098">AVERAGE(G1101:G1190)-_xlfn.NORM.S.INV(0.95)*_xlfn.STDEV.S(G1101:G1190)</f>
        <v>-3.9939540949735591E-2</v>
      </c>
      <c r="AE1190" s="141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68">
        <f t="shared" ref="H1191:I1191" si="1104">J1191</f>
        <v>2282.6036987006664</v>
      </c>
      <c r="I1191" s="267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38">
        <f t="shared" si="656"/>
        <v>1.7857142857142857E-4</v>
      </c>
      <c r="Y1191" s="135">
        <f t="shared" ref="Y1191" si="1114">G1191-X1191</f>
        <v>-1.4414406490577522E-4</v>
      </c>
      <c r="Z1191" s="135">
        <f t="shared" ref="Z1191" si="1115">IF(Y1191&lt;0,Y1191,0)</f>
        <v>-1.4414406490577522E-4</v>
      </c>
      <c r="AA1191" s="135">
        <f t="shared" ref="AA1191" si="1116">Z1191^2</f>
        <v>2.077751144756034E-8</v>
      </c>
      <c r="AB1191" s="140">
        <f t="shared" ref="AB1191" si="1117">AVERAGE(Y940:Y1191)/AVERAGE(AA940:AA1191)</f>
        <v>4.0143577170790987</v>
      </c>
      <c r="AC1191" s="140">
        <f t="shared" ref="AC1191" si="1118">AVERAGE(G1162:G1191)-_xlfn.NORM.S.INV(0.95)*_xlfn.STDEV.S(G1162:G1191)</f>
        <v>-4.5802219713923849E-2</v>
      </c>
      <c r="AD1191" s="140">
        <f t="shared" ref="AD1191" si="1119">AVERAGE(G1102:G1191)-_xlfn.NORM.S.INV(0.95)*_xlfn.STDEV.S(G1102:G1191)</f>
        <v>-3.9541914750510269E-2</v>
      </c>
      <c r="AE1191" s="140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38">
        <f t="shared" si="656"/>
        <v>1.7857142857142857E-4</v>
      </c>
      <c r="Y1192" s="135">
        <f t="shared" ref="Y1192" si="1136">G1192-X1192</f>
        <v>2.0516512996813344E-4</v>
      </c>
      <c r="Z1192" s="135">
        <f t="shared" ref="Z1192" si="1137">IF(Y1192&lt;0,Y1192,0)</f>
        <v>0</v>
      </c>
      <c r="AA1192" s="135">
        <f t="shared" ref="AA1192" si="1138">Z1192^2</f>
        <v>0</v>
      </c>
      <c r="AB1192" s="140">
        <f t="shared" ref="AB1192" si="1139">AVERAGE(Y941:Y1192)/AVERAGE(AA941:AA1192)</f>
        <v>4.2020843650905375</v>
      </c>
      <c r="AC1192" s="140">
        <f t="shared" ref="AC1192" si="1140">AVERAGE(G1163:G1192)-_xlfn.NORM.S.INV(0.95)*_xlfn.STDEV.S(G1163:G1192)</f>
        <v>-4.5996939819967948E-2</v>
      </c>
      <c r="AD1192" s="140">
        <f t="shared" ref="AD1192" si="1141">AVERAGE(G1103:G1192)-_xlfn.NORM.S.INV(0.95)*_xlfn.STDEV.S(G1103:G1192)</f>
        <v>-3.9509575135292269E-2</v>
      </c>
      <c r="AE1192" s="140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38">
        <f t="shared" si="656"/>
        <v>1.7857142857142857E-4</v>
      </c>
      <c r="Y1193" s="135">
        <f t="shared" ref="Y1193" si="1159">G1193-X1193</f>
        <v>5.3544179764319823E-4</v>
      </c>
      <c r="Z1193" s="135">
        <f t="shared" ref="Z1193" si="1160">IF(Y1193&lt;0,Y1193,0)</f>
        <v>0</v>
      </c>
      <c r="AA1193" s="135">
        <f t="shared" ref="AA1193" si="1161">Z1193^2</f>
        <v>0</v>
      </c>
      <c r="AB1193" s="140">
        <f t="shared" ref="AB1193" si="1162">AVERAGE(Y942:Y1193)/AVERAGE(AA942:AA1193)</f>
        <v>4.0515148461988888</v>
      </c>
      <c r="AC1193" s="140">
        <f t="shared" ref="AC1193" si="1163">AVERAGE(G1164:G1193)-_xlfn.NORM.S.INV(0.95)*_xlfn.STDEV.S(G1164:G1193)</f>
        <v>-4.6240037404950848E-2</v>
      </c>
      <c r="AD1193" s="140">
        <f t="shared" ref="AD1193" si="1164">AVERAGE(G1104:G1193)-_xlfn.NORM.S.INV(0.95)*_xlfn.STDEV.S(G1104:G1193)</f>
        <v>-3.8636092314228231E-2</v>
      </c>
      <c r="AE1193" s="140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38">
        <f t="shared" si="656"/>
        <v>1.7857142857142857E-4</v>
      </c>
      <c r="Y1194" s="135">
        <f t="shared" ref="Y1194" si="1178">G1194-X1194</f>
        <v>1.0350713481917156E-4</v>
      </c>
      <c r="Z1194" s="135">
        <f t="shared" ref="Z1194" si="1179">IF(Y1194&lt;0,Y1194,0)</f>
        <v>0</v>
      </c>
      <c r="AA1194" s="135">
        <f t="shared" ref="AA1194" si="1180">Z1194^2</f>
        <v>0</v>
      </c>
      <c r="AB1194" s="140">
        <f t="shared" ref="AB1194" si="1181">AVERAGE(Y943:Y1194)/AVERAGE(AA943:AA1194)</f>
        <v>3.966762886465808</v>
      </c>
      <c r="AC1194" s="140">
        <f t="shared" ref="AC1194" si="1182">AVERAGE(G1165:G1194)-_xlfn.NORM.S.INV(0.95)*_xlfn.STDEV.S(G1165:G1194)</f>
        <v>-4.623182238468318E-2</v>
      </c>
      <c r="AD1194" s="140">
        <f t="shared" ref="AD1194" si="1183">AVERAGE(G1105:G1194)-_xlfn.NORM.S.INV(0.95)*_xlfn.STDEV.S(G1105:G1194)</f>
        <v>-3.870461888810095E-2</v>
      </c>
      <c r="AE1194" s="140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38">
        <f t="shared" si="656"/>
        <v>1.7857142857142857E-4</v>
      </c>
      <c r="Y1195" s="135">
        <f t="shared" ref="Y1195" si="1197">G1195-X1195</f>
        <v>1.105531049897495E-4</v>
      </c>
      <c r="Z1195" s="135">
        <f t="shared" ref="Z1195" si="1198">IF(Y1195&lt;0,Y1195,0)</f>
        <v>0</v>
      </c>
      <c r="AA1195" s="135">
        <f t="shared" ref="AA1195" si="1199">Z1195^2</f>
        <v>0</v>
      </c>
      <c r="AB1195" s="140">
        <f t="shared" ref="AB1195" si="1200">AVERAGE(Y944:Y1195)/AVERAGE(AA944:AA1195)</f>
        <v>3.9596149047549614</v>
      </c>
      <c r="AC1195" s="140">
        <f t="shared" ref="AC1195" si="1201">AVERAGE(G1166:G1195)-_xlfn.NORM.S.INV(0.95)*_xlfn.STDEV.S(G1166:G1195)</f>
        <v>-4.6115049266493895E-2</v>
      </c>
      <c r="AD1195" s="140">
        <f t="shared" ref="AD1195" si="1202">AVERAGE(G1106:G1195)-_xlfn.NORM.S.INV(0.95)*_xlfn.STDEV.S(G1106:G1195)</f>
        <v>-3.8800006001926977E-2</v>
      </c>
      <c r="AE1195" s="140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38">
        <f t="shared" si="656"/>
        <v>1.7857142857142857E-4</v>
      </c>
      <c r="Y1196" s="135">
        <f t="shared" ref="Y1196" si="1220">G1196-X1196</f>
        <v>7.2063297812639083E-5</v>
      </c>
      <c r="Z1196" s="135">
        <f t="shared" ref="Z1196" si="1221">IF(Y1196&lt;0,Y1196,0)</f>
        <v>0</v>
      </c>
      <c r="AA1196" s="135">
        <f t="shared" ref="AA1196" si="1222">Z1196^2</f>
        <v>0</v>
      </c>
      <c r="AB1196" s="140">
        <f t="shared" ref="AB1196" si="1223">AVERAGE(Y945:Y1196)/AVERAGE(AA945:AA1196)</f>
        <v>4.0086117845120306</v>
      </c>
      <c r="AC1196" s="140">
        <f t="shared" ref="AC1196" si="1224">AVERAGE(G1167:G1196)-_xlfn.NORM.S.INV(0.95)*_xlfn.STDEV.S(G1167:G1196)</f>
        <v>-4.4399589547322683E-2</v>
      </c>
      <c r="AD1196" s="140">
        <f t="shared" ref="AD1196" si="1225">AVERAGE(G1107:G1196)-_xlfn.NORM.S.INV(0.95)*_xlfn.STDEV.S(G1107:G1196)</f>
        <v>-3.8782543860872355E-2</v>
      </c>
      <c r="AE1196" s="140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38">
        <f t="shared" si="656"/>
        <v>1.7857142857142857E-4</v>
      </c>
      <c r="Y1197" s="135">
        <f t="shared" ref="Y1197" si="1243">G1197-X1197</f>
        <v>-2.0232856674079914E-4</v>
      </c>
      <c r="Z1197" s="135">
        <f t="shared" ref="Z1197" si="1244">IF(Y1197&lt;0,Y1197,0)</f>
        <v>-2.0232856674079914E-4</v>
      </c>
      <c r="AA1197" s="135">
        <f t="shared" ref="AA1197" si="1245">Z1197^2</f>
        <v>4.0936848919386014E-8</v>
      </c>
      <c r="AB1197" s="140">
        <f t="shared" ref="AB1197" si="1246">AVERAGE(Y946:Y1197)/AVERAGE(AA946:AA1197)</f>
        <v>4.0947183256749851</v>
      </c>
      <c r="AC1197" s="140">
        <f t="shared" ref="AC1197" si="1247">AVERAGE(G1168:G1197)-_xlfn.NORM.S.INV(0.95)*_xlfn.STDEV.S(G1168:G1197)</f>
        <v>-4.3358888109575805E-2</v>
      </c>
      <c r="AD1197" s="140">
        <f t="shared" ref="AD1197" si="1248">AVERAGE(G1108:G1197)-_xlfn.NORM.S.INV(0.95)*_xlfn.STDEV.S(G1108:G1197)</f>
        <v>-3.8694733308125319E-2</v>
      </c>
      <c r="AE1197" s="140">
        <f t="shared" ref="AE1197" si="1249">AVERAGE(G833:G1197)-_xlfn.NORM.S.INV(0.95)*_xlfn.STDEV.S(G833:G1197)</f>
        <v>-4.8712536832055148E-2</v>
      </c>
    </row>
    <row r="1198" spans="1:31">
      <c r="A1198" s="88">
        <v>45700</v>
      </c>
      <c r="B1198" s="78">
        <v>66435397.653966203</v>
      </c>
      <c r="D1198" s="67">
        <f t="shared" ref="D1198" si="1250">B1198</f>
        <v>66435397.653966203</v>
      </c>
      <c r="E1198" s="67">
        <f t="shared" ref="E1198" si="1251">IF(MONTH(A1198)=MONTH(A1197),E1197,D1197)</f>
        <v>66302018.384809397</v>
      </c>
      <c r="F1198" s="67">
        <f t="shared" ref="F1198" si="1252">B1198-C1198-D1197</f>
        <v>5305.0599892064929</v>
      </c>
      <c r="G1198" s="70">
        <f t="shared" ref="G1198" si="1253">F1198/B1197</f>
        <v>7.9859289398122649E-5</v>
      </c>
      <c r="H1198" s="67">
        <f t="shared" ref="H1198" si="1254">IF(WEEKNUM(A1198)=WEEKNUM(A1197),H1197+F1198,F1198)</f>
        <v>20372.745202504098</v>
      </c>
      <c r="I1198" s="70">
        <f t="shared" ref="I1198" si="1255">IF(WEEKNUM(A1198)=WEEKNUM(A1197),I1197+G1198,G1198)</f>
        <v>3.0673687761281971E-4</v>
      </c>
      <c r="J1198" s="67">
        <f t="shared" ref="J1198" si="1256">IF(MONTH(A1198)=MONTH(A1197),J1197+F1198,F1198)</f>
        <v>133379.26915680617</v>
      </c>
      <c r="K1198" s="70">
        <f t="shared" ref="K1198" si="1257">(1+K1197)*(1+G1198)-1</f>
        <v>2.0116924402311387E-3</v>
      </c>
      <c r="L1198" s="70">
        <f t="shared" ref="L1198" si="1258">1+G1198</f>
        <v>1.000079859289398</v>
      </c>
      <c r="M1198" s="70">
        <f>PRODUCT($L$2:L1198)-1</f>
        <v>0.70004630507288335</v>
      </c>
      <c r="N1198" s="70">
        <f>PRODUCT($L$1169:L1198)-1</f>
        <v>6.5768095652419811E-2</v>
      </c>
      <c r="O1198" s="70">
        <f>AVERAGE($G$1169:G1198)*252</f>
        <v>0.62771131890862752</v>
      </c>
      <c r="P1198" s="70">
        <f>STDEV($G$1169:G1198)*252^0.5</f>
        <v>0.43485974691265022</v>
      </c>
      <c r="Q1198" s="67">
        <f t="shared" ref="Q1198" si="1259">B1198-C1198-D1167</f>
        <v>-5839607.1395113021</v>
      </c>
      <c r="R1198" s="70">
        <f t="shared" ref="R1198" si="1260">Q1198/B1167</f>
        <v>-8.0797049494465076E-2</v>
      </c>
      <c r="S1198" s="67">
        <f t="shared" ref="S1198" si="1261">B1198-C1198-D1109</f>
        <v>-2867744.6688140035</v>
      </c>
      <c r="T1198" s="70">
        <f t="shared" ref="T1198" si="1262">S1198/B1107</f>
        <v>-4.2393876813574365E-2</v>
      </c>
      <c r="U1198" s="67">
        <f t="shared" ref="U1198" si="1263">B1198-C1198-D834</f>
        <v>30323001.573966205</v>
      </c>
      <c r="V1198" s="70">
        <f t="shared" ref="V1198" si="1264">U1198/B832</f>
        <v>0.80904739255505609</v>
      </c>
      <c r="W1198" s="87">
        <f t="shared" ref="W1198" si="1265">O1198/P1198</f>
        <v>1.4434799343125111</v>
      </c>
      <c r="X1198" s="138">
        <f t="shared" si="656"/>
        <v>1.7857142857142857E-4</v>
      </c>
      <c r="Y1198" s="135">
        <f t="shared" ref="Y1198" si="1266">G1198-X1198</f>
        <v>-9.8712139173305922E-5</v>
      </c>
      <c r="Z1198" s="135">
        <f t="shared" ref="Z1198" si="1267">IF(Y1198&lt;0,Y1198,0)</f>
        <v>-9.8712139173305922E-5</v>
      </c>
      <c r="AA1198" s="135">
        <f t="shared" ref="AA1198" si="1268">Z1198^2</f>
        <v>9.7440864201701182E-9</v>
      </c>
      <c r="AB1198" s="140">
        <f t="shared" ref="AB1198" si="1269">AVERAGE(Y947:Y1198)/AVERAGE(AA947:AA1198)</f>
        <v>3.9331435465655478</v>
      </c>
      <c r="AC1198" s="140">
        <f t="shared" ref="AC1198" si="1270">AVERAGE(G1169:G1198)-_xlfn.NORM.S.INV(0.95)*_xlfn.STDEV.S(G1169:G1198)</f>
        <v>-4.2567526584329565E-2</v>
      </c>
      <c r="AD1198" s="140">
        <f t="shared" ref="AD1198" si="1271">AVERAGE(G1109:G1198)-_xlfn.NORM.S.INV(0.95)*_xlfn.STDEV.S(G1109:G1198)</f>
        <v>-3.8795039781722856E-2</v>
      </c>
      <c r="AE1198" s="140">
        <f t="shared" ref="AE1198" si="1272">AVERAGE(G834:G1198)-_xlfn.NORM.S.INV(0.95)*_xlfn.STDEV.S(G834:G1198)</f>
        <v>-4.8532349008135169E-2</v>
      </c>
    </row>
    <row r="1199" spans="1:31">
      <c r="A1199" s="88">
        <v>45701</v>
      </c>
      <c r="B1199" s="78">
        <v>66585533.1466804</v>
      </c>
      <c r="D1199" s="67">
        <f t="shared" ref="D1199" si="1273">B1199</f>
        <v>66585533.1466804</v>
      </c>
      <c r="E1199" s="67">
        <f t="shared" ref="E1199" si="1274">IF(MONTH(A1199)=MONTH(A1198),E1198,D1198)</f>
        <v>66302018.384809397</v>
      </c>
      <c r="F1199" s="67">
        <f t="shared" ref="F1199" si="1275">B1199-C1199-D1198</f>
        <v>150135.49271419644</v>
      </c>
      <c r="G1199" s="70">
        <f t="shared" ref="G1199" si="1276">F1199/B1198</f>
        <v>2.2598719660893505E-3</v>
      </c>
      <c r="H1199" s="67">
        <f t="shared" ref="H1199" si="1277">IF(WEEKNUM(A1199)=WEEKNUM(A1198),H1198+F1199,F1199)</f>
        <v>170508.23791670054</v>
      </c>
      <c r="I1199" s="70">
        <f t="shared" ref="I1199" si="1278">IF(WEEKNUM(A1199)=WEEKNUM(A1198),I1198+G1199,G1199)</f>
        <v>2.5666088437021704E-3</v>
      </c>
      <c r="J1199" s="67">
        <f t="shared" ref="J1199" si="1279">IF(MONTH(A1199)=MONTH(A1198),J1198+F1199,F1199)</f>
        <v>283514.76187100261</v>
      </c>
      <c r="K1199" s="70">
        <f t="shared" ref="K1199" si="1280">(1+K1198)*(1+G1199)-1</f>
        <v>4.2761105736706106E-3</v>
      </c>
      <c r="L1199" s="70">
        <f t="shared" ref="L1199" si="1281">1+G1199</f>
        <v>1.0022598719660893</v>
      </c>
      <c r="M1199" s="70">
        <f>PRODUCT($L$2:L1199)-1</f>
        <v>0.7038881920587714</v>
      </c>
      <c r="N1199" s="70">
        <f>PRODUCT($L$1169:L1199)-1</f>
        <v>6.8176595094137094E-2</v>
      </c>
      <c r="O1199" s="70">
        <f>AVERAGE($G$1169:G1199)*252</f>
        <v>0.62583313879720459</v>
      </c>
      <c r="P1199" s="70">
        <f>STDEV($G$1169:G1199)*252^0.5</f>
        <v>0.42755116666278442</v>
      </c>
      <c r="Q1199" s="67">
        <f t="shared" ref="Q1199" si="1282">B1199-C1199-D1168</f>
        <v>-4619299.4747637063</v>
      </c>
      <c r="R1199" s="70">
        <f t="shared" ref="R1199" si="1283">Q1199/B1168</f>
        <v>-6.4873398401508978E-2</v>
      </c>
      <c r="S1199" s="67">
        <f t="shared" ref="S1199" si="1284">B1199-C1199-D1110</f>
        <v>-3320642.4387637973</v>
      </c>
      <c r="T1199" s="70">
        <f t="shared" ref="T1199" si="1285">S1199/B1108</f>
        <v>-4.837578377978341E-2</v>
      </c>
      <c r="U1199" s="67">
        <f t="shared" ref="U1199" si="1286">B1199-C1199-D835</f>
        <v>30647244.366680399</v>
      </c>
      <c r="V1199" s="70">
        <f t="shared" ref="V1199" si="1287">U1199/B833</f>
        <v>0.84550871649594173</v>
      </c>
      <c r="W1199" s="87">
        <f t="shared" ref="W1199" si="1288">O1199/P1199</f>
        <v>1.4637619718877015</v>
      </c>
      <c r="X1199" s="138">
        <f t="shared" si="656"/>
        <v>1.7857142857142857E-4</v>
      </c>
      <c r="Y1199" s="135">
        <f t="shared" ref="Y1199" si="1289">G1199-X1199</f>
        <v>2.081300537517922E-3</v>
      </c>
      <c r="Z1199" s="135">
        <f t="shared" ref="Z1199" si="1290">IF(Y1199&lt;0,Y1199,0)</f>
        <v>0</v>
      </c>
      <c r="AA1199" s="135">
        <f t="shared" ref="AA1199" si="1291">Z1199^2</f>
        <v>0</v>
      </c>
      <c r="AB1199" s="140">
        <f t="shared" ref="AB1199" si="1292">AVERAGE(Y948:Y1199)/AVERAGE(AA948:AA1199)</f>
        <v>3.956980006308906</v>
      </c>
      <c r="AC1199" s="140">
        <f t="shared" ref="AC1199" si="1293">AVERAGE(G1170:G1199)-_xlfn.NORM.S.INV(0.95)*_xlfn.STDEV.S(G1170:G1199)</f>
        <v>-4.2822698747535963E-2</v>
      </c>
      <c r="AD1199" s="140">
        <f t="shared" ref="AD1199" si="1294">AVERAGE(G1110:G1199)-_xlfn.NORM.S.INV(0.95)*_xlfn.STDEV.S(G1110:G1199)</f>
        <v>-3.8852830641806516E-2</v>
      </c>
      <c r="AE1199" s="140">
        <f t="shared" ref="AE1199" si="1295">AVERAGE(G835:G1199)-_xlfn.NORM.S.INV(0.95)*_xlfn.STDEV.S(G835:G1199)</f>
        <v>-4.8513330708592275E-2</v>
      </c>
    </row>
    <row r="1200" spans="1:31">
      <c r="A1200" s="88">
        <v>45702</v>
      </c>
      <c r="B1200" s="78">
        <v>66615111.351361498</v>
      </c>
      <c r="D1200" s="67">
        <f t="shared" ref="D1200" si="1296">B1200</f>
        <v>66615111.351361498</v>
      </c>
      <c r="E1200" s="67">
        <f t="shared" ref="E1200" si="1297">IF(MONTH(A1200)=MONTH(A1199),E1199,D1199)</f>
        <v>66302018.384809397</v>
      </c>
      <c r="F1200" s="67">
        <f t="shared" ref="F1200" si="1298">B1200-C1200-D1199</f>
        <v>29578.204681098461</v>
      </c>
      <c r="G1200" s="70">
        <f t="shared" ref="G1200" si="1299">F1200/B1199</f>
        <v>4.4421367950814512E-4</v>
      </c>
      <c r="H1200" s="67">
        <f t="shared" ref="H1200" si="1300">IF(WEEKNUM(A1200)=WEEKNUM(A1199),H1199+F1200,F1200)</f>
        <v>200086.442597799</v>
      </c>
      <c r="I1200" s="70">
        <f t="shared" ref="I1200" si="1301">IF(WEEKNUM(A1200)=WEEKNUM(A1199),I1199+G1200,G1200)</f>
        <v>3.0108225232103156E-3</v>
      </c>
      <c r="J1200" s="67">
        <f t="shared" ref="J1200" si="1302">IF(MONTH(A1200)=MONTH(A1199),J1199+F1200,F1200)</f>
        <v>313092.96655210108</v>
      </c>
      <c r="K1200" s="70">
        <f t="shared" ref="K1200" si="1303">(1+K1199)*(1+G1200)-1</f>
        <v>4.7222237599906514E-3</v>
      </c>
      <c r="L1200" s="70">
        <f t="shared" ref="L1200" si="1304">1+G1200</f>
        <v>1.0004442136795082</v>
      </c>
      <c r="M1200" s="70">
        <f>PRODUCT($L$2:L1200)-1</f>
        <v>0.7046450825020365</v>
      </c>
      <c r="N1200" s="70">
        <f>PRODUCT($L$1169:L1200)-1</f>
        <v>6.8651093749808378E-2</v>
      </c>
      <c r="O1200" s="70">
        <f>AVERAGE($G$1169:G1200)*252</f>
        <v>0.6097740359359185</v>
      </c>
      <c r="P1200" s="70">
        <f>STDEV($G$1169:G1200)*252^0.5</f>
        <v>0.42063758089541825</v>
      </c>
      <c r="Q1200" s="67">
        <f t="shared" ref="Q1200" si="1305">B1200-C1200-D1169</f>
        <v>3359644.7912534997</v>
      </c>
      <c r="R1200" s="70">
        <f t="shared" ref="R1200" si="1306">Q1200/B1169</f>
        <v>5.3112323312974448E-2</v>
      </c>
      <c r="S1200" s="67">
        <f t="shared" ref="S1200" si="1307">B1200-C1200-D1111</f>
        <v>-4953049.2464020997</v>
      </c>
      <c r="T1200" s="70">
        <f t="shared" ref="T1200" si="1308">S1200/B1109</f>
        <v>-7.1469331409724751E-2</v>
      </c>
      <c r="U1200" s="67">
        <f t="shared" ref="U1200" si="1309">B1200-C1200-D836</f>
        <v>31596841.431361496</v>
      </c>
      <c r="V1200" s="70">
        <f t="shared" ref="V1200" si="1310">U1200/B834</f>
        <v>0.87495832072080826</v>
      </c>
      <c r="W1200" s="87">
        <f t="shared" ref="W1200" si="1311">O1200/P1200</f>
        <v>1.449642313551448</v>
      </c>
      <c r="X1200" s="138">
        <f t="shared" si="656"/>
        <v>1.7857142857142857E-4</v>
      </c>
      <c r="Y1200" s="135">
        <f t="shared" ref="Y1200" si="1312">G1200-X1200</f>
        <v>2.6564225093671657E-4</v>
      </c>
      <c r="Z1200" s="135">
        <f t="shared" ref="Z1200" si="1313">IF(Y1200&lt;0,Y1200,0)</f>
        <v>0</v>
      </c>
      <c r="AA1200" s="135">
        <f t="shared" ref="AA1200" si="1314">Z1200^2</f>
        <v>0</v>
      </c>
      <c r="AB1200" s="140">
        <f t="shared" ref="AB1200" si="1315">AVERAGE(Y949:Y1200)/AVERAGE(AA949:AA1200)</f>
        <v>4.0441954761483982</v>
      </c>
      <c r="AC1200" s="140">
        <f t="shared" ref="AC1200" si="1316">AVERAGE(G1171:G1200)-_xlfn.NORM.S.INV(0.95)*_xlfn.STDEV.S(G1171:G1200)</f>
        <v>-4.2016472197039044E-2</v>
      </c>
      <c r="AD1200" s="140">
        <f t="shared" ref="AD1200" si="1317">AVERAGE(G1111:G1200)-_xlfn.NORM.S.INV(0.95)*_xlfn.STDEV.S(G1111:G1200)</f>
        <v>-3.8925592889824223E-2</v>
      </c>
      <c r="AE1200" s="140">
        <f t="shared" ref="AE1200" si="1318">AVERAGE(G836:G1200)-_xlfn.NORM.S.INV(0.95)*_xlfn.STDEV.S(G836:G1200)</f>
        <v>-4.8495437885645996E-2</v>
      </c>
    </row>
    <row r="1201" spans="1:31">
      <c r="A1201" s="88">
        <v>45705</v>
      </c>
      <c r="B1201" s="78">
        <v>66617016.363238297</v>
      </c>
      <c r="D1201" s="67">
        <f t="shared" ref="D1201" si="1319">B1201</f>
        <v>66617016.363238297</v>
      </c>
      <c r="E1201" s="67">
        <f t="shared" ref="E1201" si="1320">IF(MONTH(A1201)=MONTH(A1200),E1200,D1200)</f>
        <v>66302018.384809397</v>
      </c>
      <c r="F1201" s="67">
        <f t="shared" ref="F1201" si="1321">B1201-C1201-D1200</f>
        <v>1905.0118767991662</v>
      </c>
      <c r="G1201" s="70">
        <f t="shared" ref="G1201" si="1322">F1201/B1200</f>
        <v>2.859729328907338E-5</v>
      </c>
      <c r="H1201" s="67">
        <f t="shared" ref="H1201" si="1323">IF(WEEKNUM(A1201)=WEEKNUM(A1200),H1200+F1201,F1201)</f>
        <v>1905.0118767991662</v>
      </c>
      <c r="I1201" s="70">
        <f t="shared" ref="I1201" si="1324">IF(WEEKNUM(A1201)=WEEKNUM(A1200),I1200+G1201,G1201)</f>
        <v>2.859729328907338E-5</v>
      </c>
      <c r="J1201" s="67">
        <f t="shared" ref="J1201" si="1325">IF(MONTH(A1201)=MONTH(A1200),J1200+F1201,F1201)</f>
        <v>314997.97842890024</v>
      </c>
      <c r="K1201" s="70">
        <f t="shared" ref="K1201" si="1326">(1+K1200)*(1+G1201)-1</f>
        <v>4.7509560960974362E-3</v>
      </c>
      <c r="L1201" s="70">
        <f t="shared" ref="L1201" si="1327">1+G1201</f>
        <v>1.000028597293289</v>
      </c>
      <c r="M1201" s="70">
        <f>PRODUCT($L$2:L1201)-1</f>
        <v>0.70469383073741443</v>
      </c>
      <c r="N1201" s="70">
        <f>PRODUCT($L$1169:L1201)-1</f>
        <v>6.8681654278559989E-2</v>
      </c>
      <c r="O1201" s="70">
        <f>AVERAGE($G$1169:G1201)*252</f>
        <v>0.59151441417752237</v>
      </c>
      <c r="P1201" s="70">
        <f>STDEV($G$1169:G1201)*252^0.5</f>
        <v>0.41406567907621206</v>
      </c>
      <c r="Q1201" s="67">
        <f t="shared" ref="Q1201" si="1328">B1201-C1201-D1170</f>
        <v>268853.88485969603</v>
      </c>
      <c r="R1201" s="70">
        <f t="shared" ref="R1201" si="1329">Q1201/B1170</f>
        <v>4.052167758938457E-3</v>
      </c>
      <c r="S1201" s="67">
        <f t="shared" ref="S1201" si="1330">B1201-C1201-D1112</f>
        <v>-6701154.2927035019</v>
      </c>
      <c r="T1201" s="70">
        <f t="shared" ref="T1201" si="1331">S1201/B1110</f>
        <v>-9.58592604527891E-2</v>
      </c>
      <c r="U1201" s="67">
        <f t="shared" ref="U1201" si="1332">B1201-C1201-D837</f>
        <v>32954619.9232383</v>
      </c>
      <c r="V1201" s="70">
        <f t="shared" ref="V1201" si="1333">U1201/B835</f>
        <v>0.91697799316415585</v>
      </c>
      <c r="W1201" s="87">
        <f t="shared" ref="W1201" si="1334">O1201/P1201</f>
        <v>1.4285521453920103</v>
      </c>
      <c r="X1201" s="138">
        <f t="shared" si="656"/>
        <v>1.7857142857142857E-4</v>
      </c>
      <c r="Y1201" s="135">
        <f t="shared" ref="Y1201" si="1335">G1201-X1201</f>
        <v>-1.4997413528235518E-4</v>
      </c>
      <c r="Z1201" s="135">
        <f t="shared" ref="Z1201" si="1336">IF(Y1201&lt;0,Y1201,0)</f>
        <v>-1.4997413528235518E-4</v>
      </c>
      <c r="AA1201" s="135">
        <f t="shared" ref="AA1201" si="1337">Z1201^2</f>
        <v>2.2492241253690174E-8</v>
      </c>
      <c r="AB1201" s="140">
        <f t="shared" ref="AB1201" si="1338">AVERAGE(Y950:Y1201)/AVERAGE(AA950:AA1201)</f>
        <v>4.061152050022609</v>
      </c>
      <c r="AC1201" s="140">
        <f t="shared" ref="AC1201" si="1339">AVERAGE(G1172:G1201)-_xlfn.NORM.S.INV(0.95)*_xlfn.STDEV.S(G1172:G1201)</f>
        <v>-4.195222572171161E-2</v>
      </c>
      <c r="AD1201" s="140">
        <f t="shared" ref="AD1201" si="1340">AVERAGE(G1112:G1201)-_xlfn.NORM.S.INV(0.95)*_xlfn.STDEV.S(G1112:G1201)</f>
        <v>-3.9000249139654511E-2</v>
      </c>
      <c r="AE1201" s="140">
        <f t="shared" ref="AE1201" si="1341">AVERAGE(G837:G1201)-_xlfn.NORM.S.INV(0.95)*_xlfn.STDEV.S(G837:G1201)</f>
        <v>-4.8368431982559815E-2</v>
      </c>
    </row>
    <row r="1202" spans="1:31">
      <c r="A1202" s="88">
        <v>45706</v>
      </c>
      <c r="B1202" s="78">
        <v>66633264.731376797</v>
      </c>
      <c r="D1202" s="67">
        <f t="shared" ref="D1202" si="1342">B1202</f>
        <v>66633264.731376797</v>
      </c>
      <c r="E1202" s="67">
        <f t="shared" ref="E1202" si="1343">IF(MONTH(A1202)=MONTH(A1201),E1201,D1201)</f>
        <v>66302018.384809397</v>
      </c>
      <c r="F1202" s="67">
        <f t="shared" ref="F1202" si="1344">B1202-C1202-D1201</f>
        <v>16248.368138499558</v>
      </c>
      <c r="G1202" s="70">
        <f t="shared" ref="G1202" si="1345">F1202/B1201</f>
        <v>2.4390717305475124E-4</v>
      </c>
      <c r="H1202" s="67">
        <f t="shared" ref="H1202" si="1346">IF(WEEKNUM(A1202)=WEEKNUM(A1201),H1201+F1202,F1202)</f>
        <v>18153.380015298724</v>
      </c>
      <c r="I1202" s="70">
        <f t="shared" ref="I1202" si="1347">IF(WEEKNUM(A1202)=WEEKNUM(A1201),I1201+G1202,G1202)</f>
        <v>2.7250446634382463E-4</v>
      </c>
      <c r="J1202" s="67">
        <f t="shared" ref="J1202" si="1348">IF(MONTH(A1202)=MONTH(A1201),J1201+F1202,F1202)</f>
        <v>331246.3465673998</v>
      </c>
      <c r="K1202" s="70">
        <f t="shared" ref="K1202" si="1349">(1+K1201)*(1+G1202)-1</f>
        <v>4.9960220614229112E-3</v>
      </c>
      <c r="L1202" s="70">
        <f t="shared" ref="L1202" si="1350">1+G1202</f>
        <v>1.0002439071730547</v>
      </c>
      <c r="M1202" s="70">
        <f>PRODUCT($L$2:L1202)-1</f>
        <v>0.70510961779059333</v>
      </c>
      <c r="N1202" s="70">
        <f>PRODUCT($L$1169:L1202)-1</f>
        <v>6.8942313399750432E-2</v>
      </c>
      <c r="O1202" s="70">
        <f>AVERAGE($G$1169:G1202)*252</f>
        <v>0.57592471398435408</v>
      </c>
      <c r="P1202" s="70">
        <f>STDEV($G$1169:G1202)*252^0.5</f>
        <v>0.40778390266331255</v>
      </c>
      <c r="Q1202" s="67">
        <f t="shared" ref="Q1202" si="1351">B1202-C1202-D1171</f>
        <v>-1812714.4723073095</v>
      </c>
      <c r="R1202" s="70">
        <f t="shared" ref="R1202" si="1352">Q1202/B1171</f>
        <v>-2.6483870833565928E-2</v>
      </c>
      <c r="S1202" s="67">
        <f t="shared" ref="S1202" si="1353">B1202-C1202-D1113</f>
        <v>-3153550.7669457048</v>
      </c>
      <c r="T1202" s="70">
        <f t="shared" ref="T1202" si="1354">S1202/B1111</f>
        <v>-4.4063599519759751E-2</v>
      </c>
      <c r="U1202" s="67">
        <f t="shared" ref="U1202" si="1355">B1202-C1202-D838</f>
        <v>32812252.281376794</v>
      </c>
      <c r="V1202" s="70">
        <f t="shared" ref="V1202" si="1356">U1202/B836</f>
        <v>0.93700380847874831</v>
      </c>
      <c r="W1202" s="87">
        <f t="shared" ref="W1202" si="1357">O1202/P1202</f>
        <v>1.4123282214498478</v>
      </c>
      <c r="X1202" s="138">
        <f t="shared" si="656"/>
        <v>1.7857142857142857E-4</v>
      </c>
      <c r="Y1202" s="135">
        <f t="shared" ref="Y1202" si="1358">G1202-X1202</f>
        <v>6.533574448332267E-5</v>
      </c>
      <c r="Z1202" s="135">
        <f t="shared" ref="Z1202" si="1359">IF(Y1202&lt;0,Y1202,0)</f>
        <v>0</v>
      </c>
      <c r="AA1202" s="135">
        <f t="shared" ref="AA1202" si="1360">Z1202^2</f>
        <v>0</v>
      </c>
      <c r="AB1202" s="140">
        <f t="shared" ref="AB1202" si="1361">AVERAGE(Y951:Y1202)/AVERAGE(AA951:AA1202)</f>
        <v>4.1189458301085686</v>
      </c>
      <c r="AC1202" s="140">
        <f t="shared" ref="AC1202" si="1362">AVERAGE(G1173:G1202)-_xlfn.NORM.S.INV(0.95)*_xlfn.STDEV.S(G1173:G1202)</f>
        <v>-3.675737361916321E-2</v>
      </c>
      <c r="AD1202" s="140">
        <f t="shared" ref="AD1202" si="1363">AVERAGE(G1113:G1202)-_xlfn.NORM.S.INV(0.95)*_xlfn.STDEV.S(G1113:G1202)</f>
        <v>-3.9062323485727961E-2</v>
      </c>
      <c r="AE1202" s="140">
        <f t="shared" ref="AE1202" si="1364">AVERAGE(G838:G1202)-_xlfn.NORM.S.INV(0.95)*_xlfn.STDEV.S(G838:G1202)</f>
        <v>-4.8137830333182113E-2</v>
      </c>
    </row>
    <row r="1203" spans="1:31">
      <c r="A1203" s="88">
        <v>45707</v>
      </c>
      <c r="B1203" s="78">
        <v>66632430.286605299</v>
      </c>
      <c r="D1203" s="67">
        <f t="shared" ref="D1203" si="1365">B1203</f>
        <v>66632430.286605299</v>
      </c>
      <c r="E1203" s="67">
        <f t="shared" ref="E1203" si="1366">IF(MONTH(A1203)=MONTH(A1202),E1202,D1202)</f>
        <v>66302018.384809397</v>
      </c>
      <c r="F1203" s="67">
        <f t="shared" ref="F1203" si="1367">B1203-C1203-D1202</f>
        <v>-834.4447714984417</v>
      </c>
      <c r="G1203" s="70">
        <f t="shared" ref="G1203" si="1368">F1203/B1202</f>
        <v>-1.2522945931921474E-5</v>
      </c>
      <c r="H1203" s="67">
        <f t="shared" ref="H1203" si="1369">IF(WEEKNUM(A1203)=WEEKNUM(A1202),H1202+F1203,F1203)</f>
        <v>17318.935243800282</v>
      </c>
      <c r="I1203" s="70">
        <f t="shared" ref="I1203" si="1370">IF(WEEKNUM(A1203)=WEEKNUM(A1202),I1202+G1203,G1203)</f>
        <v>2.5998152041190314E-4</v>
      </c>
      <c r="J1203" s="67">
        <f t="shared" ref="J1203" si="1371">IF(MONTH(A1203)=MONTH(A1202),J1202+F1203,F1203)</f>
        <v>330411.90179590136</v>
      </c>
      <c r="K1203" s="70">
        <f t="shared" ref="K1203" si="1372">(1+K1202)*(1+G1203)-1</f>
        <v>4.9834365505767586E-3</v>
      </c>
      <c r="L1203" s="70">
        <f t="shared" ref="L1203" si="1373">1+G1203</f>
        <v>0.9999874770540681</v>
      </c>
      <c r="M1203" s="70">
        <f>PRODUCT($L$2:L1203)-1</f>
        <v>0.70508826479504183</v>
      </c>
      <c r="N1203" s="70">
        <f>PRODUCT($L$1169:L1203)-1</f>
        <v>6.8928927092955394E-2</v>
      </c>
      <c r="O1203" s="70">
        <f>AVERAGE($G$1169:G1203)*252</f>
        <v>0.55937955694551977</v>
      </c>
      <c r="P1203" s="70">
        <f>STDEV($G$1169:G1203)*252^0.5</f>
        <v>0.40178964146292756</v>
      </c>
      <c r="Q1203" s="67">
        <f t="shared" ref="Q1203" si="1374">B1203-C1203-D1172</f>
        <v>1847660.0916917995</v>
      </c>
      <c r="R1203" s="70">
        <f t="shared" ref="R1203" si="1375">Q1203/B1172</f>
        <v>2.8519976008757476E-2</v>
      </c>
      <c r="S1203" s="67">
        <f t="shared" ref="S1203" si="1376">B1203-C1203-D1114</f>
        <v>-4773001.373568505</v>
      </c>
      <c r="T1203" s="70">
        <f t="shared" ref="T1203" si="1377">S1203/B1112</f>
        <v>-6.5099842656558354E-2</v>
      </c>
      <c r="U1203" s="67">
        <f t="shared" ref="U1203" si="1378">B1203-C1203-D839</f>
        <v>32741026.946605295</v>
      </c>
      <c r="V1203" s="70">
        <f t="shared" ref="V1203" si="1379">U1203/B837</f>
        <v>0.97262911762574733</v>
      </c>
      <c r="W1203" s="87">
        <f t="shared" ref="W1203" si="1380">O1203/P1203</f>
        <v>1.392219955967015</v>
      </c>
      <c r="X1203" s="138">
        <f t="shared" si="656"/>
        <v>1.7857142857142857E-4</v>
      </c>
      <c r="Y1203" s="135">
        <f t="shared" ref="Y1203" si="1381">G1203-X1203</f>
        <v>-1.9109437450335004E-4</v>
      </c>
      <c r="Z1203" s="135">
        <f t="shared" ref="Z1203" si="1382">IF(Y1203&lt;0,Y1203,0)</f>
        <v>-1.9109437450335004E-4</v>
      </c>
      <c r="AA1203" s="135">
        <f t="shared" ref="AA1203" si="1383">Z1203^2</f>
        <v>3.6517059966826598E-8</v>
      </c>
      <c r="AB1203" s="140">
        <f t="shared" ref="AB1203" si="1384">AVERAGE(Y952:Y1203)/AVERAGE(AA952:AA1203)</f>
        <v>4.0738566309298854</v>
      </c>
      <c r="AC1203" s="140">
        <f t="shared" ref="AC1203" si="1385">AVERAGE(G1174:G1203)-_xlfn.NORM.S.INV(0.95)*_xlfn.STDEV.S(G1174:G1203)</f>
        <v>-3.6480270823592759E-2</v>
      </c>
      <c r="AD1203" s="140">
        <f t="shared" ref="AD1203" si="1386">AVERAGE(G1114:G1203)-_xlfn.NORM.S.INV(0.95)*_xlfn.STDEV.S(G1114:G1203)</f>
        <v>-3.7590698539100159E-2</v>
      </c>
      <c r="AE1203" s="140">
        <f t="shared" ref="AE1203" si="1387">AVERAGE(G839:G1203)-_xlfn.NORM.S.INV(0.95)*_xlfn.STDEV.S(G839:G1203)</f>
        <v>-4.815087189912233E-2</v>
      </c>
    </row>
    <row r="1204" spans="1:31">
      <c r="A1204" s="88">
        <v>45708</v>
      </c>
      <c r="B1204" s="78">
        <v>66647365.624395996</v>
      </c>
      <c r="D1204" s="67">
        <f t="shared" ref="D1204" si="1388">B1204</f>
        <v>66647365.624395996</v>
      </c>
      <c r="E1204" s="67">
        <f t="shared" ref="E1204" si="1389">IF(MONTH(A1204)=MONTH(A1203),E1203,D1203)</f>
        <v>66302018.384809397</v>
      </c>
      <c r="F1204" s="67">
        <f t="shared" ref="F1204" si="1390">B1204-C1204-D1203</f>
        <v>14935.337790697813</v>
      </c>
      <c r="G1204" s="70">
        <f t="shared" ref="G1204" si="1391">F1204/B1203</f>
        <v>2.2414517565180525E-4</v>
      </c>
      <c r="H1204" s="67">
        <f t="shared" ref="H1204" si="1392">IF(WEEKNUM(A1204)=WEEKNUM(A1203),H1203+F1204,F1204)</f>
        <v>32254.273034498096</v>
      </c>
      <c r="I1204" s="70">
        <f t="shared" ref="I1204" si="1393">IF(WEEKNUM(A1204)=WEEKNUM(A1203),I1203+G1204,G1204)</f>
        <v>4.8412669606370839E-4</v>
      </c>
      <c r="J1204" s="67">
        <f t="shared" ref="J1204" si="1394">IF(MONTH(A1204)=MONTH(A1203),J1203+F1204,F1204)</f>
        <v>345347.23958659917</v>
      </c>
      <c r="K1204" s="70">
        <f t="shared" ref="K1204" si="1395">(1+K1203)*(1+G1204)-1</f>
        <v>5.2086987394894813E-3</v>
      </c>
      <c r="L1204" s="70">
        <f t="shared" ref="L1204" si="1396">1+G1204</f>
        <v>1.0002241451756517</v>
      </c>
      <c r="M1204" s="70">
        <f>PRODUCT($L$2:L1204)-1</f>
        <v>0.70547045210365611</v>
      </c>
      <c r="N1204" s="70">
        <f>PRODUCT($L$1169:L1204)-1</f>
        <v>6.9168522355077755E-2</v>
      </c>
      <c r="O1204" s="70">
        <f>AVERAGE($G$1169:G1204)*252</f>
        <v>0.545410252148818</v>
      </c>
      <c r="P1204" s="70">
        <f>STDEV($G$1169:G1204)*252^0.5</f>
        <v>0.39604339051376625</v>
      </c>
      <c r="Q1204" s="67">
        <f t="shared" ref="Q1204" si="1397">B1204-C1204-D1173</f>
        <v>2268941.7570285946</v>
      </c>
      <c r="R1204" s="70">
        <f t="shared" ref="R1204" si="1398">Q1204/B1173</f>
        <v>3.5243822708413523E-2</v>
      </c>
      <c r="S1204" s="67">
        <f t="shared" ref="S1204" si="1399">B1204-C1204-D1115</f>
        <v>-6586540.0202061981</v>
      </c>
      <c r="T1204" s="70">
        <f t="shared" ref="T1204" si="1400">S1204/B1113</f>
        <v>-9.4380865112902626E-2</v>
      </c>
      <c r="U1204" s="67">
        <f t="shared" ref="U1204" si="1401">B1204-C1204-D840</f>
        <v>33581834.134396002</v>
      </c>
      <c r="V1204" s="70">
        <f t="shared" ref="V1204" si="1402">U1204/B838</f>
        <v>0.99292811485293064</v>
      </c>
      <c r="W1204" s="87">
        <f t="shared" ref="W1204" si="1403">O1204/P1204</f>
        <v>1.3771477197013338</v>
      </c>
      <c r="X1204" s="138">
        <f t="shared" si="656"/>
        <v>1.7857142857142857E-4</v>
      </c>
      <c r="Y1204" s="135">
        <f t="shared" ref="Y1204" si="1404">G1204-X1204</f>
        <v>4.557374708037668E-5</v>
      </c>
      <c r="Z1204" s="135">
        <f t="shared" ref="Z1204" si="1405">IF(Y1204&lt;0,Y1204,0)</f>
        <v>0</v>
      </c>
      <c r="AA1204" s="135">
        <f t="shared" ref="AA1204" si="1406">Z1204^2</f>
        <v>0</v>
      </c>
      <c r="AB1204" s="140">
        <f t="shared" ref="AB1204" si="1407">AVERAGE(Y953:Y1204)/AVERAGE(AA953:AA1204)</f>
        <v>3.7940652893708915</v>
      </c>
      <c r="AC1204" s="140">
        <f t="shared" ref="AC1204" si="1408">AVERAGE(G1175:G1204)-_xlfn.NORM.S.INV(0.95)*_xlfn.STDEV.S(G1175:G1204)</f>
        <v>-3.645004980154997E-2</v>
      </c>
      <c r="AD1204" s="140">
        <f t="shared" ref="AD1204" si="1409">AVERAGE(G1115:G1204)-_xlfn.NORM.S.INV(0.95)*_xlfn.STDEV.S(G1115:G1204)</f>
        <v>-3.7660232027821247E-2</v>
      </c>
      <c r="AE1204" s="140">
        <f t="shared" ref="AE1204" si="1410">AVERAGE(G840:G1204)-_xlfn.NORM.S.INV(0.95)*_xlfn.STDEV.S(G840:G1204)</f>
        <v>-4.8156322220758323E-2</v>
      </c>
    </row>
    <row r="1205" spans="1:31">
      <c r="A1205" s="88">
        <v>45852</v>
      </c>
      <c r="B1205" s="78">
        <v>20985069.079877902</v>
      </c>
      <c r="D1205" s="67">
        <f t="shared" ref="D1205" si="1411">B1205</f>
        <v>20985069.079877902</v>
      </c>
      <c r="E1205" s="67">
        <f t="shared" ref="E1205" si="1412">IF(MONTH(A1205)=MONTH(A1204),E1204,D1204)</f>
        <v>66647365.624395996</v>
      </c>
      <c r="F1205" s="67">
        <f t="shared" ref="F1205" si="1413">B1205-C1205-D1204</f>
        <v>-45662296.544518098</v>
      </c>
      <c r="G1205" s="70">
        <f t="shared" ref="G1205" si="1414">F1205/B1204</f>
        <v>-0.68513280482617611</v>
      </c>
      <c r="H1205" s="67">
        <f t="shared" ref="H1205" si="1415">IF(WEEKNUM(A1205)=WEEKNUM(A1204),H1204+F1205,F1205)</f>
        <v>-45662296.544518098</v>
      </c>
      <c r="I1205" s="70">
        <f t="shared" ref="I1205" si="1416">IF(WEEKNUM(A1205)=WEEKNUM(A1204),I1204+G1205,G1205)</f>
        <v>-0.68513280482617611</v>
      </c>
      <c r="J1205" s="67">
        <f t="shared" ref="J1205" si="1417">IF(MONTH(A1205)=MONTH(A1204),J1204+F1205,F1205)</f>
        <v>-45662296.544518098</v>
      </c>
      <c r="K1205" s="70">
        <f t="shared" ref="K1205" si="1418">(1+K1204)*(1+G1205)-1</f>
        <v>-0.68349275646356755</v>
      </c>
      <c r="L1205" s="70">
        <f t="shared" ref="L1205" si="1419">1+G1205</f>
        <v>0.31486719517382389</v>
      </c>
      <c r="M1205" s="70">
        <f>PRODUCT($L$2:L1205)-1</f>
        <v>-0.46300330229428843</v>
      </c>
      <c r="N1205" s="70">
        <f>PRODUCT($L$1169:L1205)-1</f>
        <v>-0.66335390619791479</v>
      </c>
      <c r="O1205" s="70">
        <f>AVERAGE($G$1169:G1205)*252</f>
        <v>-4.1356404794280799</v>
      </c>
      <c r="P1205" s="70">
        <f>STDEV($G$1169:G1205)*252^0.5</f>
        <v>1.8356922812527532</v>
      </c>
      <c r="Q1205" s="67">
        <f t="shared" ref="Q1205" si="1420">B1205-C1205-D1174</f>
        <v>-43355590.931272492</v>
      </c>
      <c r="R1205" s="70">
        <f t="shared" ref="R1205" si="1421">Q1205/B1174</f>
        <v>-0.67384436099596834</v>
      </c>
      <c r="S1205" s="67">
        <f t="shared" ref="S1205" si="1422">B1205-C1205-D1116</f>
        <v>-53216850.677342504</v>
      </c>
      <c r="T1205" s="70">
        <f t="shared" ref="T1205" si="1423">S1205/B1114</f>
        <v>-0.74527734711565463</v>
      </c>
      <c r="U1205" s="67">
        <f t="shared" ref="U1205" si="1424">B1205-C1205-D841</f>
        <v>-12307127.620122097</v>
      </c>
      <c r="V1205" s="70">
        <f t="shared" ref="V1205" si="1425">U1205/B839</f>
        <v>-0.36313419945041719</v>
      </c>
      <c r="W1205" s="87">
        <f t="shared" ref="W1205" si="1426">O1205/P1205</f>
        <v>-2.2529050874505754</v>
      </c>
      <c r="X1205" s="138">
        <f t="shared" si="656"/>
        <v>1.7857142857142857E-4</v>
      </c>
      <c r="Y1205" s="135">
        <f t="shared" ref="Y1205" si="1427">G1205-X1205</f>
        <v>-0.68531137625474758</v>
      </c>
      <c r="Z1205" s="135">
        <f t="shared" ref="Z1205" si="1428">IF(Y1205&lt;0,Y1205,0)</f>
        <v>-0.68531137625474758</v>
      </c>
      <c r="AA1205" s="135">
        <f t="shared" ref="AA1205" si="1429">Z1205^2</f>
        <v>0.46965168242417621</v>
      </c>
      <c r="AB1205" s="140">
        <f t="shared" ref="AB1205" si="1430">AVERAGE(Y954:Y1205)/AVERAGE(AA954:AA1205)</f>
        <v>-0.33076595113567248</v>
      </c>
      <c r="AC1205" s="140">
        <f t="shared" ref="AC1205" si="1431">AVERAGE(G1176:G1205)-_xlfn.NORM.S.INV(0.95)*_xlfn.STDEV.S(G1176:G1205)</f>
        <v>-0.22973361726911723</v>
      </c>
      <c r="AD1205" s="140">
        <f t="shared" ref="AD1205" si="1432">AVERAGE(G1116:G1205)-_xlfn.NORM.S.INV(0.95)*_xlfn.STDEV.S(G1116:G1205)</f>
        <v>-0.13175214589331621</v>
      </c>
      <c r="AE1205" s="140">
        <f t="shared" ref="AE1205" si="1433">AVERAGE(G841:G1205)-_xlfn.NORM.S.INV(0.95)*_xlfn.STDEV.S(G841:G1205)</f>
        <v>-7.7202934204495421E-2</v>
      </c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38"/>
      <c r="Y1206" s="135"/>
      <c r="Z1206" s="135"/>
      <c r="AA1206" s="135"/>
      <c r="AB1206" s="140"/>
      <c r="AC1206" s="140"/>
      <c r="AD1206" s="140"/>
      <c r="AE1206" s="140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38"/>
      <c r="Y1207" s="135"/>
      <c r="Z1207" s="135"/>
      <c r="AA1207" s="135"/>
      <c r="AB1207" s="140"/>
      <c r="AC1207" s="140"/>
      <c r="AD1207" s="140"/>
      <c r="AE1207" s="140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38"/>
      <c r="Y1208" s="135"/>
      <c r="Z1208" s="135"/>
      <c r="AA1208" s="135"/>
      <c r="AB1208" s="140"/>
      <c r="AC1208" s="140"/>
      <c r="AD1208" s="140"/>
      <c r="AE1208" s="140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38"/>
      <c r="Y1209" s="135"/>
      <c r="Z1209" s="135"/>
      <c r="AA1209" s="135"/>
      <c r="AB1209" s="140"/>
      <c r="AC1209" s="140"/>
      <c r="AD1209" s="140"/>
      <c r="AE1209" s="140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38"/>
      <c r="Y1210" s="135"/>
      <c r="Z1210" s="135"/>
      <c r="AA1210" s="135"/>
      <c r="AB1210" s="140"/>
      <c r="AC1210" s="140"/>
      <c r="AD1210" s="140"/>
      <c r="AE1210" s="140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38"/>
      <c r="Y1211" s="135"/>
      <c r="Z1211" s="135"/>
      <c r="AA1211" s="135"/>
      <c r="AB1211" s="140"/>
      <c r="AC1211" s="140"/>
      <c r="AD1211" s="140"/>
      <c r="AE1211" s="140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38"/>
      <c r="Y1212" s="135"/>
      <c r="Z1212" s="135"/>
      <c r="AA1212" s="135"/>
      <c r="AB1212" s="140"/>
      <c r="AC1212" s="140"/>
      <c r="AD1212" s="140"/>
      <c r="AE1212" s="140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38"/>
      <c r="Y1213" s="135"/>
      <c r="Z1213" s="135"/>
      <c r="AA1213" s="135"/>
      <c r="AB1213" s="140"/>
      <c r="AC1213" s="140"/>
      <c r="AD1213" s="140"/>
      <c r="AE1213" s="140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38"/>
      <c r="Y1214" s="135"/>
      <c r="Z1214" s="135"/>
      <c r="AA1214" s="135"/>
      <c r="AB1214" s="140"/>
      <c r="AC1214" s="140"/>
      <c r="AD1214" s="140"/>
      <c r="AE1214" s="140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38"/>
      <c r="Y1215" s="135"/>
      <c r="Z1215" s="135"/>
      <c r="AA1215" s="135"/>
      <c r="AB1215" s="140"/>
      <c r="AC1215" s="140"/>
      <c r="AD1215" s="140"/>
      <c r="AE1215" s="140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38"/>
      <c r="Y1216" s="135"/>
      <c r="Z1216" s="135"/>
      <c r="AA1216" s="135"/>
      <c r="AB1216" s="140"/>
      <c r="AC1216" s="140"/>
      <c r="AD1216" s="140"/>
      <c r="AE1216" s="140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38"/>
      <c r="Y1217" s="135"/>
      <c r="Z1217" s="135"/>
      <c r="AA1217" s="135"/>
      <c r="AB1217" s="140"/>
      <c r="AC1217" s="140"/>
      <c r="AD1217" s="140"/>
      <c r="AE1217" s="140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38"/>
      <c r="Y1218" s="135"/>
      <c r="Z1218" s="135"/>
      <c r="AA1218" s="135"/>
      <c r="AB1218" s="140"/>
      <c r="AC1218" s="140"/>
      <c r="AD1218" s="140"/>
      <c r="AE1218" s="140"/>
    </row>
    <row r="1219" spans="1:31">
      <c r="A1219" s="88"/>
      <c r="B1219" s="7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38"/>
      <c r="Y1219" s="135"/>
      <c r="Z1219" s="135"/>
      <c r="AA1219" s="135"/>
      <c r="AB1219" s="140"/>
      <c r="AC1219" s="140"/>
      <c r="AD1219" s="140"/>
      <c r="AE1219" s="140"/>
    </row>
    <row r="1220" spans="1:31">
      <c r="A1220" s="88"/>
      <c r="B1220" s="7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38"/>
      <c r="Y1220" s="135"/>
      <c r="Z1220" s="135"/>
      <c r="AA1220" s="135"/>
      <c r="AB1220" s="140"/>
      <c r="AC1220" s="140"/>
      <c r="AD1220" s="140"/>
      <c r="AE1220" s="140"/>
    </row>
    <row r="1221" spans="1:31">
      <c r="A1221" s="88"/>
      <c r="B1221" s="78"/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38"/>
      <c r="Y1221" s="135"/>
      <c r="Z1221" s="135"/>
      <c r="AA1221" s="135"/>
      <c r="AB1221" s="140"/>
      <c r="AC1221" s="140"/>
      <c r="AD1221" s="140"/>
      <c r="AE1221" s="140"/>
    </row>
    <row r="1222" spans="1:31">
      <c r="A1222" s="88"/>
      <c r="B1222" s="78"/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38"/>
      <c r="Y1222" s="135"/>
      <c r="Z1222" s="135"/>
      <c r="AA1222" s="135"/>
      <c r="AB1222" s="140"/>
      <c r="AC1222" s="140"/>
      <c r="AD1222" s="140"/>
      <c r="AE1222" s="140"/>
    </row>
    <row r="1223" spans="1:31">
      <c r="A1223" s="88"/>
      <c r="B1223" s="78"/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38"/>
      <c r="Y1223" s="135"/>
      <c r="Z1223" s="135"/>
      <c r="AA1223" s="135"/>
      <c r="AB1223" s="140"/>
      <c r="AC1223" s="140"/>
      <c r="AD1223" s="140"/>
      <c r="AE1223" s="140"/>
    </row>
    <row r="1224" spans="1:31">
      <c r="A1224" s="88"/>
      <c r="B1224" s="78"/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38"/>
      <c r="Y1224" s="135"/>
      <c r="Z1224" s="135"/>
      <c r="AA1224" s="135"/>
      <c r="AB1224" s="140"/>
      <c r="AC1224" s="140"/>
      <c r="AD1224" s="140"/>
      <c r="AE1224" s="140"/>
    </row>
    <row r="1225" spans="1:31">
      <c r="A1225" s="88"/>
      <c r="B1225" s="78"/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38"/>
      <c r="Y1225" s="135"/>
      <c r="Z1225" s="135"/>
      <c r="AA1225" s="135"/>
      <c r="AB1225" s="140"/>
      <c r="AC1225" s="140"/>
      <c r="AD1225" s="140"/>
      <c r="AE1225" s="140"/>
    </row>
    <row r="1226" spans="1:31">
      <c r="A1226" s="88"/>
      <c r="B1226" s="78"/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38"/>
      <c r="Y1226" s="135"/>
      <c r="Z1226" s="135"/>
      <c r="AA1226" s="135"/>
      <c r="AB1226" s="140"/>
      <c r="AC1226" s="140"/>
      <c r="AD1226" s="140"/>
      <c r="AE1226" s="140"/>
    </row>
    <row r="1227" spans="1:31">
      <c r="A1227" s="88"/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38"/>
      <c r="Y1227" s="135"/>
      <c r="Z1227" s="135"/>
      <c r="AA1227" s="135"/>
      <c r="AB1227" s="140"/>
      <c r="AC1227" s="140"/>
      <c r="AD1227" s="140"/>
      <c r="AE1227" s="140"/>
    </row>
    <row r="1228" spans="1:31">
      <c r="A1228" s="88"/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38"/>
      <c r="Y1228" s="135"/>
      <c r="Z1228" s="135"/>
      <c r="AA1228" s="135"/>
      <c r="AB1228" s="140"/>
      <c r="AC1228" s="140"/>
      <c r="AD1228" s="140"/>
      <c r="AE1228" s="140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38"/>
      <c r="Y1229" s="135"/>
      <c r="Z1229" s="135"/>
      <c r="AA1229" s="135"/>
      <c r="AB1229" s="140"/>
      <c r="AC1229" s="140"/>
      <c r="AD1229" s="140"/>
      <c r="AE1229" s="140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38"/>
      <c r="Y1230" s="135"/>
      <c r="Z1230" s="135"/>
      <c r="AA1230" s="135"/>
      <c r="AB1230" s="140"/>
      <c r="AC1230" s="140"/>
      <c r="AD1230" s="140"/>
      <c r="AE1230" s="140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38"/>
      <c r="Y1231" s="135"/>
      <c r="Z1231" s="135"/>
      <c r="AA1231" s="135"/>
      <c r="AB1231" s="140"/>
      <c r="AC1231" s="140"/>
      <c r="AD1231" s="140"/>
      <c r="AE1231" s="140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38"/>
      <c r="Y1232" s="135"/>
      <c r="Z1232" s="135"/>
      <c r="AA1232" s="135"/>
      <c r="AB1232" s="140"/>
      <c r="AC1232" s="140"/>
      <c r="AD1232" s="140"/>
      <c r="AE1232" s="140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38"/>
      <c r="Y1233" s="135"/>
      <c r="Z1233" s="135"/>
      <c r="AA1233" s="135"/>
      <c r="AB1233" s="140"/>
      <c r="AC1233" s="140"/>
      <c r="AD1233" s="140"/>
      <c r="AE1233" s="140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38"/>
      <c r="Y1234" s="135"/>
      <c r="Z1234" s="135"/>
      <c r="AA1234" s="135"/>
      <c r="AB1234" s="140"/>
      <c r="AC1234" s="140"/>
      <c r="AD1234" s="140"/>
      <c r="AE1234" s="140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38"/>
      <c r="Y1235" s="135"/>
      <c r="Z1235" s="135"/>
      <c r="AA1235" s="135"/>
      <c r="AB1235" s="140"/>
      <c r="AC1235" s="140"/>
      <c r="AD1235" s="140"/>
      <c r="AE1235" s="140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38"/>
      <c r="Y1236" s="135"/>
      <c r="Z1236" s="135"/>
      <c r="AA1236" s="135"/>
      <c r="AB1236" s="140"/>
      <c r="AC1236" s="140"/>
      <c r="AD1236" s="140"/>
      <c r="AE1236" s="140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38"/>
      <c r="Y1237" s="135"/>
      <c r="Z1237" s="135"/>
      <c r="AA1237" s="135"/>
      <c r="AB1237" s="140"/>
      <c r="AC1237" s="140"/>
      <c r="AD1237" s="140"/>
      <c r="AE1237" s="140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38"/>
      <c r="Y1238" s="135"/>
      <c r="Z1238" s="135"/>
      <c r="AA1238" s="135"/>
      <c r="AB1238" s="140"/>
      <c r="AC1238" s="140"/>
      <c r="AD1238" s="140"/>
      <c r="AE1238" s="140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38"/>
      <c r="Y1239" s="135"/>
      <c r="Z1239" s="135"/>
      <c r="AA1239" s="135"/>
      <c r="AB1239" s="140"/>
      <c r="AC1239" s="140"/>
      <c r="AD1239" s="140"/>
      <c r="AE1239" s="140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38"/>
      <c r="Y1240" s="135"/>
      <c r="Z1240" s="135"/>
      <c r="AA1240" s="135"/>
      <c r="AB1240" s="140"/>
      <c r="AC1240" s="140"/>
      <c r="AD1240" s="140"/>
      <c r="AE1240" s="140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38"/>
      <c r="Y1241" s="135"/>
      <c r="Z1241" s="135"/>
      <c r="AA1241" s="135"/>
      <c r="AB1241" s="140"/>
      <c r="AC1241" s="140"/>
      <c r="AD1241" s="140"/>
      <c r="AE1241" s="140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38"/>
      <c r="Y1242" s="135"/>
      <c r="Z1242" s="135"/>
      <c r="AA1242" s="135"/>
      <c r="AB1242" s="140"/>
      <c r="AC1242" s="140"/>
      <c r="AD1242" s="140"/>
      <c r="AE1242" s="140"/>
    </row>
    <row r="1243" spans="4:31">
      <c r="D1243" s="67"/>
      <c r="E1243" s="67"/>
      <c r="F1243" s="67"/>
      <c r="G1243" s="70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38"/>
      <c r="Y1243" s="135"/>
      <c r="Z1243" s="135"/>
      <c r="AA1243" s="135"/>
      <c r="AB1243" s="140"/>
      <c r="AC1243" s="140"/>
      <c r="AD1243" s="140"/>
      <c r="AE1243" s="140"/>
    </row>
    <row r="1244" spans="4:31">
      <c r="D1244" s="67"/>
      <c r="E1244" s="67"/>
      <c r="F1244" s="67"/>
      <c r="G1244" s="70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38"/>
      <c r="Y1244" s="135"/>
      <c r="Z1244" s="135"/>
      <c r="AA1244" s="135"/>
      <c r="AB1244" s="140"/>
      <c r="AC1244" s="140"/>
      <c r="AD1244" s="140"/>
      <c r="AE1244" s="140"/>
    </row>
    <row r="1245" spans="4:31">
      <c r="D1245" s="67"/>
      <c r="E1245" s="67"/>
      <c r="F1245" s="67"/>
      <c r="G1245" s="70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38"/>
      <c r="Y1245" s="135"/>
      <c r="Z1245" s="135"/>
      <c r="AA1245" s="135"/>
      <c r="AB1245" s="140"/>
      <c r="AC1245" s="140"/>
      <c r="AD1245" s="140"/>
      <c r="AE1245" s="140"/>
    </row>
    <row r="1246" spans="4:31">
      <c r="D1246" s="67"/>
      <c r="E1246" s="67"/>
      <c r="F1246" s="67"/>
      <c r="G1246" s="70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38"/>
      <c r="Y1246" s="135"/>
      <c r="Z1246" s="135"/>
      <c r="AA1246" s="135"/>
      <c r="AB1246" s="140"/>
      <c r="AC1246" s="140"/>
      <c r="AD1246" s="140"/>
      <c r="AE1246" s="140"/>
    </row>
    <row r="1247" spans="4:31">
      <c r="D1247" s="67"/>
      <c r="E1247" s="67"/>
      <c r="F1247" s="67"/>
      <c r="G1247" s="70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38"/>
      <c r="Y1247" s="135"/>
      <c r="Z1247" s="135"/>
      <c r="AA1247" s="135"/>
      <c r="AB1247" s="140"/>
      <c r="AC1247" s="140"/>
      <c r="AD1247" s="140"/>
      <c r="AE1247" s="140"/>
    </row>
    <row r="1248" spans="4:31">
      <c r="D1248" s="67"/>
      <c r="E1248" s="67"/>
      <c r="F1248" s="67"/>
      <c r="G1248" s="70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38"/>
      <c r="Y1248" s="135"/>
      <c r="Z1248" s="135"/>
      <c r="AA1248" s="135"/>
      <c r="AB1248" s="140"/>
      <c r="AC1248" s="140"/>
      <c r="AD1248" s="140"/>
      <c r="AE1248" s="140"/>
    </row>
    <row r="1249" spans="4:31">
      <c r="D1249" s="67"/>
      <c r="E1249" s="67"/>
      <c r="F1249" s="67"/>
      <c r="G1249" s="70"/>
      <c r="H1249" s="67"/>
      <c r="I1249" s="70"/>
      <c r="J1249" s="67"/>
      <c r="K1249" s="70"/>
      <c r="L1249" s="70"/>
      <c r="M1249" s="70"/>
      <c r="N1249" s="70"/>
      <c r="O1249" s="70"/>
      <c r="P1249" s="70"/>
      <c r="Q1249" s="67"/>
      <c r="R1249" s="70"/>
      <c r="S1249" s="67"/>
      <c r="T1249" s="70"/>
      <c r="U1249" s="67"/>
      <c r="V1249" s="70"/>
      <c r="W1249" s="87"/>
      <c r="X1249" s="138"/>
      <c r="Y1249" s="135"/>
      <c r="Z1249" s="135"/>
      <c r="AA1249" s="135"/>
      <c r="AB1249" s="140"/>
      <c r="AC1249" s="140"/>
      <c r="AD1249" s="140"/>
      <c r="AE1249" s="140"/>
    </row>
    <row r="1250" spans="4:31">
      <c r="D1250" s="67"/>
      <c r="E1250" s="67"/>
      <c r="F1250" s="67"/>
      <c r="G1250" s="70"/>
      <c r="H1250" s="67"/>
      <c r="I1250" s="70"/>
      <c r="J1250" s="67"/>
      <c r="K1250" s="70"/>
      <c r="L1250" s="70"/>
      <c r="M1250" s="70"/>
      <c r="N1250" s="70"/>
      <c r="O1250" s="70"/>
      <c r="P1250" s="70"/>
      <c r="Q1250" s="67"/>
      <c r="R1250" s="70"/>
      <c r="S1250" s="67"/>
      <c r="T1250" s="70"/>
      <c r="U1250" s="67"/>
      <c r="V1250" s="70"/>
      <c r="W1250" s="87"/>
      <c r="X1250" s="138"/>
      <c r="Y1250" s="135"/>
      <c r="Z1250" s="135"/>
      <c r="AA1250" s="135"/>
      <c r="AB1250" s="140"/>
      <c r="AC1250" s="14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pane="bottomLeft" activeCell="B37" sqref="B37"/>
      <selection activeCell="B1099" sqref="B1099"/>
    </sheetView>
  </sheetViews>
  <sheetFormatPr defaultColWidth="9.140625" defaultRowHeight="14.45"/>
  <cols>
    <col min="1" max="1" width="20.7109375" style="218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46" bestFit="1" customWidth="1"/>
    <col min="8" max="8" width="20.7109375" style="304" customWidth="1"/>
    <col min="9" max="9" width="20.7109375" style="145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45">
      <c r="A1" s="264" t="s">
        <v>78</v>
      </c>
      <c r="B1" s="94"/>
      <c r="C1" s="94"/>
      <c r="D1" s="94"/>
      <c r="E1" s="94"/>
      <c r="F1" s="94"/>
      <c r="G1" s="95"/>
      <c r="H1" s="311"/>
      <c r="I1" s="93"/>
    </row>
    <row r="2" spans="1:11" s="91" customFormat="1">
      <c r="A2" s="216" t="s">
        <v>79</v>
      </c>
      <c r="B2" s="97" t="s">
        <v>80</v>
      </c>
      <c r="C2" s="97" t="s">
        <v>81</v>
      </c>
      <c r="D2" s="97" t="s">
        <v>82</v>
      </c>
      <c r="E2" s="97" t="s">
        <v>83</v>
      </c>
      <c r="F2" s="97" t="s">
        <v>84</v>
      </c>
      <c r="G2" s="96" t="s">
        <v>85</v>
      </c>
      <c r="H2" s="302" t="s">
        <v>86</v>
      </c>
      <c r="I2" s="312" t="s">
        <v>87</v>
      </c>
    </row>
    <row r="3" spans="1:11">
      <c r="A3" s="217" t="s">
        <v>88</v>
      </c>
      <c r="B3" s="149" t="s">
        <v>28</v>
      </c>
      <c r="C3" s="149" t="s">
        <v>89</v>
      </c>
      <c r="D3" s="149">
        <v>207975</v>
      </c>
      <c r="E3" s="149">
        <v>100.51</v>
      </c>
      <c r="F3" s="149">
        <v>20903567.25</v>
      </c>
      <c r="G3" s="149">
        <v>1</v>
      </c>
      <c r="H3" s="149">
        <v>20903567.25</v>
      </c>
      <c r="I3" s="214">
        <v>100</v>
      </c>
      <c r="J3"/>
      <c r="K3"/>
    </row>
    <row r="4" spans="1:11">
      <c r="A4" s="217"/>
      <c r="B4" s="149"/>
      <c r="C4" s="149"/>
      <c r="D4" s="149"/>
      <c r="E4" s="149"/>
      <c r="F4" s="149"/>
      <c r="G4" s="149"/>
      <c r="H4" s="149"/>
      <c r="I4" s="214"/>
      <c r="J4"/>
      <c r="K4"/>
    </row>
    <row r="5" spans="1:11">
      <c r="A5" s="217"/>
      <c r="B5" s="149"/>
      <c r="C5" s="149"/>
      <c r="D5" s="149"/>
      <c r="E5" s="149"/>
      <c r="F5" s="149"/>
      <c r="G5" s="149"/>
      <c r="H5" s="149"/>
      <c r="I5" s="214"/>
      <c r="J5"/>
      <c r="K5"/>
    </row>
    <row r="6" spans="1:11">
      <c r="A6" s="217"/>
      <c r="B6" s="149"/>
      <c r="C6" s="149"/>
      <c r="D6" s="149"/>
      <c r="E6" s="149"/>
      <c r="F6" s="149"/>
      <c r="G6" s="149"/>
      <c r="H6" s="149"/>
      <c r="I6" s="214"/>
      <c r="J6"/>
      <c r="K6"/>
    </row>
    <row r="7" spans="1:11">
      <c r="A7" s="217"/>
      <c r="B7" s="149"/>
      <c r="C7" s="149"/>
      <c r="D7" s="149"/>
      <c r="E7" s="149"/>
      <c r="F7" s="149"/>
      <c r="G7" s="149"/>
      <c r="H7" s="149"/>
      <c r="I7" s="214"/>
      <c r="J7"/>
      <c r="K7"/>
    </row>
    <row r="8" spans="1:11">
      <c r="A8" s="217"/>
      <c r="B8" s="149"/>
      <c r="C8" s="149"/>
      <c r="D8" s="149"/>
      <c r="E8" s="149"/>
      <c r="F8" s="149"/>
      <c r="G8" s="149"/>
      <c r="H8" s="149"/>
      <c r="I8" s="214"/>
      <c r="J8"/>
      <c r="K8"/>
    </row>
    <row r="9" spans="1:11">
      <c r="A9" s="217"/>
      <c r="B9" s="149"/>
      <c r="C9" s="149"/>
      <c r="D9" s="149"/>
      <c r="E9" s="149"/>
      <c r="F9" s="149"/>
      <c r="G9" s="149"/>
      <c r="H9" s="149"/>
      <c r="I9" s="214"/>
      <c r="J9"/>
      <c r="K9"/>
    </row>
    <row r="10" spans="1:11">
      <c r="A10" s="217"/>
      <c r="B10" s="149"/>
      <c r="C10" s="149"/>
      <c r="D10" s="149"/>
      <c r="E10" s="149"/>
      <c r="F10" s="149"/>
      <c r="G10" s="149"/>
      <c r="H10" s="149"/>
      <c r="I10" s="214"/>
      <c r="J10"/>
      <c r="K10"/>
    </row>
    <row r="11" spans="1:11">
      <c r="A11" s="217"/>
      <c r="B11" s="149"/>
      <c r="C11" s="149"/>
      <c r="D11" s="149"/>
      <c r="E11" s="149"/>
      <c r="F11" s="149"/>
      <c r="G11" s="149"/>
      <c r="H11" s="149"/>
      <c r="I11" s="214"/>
      <c r="J11"/>
      <c r="K11"/>
    </row>
    <row r="12" spans="1:11">
      <c r="A12" s="217"/>
      <c r="B12" s="149"/>
      <c r="C12" s="149"/>
      <c r="D12" s="149"/>
      <c r="E12" s="149"/>
      <c r="F12" s="149"/>
      <c r="G12" s="149"/>
      <c r="H12" s="149"/>
      <c r="I12" s="214"/>
      <c r="J12"/>
      <c r="K12"/>
    </row>
    <row r="13" spans="1:11">
      <c r="A13" s="217"/>
      <c r="B13" s="149"/>
      <c r="C13" s="149"/>
      <c r="D13" s="149"/>
      <c r="E13" s="149"/>
      <c r="F13" s="149"/>
      <c r="G13" s="149"/>
      <c r="H13" s="149"/>
      <c r="I13" s="214"/>
      <c r="J13"/>
      <c r="K13"/>
    </row>
    <row r="14" spans="1:11">
      <c r="A14" s="217"/>
      <c r="B14" s="149"/>
      <c r="C14" s="149"/>
      <c r="D14" s="149"/>
      <c r="E14" s="149"/>
      <c r="F14" s="149"/>
      <c r="G14" s="149"/>
      <c r="H14" s="149"/>
      <c r="I14" s="214"/>
      <c r="J14"/>
      <c r="K14"/>
    </row>
    <row r="15" spans="1:11">
      <c r="A15" s="217"/>
      <c r="B15" s="149"/>
      <c r="C15" s="149"/>
      <c r="D15" s="149"/>
      <c r="E15" s="149"/>
      <c r="F15" s="149"/>
      <c r="G15" s="149"/>
      <c r="H15" s="149"/>
      <c r="I15" s="214"/>
      <c r="J15"/>
      <c r="K15"/>
    </row>
    <row r="16" spans="1:11">
      <c r="A16" s="217"/>
      <c r="B16" s="149"/>
      <c r="C16" s="149"/>
      <c r="D16" s="149"/>
      <c r="E16" s="149"/>
      <c r="F16" s="149"/>
      <c r="G16" s="149"/>
      <c r="H16" s="149"/>
      <c r="I16" s="214"/>
      <c r="J16"/>
      <c r="K16"/>
    </row>
    <row r="17" spans="1:11">
      <c r="A17" s="217"/>
      <c r="B17" s="149"/>
      <c r="C17" s="149"/>
      <c r="D17" s="149"/>
      <c r="E17" s="149"/>
      <c r="F17" s="149"/>
      <c r="G17" s="149"/>
      <c r="H17" s="149"/>
      <c r="I17" s="214"/>
      <c r="J17"/>
      <c r="K17"/>
    </row>
    <row r="18" spans="1:11">
      <c r="A18" s="217"/>
      <c r="B18" s="149"/>
      <c r="C18" s="149"/>
      <c r="D18" s="149"/>
      <c r="E18" s="149"/>
      <c r="F18" s="149"/>
      <c r="G18" s="149"/>
      <c r="H18" s="149"/>
      <c r="I18" s="214"/>
      <c r="J18"/>
      <c r="K18"/>
    </row>
    <row r="19" spans="1:11">
      <c r="A19" s="217"/>
      <c r="B19" s="149"/>
      <c r="C19" s="149"/>
      <c r="D19" s="149"/>
      <c r="E19" s="149"/>
      <c r="F19" s="149"/>
      <c r="G19" s="149"/>
      <c r="H19" s="149"/>
      <c r="I19" s="214"/>
      <c r="J19"/>
      <c r="K19"/>
    </row>
    <row r="20" spans="1:11">
      <c r="A20" s="217"/>
      <c r="B20" s="149"/>
      <c r="C20" s="149"/>
      <c r="D20" s="149"/>
      <c r="E20" s="149"/>
      <c r="F20" s="149"/>
      <c r="G20" s="149"/>
      <c r="H20" s="149"/>
      <c r="I20" s="214"/>
      <c r="J20"/>
      <c r="K20"/>
    </row>
    <row r="21" spans="1:11">
      <c r="A21" s="217"/>
      <c r="B21" s="149"/>
      <c r="C21" s="149"/>
      <c r="D21" s="149"/>
      <c r="E21" s="149"/>
      <c r="F21" s="149"/>
      <c r="G21" s="149"/>
      <c r="H21" s="149"/>
      <c r="I21" s="214"/>
      <c r="J21"/>
      <c r="K21"/>
    </row>
    <row r="22" spans="1:11">
      <c r="A22" s="217"/>
      <c r="B22" s="149"/>
      <c r="C22" s="149"/>
      <c r="D22" s="149"/>
      <c r="E22" s="149"/>
      <c r="F22" s="149"/>
      <c r="G22" s="149"/>
      <c r="H22" s="149"/>
      <c r="I22" s="214"/>
      <c r="J22"/>
      <c r="K22"/>
    </row>
    <row r="23" spans="1:11">
      <c r="A23" s="217"/>
      <c r="B23" s="149"/>
      <c r="C23" s="149"/>
      <c r="D23" s="149"/>
      <c r="E23" s="149"/>
      <c r="F23" s="149"/>
      <c r="G23" s="149"/>
      <c r="H23" s="149"/>
      <c r="I23" s="214"/>
      <c r="J23"/>
      <c r="K23"/>
    </row>
    <row r="24" spans="1:11">
      <c r="A24" s="217"/>
      <c r="B24" s="149"/>
      <c r="C24" s="149"/>
      <c r="D24" s="149"/>
      <c r="E24" s="149"/>
      <c r="F24" s="149"/>
      <c r="G24" s="149"/>
      <c r="H24" s="149"/>
      <c r="I24" s="214"/>
      <c r="J24"/>
      <c r="K24"/>
    </row>
    <row r="25" spans="1:11">
      <c r="A25" s="217"/>
      <c r="B25" s="149"/>
      <c r="C25" s="149"/>
      <c r="D25" s="149"/>
      <c r="E25" s="149"/>
      <c r="F25" s="149"/>
      <c r="G25" s="149"/>
      <c r="H25" s="149"/>
      <c r="I25" s="214"/>
      <c r="J25"/>
      <c r="K25"/>
    </row>
    <row r="26" spans="1:11">
      <c r="A26" s="217"/>
      <c r="B26" s="149"/>
      <c r="C26" s="149"/>
      <c r="D26" s="149"/>
      <c r="E26" s="149"/>
      <c r="F26" s="149"/>
      <c r="G26" s="149"/>
      <c r="H26" s="149"/>
      <c r="I26" s="214"/>
      <c r="J26"/>
      <c r="K26" s="149"/>
    </row>
    <row r="27" spans="1:11">
      <c r="A27" s="217"/>
      <c r="B27" s="149"/>
      <c r="C27" s="149"/>
      <c r="D27" s="149"/>
      <c r="E27" s="149"/>
      <c r="F27" s="149"/>
      <c r="G27" s="149"/>
      <c r="H27" s="149"/>
      <c r="I27" s="214"/>
      <c r="J27"/>
      <c r="K27"/>
    </row>
    <row r="28" spans="1:11">
      <c r="A28" s="217"/>
      <c r="B28" s="149"/>
      <c r="C28" s="149"/>
      <c r="D28" s="149"/>
      <c r="E28" s="149"/>
      <c r="F28" s="149"/>
      <c r="G28" s="149"/>
      <c r="H28" s="149"/>
      <c r="I28" s="214"/>
      <c r="J28"/>
      <c r="K28"/>
    </row>
    <row r="29" spans="1:11">
      <c r="A29" s="217"/>
      <c r="B29" s="149"/>
      <c r="C29" s="149"/>
      <c r="D29" s="149"/>
      <c r="E29" s="149"/>
      <c r="F29" s="149"/>
      <c r="G29" s="149"/>
      <c r="H29" s="149"/>
      <c r="I29" s="214"/>
      <c r="J29"/>
      <c r="K29"/>
    </row>
    <row r="30" spans="1:11">
      <c r="A30" s="217"/>
      <c r="B30" s="149"/>
      <c r="C30" s="149"/>
      <c r="D30" s="149"/>
      <c r="E30" s="149"/>
      <c r="F30" s="149"/>
      <c r="G30" s="149"/>
      <c r="H30" s="149"/>
      <c r="I30" s="214"/>
      <c r="J30"/>
      <c r="K30"/>
    </row>
    <row r="31" spans="1:11">
      <c r="A31" s="217"/>
      <c r="B31" s="149"/>
      <c r="C31" s="149"/>
      <c r="D31" s="149"/>
      <c r="E31" s="149"/>
      <c r="F31" s="149"/>
      <c r="G31" s="149"/>
      <c r="H31" s="149"/>
      <c r="I31" s="214"/>
      <c r="J31"/>
      <c r="K31"/>
    </row>
    <row r="32" spans="1:11">
      <c r="A32" s="217"/>
      <c r="B32" s="149"/>
      <c r="C32" s="149"/>
      <c r="D32" s="149"/>
      <c r="E32" s="149"/>
      <c r="F32" s="149"/>
      <c r="G32" s="149"/>
      <c r="H32" s="149"/>
      <c r="I32" s="214"/>
      <c r="J32"/>
      <c r="K32"/>
    </row>
    <row r="33" spans="1:11">
      <c r="A33" s="217"/>
      <c r="B33" s="149"/>
      <c r="C33" s="149"/>
      <c r="D33" s="149"/>
      <c r="E33" s="149"/>
      <c r="F33" s="149"/>
      <c r="G33" s="149"/>
      <c r="H33" s="149"/>
      <c r="I33" s="214"/>
      <c r="J33"/>
      <c r="K33"/>
    </row>
    <row r="34" spans="1:11">
      <c r="A34" s="217"/>
      <c r="B34" s="149"/>
      <c r="C34" s="149"/>
      <c r="D34" s="149"/>
      <c r="E34" s="149"/>
      <c r="F34" s="149"/>
      <c r="G34" s="149"/>
      <c r="H34" s="149"/>
      <c r="I34" s="214"/>
      <c r="J34"/>
      <c r="K34"/>
    </row>
    <row r="35" spans="1:11">
      <c r="A35" s="217"/>
      <c r="B35" s="149"/>
      <c r="C35" s="149"/>
      <c r="D35" s="149"/>
      <c r="E35" s="149"/>
      <c r="F35" s="149"/>
      <c r="G35" s="149"/>
      <c r="H35" s="149"/>
      <c r="I35" s="214"/>
      <c r="J35"/>
      <c r="K35"/>
    </row>
    <row r="36" spans="1:11">
      <c r="A36" s="217"/>
      <c r="B36" s="149"/>
      <c r="C36" s="149"/>
      <c r="D36" s="149"/>
      <c r="E36" s="149"/>
      <c r="F36" s="149"/>
      <c r="G36" s="149"/>
      <c r="H36" s="149"/>
      <c r="I36" s="214"/>
      <c r="J36"/>
      <c r="K36"/>
    </row>
    <row r="37" spans="1:11">
      <c r="A37" s="217"/>
      <c r="B37" s="149"/>
      <c r="C37" s="149"/>
      <c r="D37" s="149"/>
      <c r="E37" s="149"/>
      <c r="F37" s="149"/>
      <c r="G37" s="149"/>
      <c r="H37" s="149"/>
      <c r="I37" s="214"/>
      <c r="J37"/>
      <c r="K37"/>
    </row>
    <row r="38" spans="1:11">
      <c r="A38" s="217"/>
      <c r="B38" s="149"/>
      <c r="C38" s="149"/>
      <c r="D38" s="149"/>
      <c r="E38" s="149"/>
      <c r="F38" s="149"/>
      <c r="G38" s="149"/>
      <c r="H38" s="149"/>
      <c r="I38" s="214"/>
      <c r="J38"/>
      <c r="K38"/>
    </row>
    <row r="39" spans="1:11">
      <c r="A39" s="217"/>
      <c r="B39" s="149"/>
      <c r="C39" s="149"/>
      <c r="D39" s="149"/>
      <c r="E39" s="149"/>
      <c r="F39" s="149"/>
      <c r="G39" s="149"/>
      <c r="H39" s="303"/>
      <c r="I39" s="214"/>
      <c r="J39"/>
      <c r="K39"/>
    </row>
    <row r="40" spans="1:11">
      <c r="A40" s="217"/>
      <c r="B40" s="149"/>
      <c r="C40" s="149"/>
      <c r="D40" s="149"/>
      <c r="E40" s="149"/>
      <c r="F40" s="149"/>
      <c r="G40" s="149"/>
      <c r="H40" s="149"/>
      <c r="I40" s="214"/>
      <c r="J40"/>
      <c r="K40"/>
    </row>
    <row r="41" spans="1:11">
      <c r="A41" s="217"/>
      <c r="B41" s="149"/>
      <c r="C41" s="149"/>
      <c r="D41" s="149"/>
      <c r="E41" s="149"/>
      <c r="F41" s="149"/>
      <c r="G41" s="149"/>
      <c r="H41" s="149"/>
      <c r="I41" s="214"/>
      <c r="J41"/>
      <c r="K41"/>
    </row>
    <row r="42" spans="1:11">
      <c r="A42" s="217"/>
      <c r="B42" s="149"/>
      <c r="C42" s="149"/>
      <c r="D42" s="149"/>
      <c r="E42" s="149"/>
      <c r="F42" s="149"/>
      <c r="G42" s="149"/>
      <c r="H42" s="303"/>
      <c r="I42" s="214"/>
      <c r="J42"/>
      <c r="K42"/>
    </row>
    <row r="43" spans="1:11">
      <c r="A43" s="217"/>
      <c r="B43" s="149"/>
      <c r="C43" s="149"/>
      <c r="D43" s="149"/>
      <c r="E43" s="149"/>
      <c r="F43" s="149"/>
      <c r="G43" s="149"/>
      <c r="H43" s="149"/>
      <c r="I43" s="214"/>
      <c r="J43" s="149"/>
      <c r="K43"/>
    </row>
    <row r="44" spans="1:11">
      <c r="A44" s="217"/>
      <c r="B44" s="149"/>
      <c r="C44" s="149"/>
      <c r="D44" s="149"/>
      <c r="E44" s="149"/>
      <c r="F44" s="149"/>
      <c r="G44" s="149"/>
      <c r="H44" s="303"/>
      <c r="I44" s="214"/>
      <c r="J44"/>
      <c r="K44"/>
    </row>
    <row r="45" spans="1:11">
      <c r="A45" s="217"/>
      <c r="B45" s="149"/>
      <c r="C45" s="149"/>
      <c r="D45" s="149"/>
      <c r="E45" s="149"/>
      <c r="F45" s="149"/>
      <c r="G45" s="149"/>
      <c r="H45" s="149"/>
      <c r="I45" s="214"/>
      <c r="J45"/>
      <c r="K45"/>
    </row>
    <row r="46" spans="1:11">
      <c r="A46" s="217"/>
      <c r="B46" s="149"/>
      <c r="C46" s="149"/>
      <c r="D46" s="149"/>
      <c r="E46" s="149"/>
      <c r="F46" s="149"/>
      <c r="G46" s="149"/>
      <c r="H46" s="149"/>
      <c r="I46" s="214"/>
      <c r="J46"/>
      <c r="K46"/>
    </row>
    <row r="47" spans="1:11">
      <c r="A47" s="217"/>
      <c r="B47" s="149"/>
      <c r="C47" s="149"/>
      <c r="D47" s="149"/>
      <c r="E47" s="149"/>
      <c r="F47" s="149"/>
      <c r="G47" s="149"/>
      <c r="H47" s="149"/>
      <c r="I47" s="214"/>
      <c r="J47"/>
      <c r="K47"/>
    </row>
    <row r="48" spans="1:11">
      <c r="A48" s="217"/>
      <c r="B48" s="149"/>
      <c r="C48" s="149"/>
      <c r="D48" s="149"/>
      <c r="E48" s="149"/>
      <c r="F48" s="149"/>
      <c r="G48" s="149"/>
      <c r="H48" s="149"/>
      <c r="I48" s="214"/>
      <c r="J48"/>
      <c r="K48"/>
    </row>
    <row r="49" spans="1:11">
      <c r="A49" s="217"/>
      <c r="B49" s="149"/>
      <c r="C49" s="149"/>
      <c r="D49" s="149"/>
      <c r="E49" s="149"/>
      <c r="F49" s="149"/>
      <c r="G49" s="149"/>
      <c r="H49" s="303"/>
      <c r="I49" s="214"/>
      <c r="J49"/>
      <c r="K49"/>
    </row>
    <row r="50" spans="1:11">
      <c r="A50" s="217"/>
      <c r="B50" s="149"/>
      <c r="C50" s="149"/>
      <c r="D50" s="149"/>
      <c r="E50" s="149"/>
      <c r="F50" s="149"/>
      <c r="G50" s="149"/>
      <c r="H50" s="303"/>
      <c r="I50" s="214"/>
      <c r="J50"/>
      <c r="K50"/>
    </row>
    <row r="51" spans="1:11">
      <c r="A51" s="217"/>
      <c r="B51" s="149"/>
      <c r="C51" s="149"/>
      <c r="D51" s="149"/>
      <c r="E51" s="149"/>
      <c r="F51" s="149"/>
      <c r="G51" s="149"/>
      <c r="H51" s="149"/>
      <c r="I51" s="214"/>
      <c r="J51"/>
      <c r="K51"/>
    </row>
    <row r="52" spans="1:11">
      <c r="A52" s="217"/>
      <c r="B52" s="149"/>
      <c r="C52" s="149"/>
      <c r="D52" s="149"/>
      <c r="E52" s="149"/>
      <c r="F52" s="149"/>
      <c r="G52" s="149"/>
      <c r="H52" s="149"/>
      <c r="I52" s="214"/>
      <c r="J52"/>
      <c r="K52"/>
    </row>
    <row r="53" spans="1:11">
      <c r="A53" s="217"/>
      <c r="B53" s="149"/>
      <c r="C53" s="149"/>
      <c r="D53" s="149"/>
      <c r="E53" s="149"/>
      <c r="F53" s="149"/>
      <c r="G53" s="149"/>
      <c r="H53" s="149"/>
      <c r="I53" s="214"/>
      <c r="J53"/>
      <c r="K53"/>
    </row>
    <row r="54" spans="1:11">
      <c r="A54" s="217"/>
      <c r="B54" s="149"/>
      <c r="C54" s="149"/>
      <c r="D54" s="149"/>
      <c r="E54" s="149"/>
      <c r="F54" s="149"/>
      <c r="G54" s="149"/>
      <c r="H54" s="303"/>
      <c r="I54" s="214"/>
      <c r="J54"/>
      <c r="K54"/>
    </row>
    <row r="55" spans="1:11">
      <c r="A55" s="217"/>
      <c r="B55" s="149"/>
      <c r="C55" s="149"/>
      <c r="D55" s="149"/>
      <c r="E55" s="149"/>
      <c r="F55" s="149"/>
      <c r="G55" s="149"/>
      <c r="H55" s="303"/>
      <c r="I55" s="214"/>
      <c r="J55"/>
      <c r="K55"/>
    </row>
    <row r="56" spans="1:11">
      <c r="A56" s="217"/>
      <c r="B56" s="149"/>
      <c r="C56" s="149"/>
      <c r="D56" s="149"/>
      <c r="E56" s="149"/>
      <c r="F56" s="149"/>
      <c r="G56" s="149"/>
      <c r="H56" s="303"/>
      <c r="I56" s="214"/>
      <c r="J56"/>
      <c r="K56"/>
    </row>
    <row r="57" spans="1:11">
      <c r="A57" s="217"/>
      <c r="B57" s="149"/>
      <c r="C57" s="149"/>
      <c r="D57" s="149"/>
      <c r="E57" s="149"/>
      <c r="F57" s="149"/>
      <c r="G57" s="149"/>
      <c r="H57" s="149"/>
      <c r="I57" s="214"/>
      <c r="J57"/>
      <c r="K57"/>
    </row>
    <row r="58" spans="1:11">
      <c r="A58" s="217"/>
      <c r="B58" s="149"/>
      <c r="C58" s="149"/>
      <c r="D58" s="149"/>
      <c r="E58" s="149"/>
      <c r="F58" s="149"/>
      <c r="G58" s="149"/>
      <c r="H58" s="149"/>
      <c r="I58" s="214"/>
      <c r="J58"/>
      <c r="K58"/>
    </row>
    <row r="59" spans="1:11">
      <c r="A59" s="217"/>
      <c r="B59" s="149"/>
      <c r="C59" s="149"/>
      <c r="D59" s="149"/>
      <c r="E59" s="149"/>
      <c r="F59" s="149"/>
      <c r="G59" s="149"/>
      <c r="H59" s="149"/>
      <c r="I59" s="214"/>
      <c r="J59"/>
      <c r="K59"/>
    </row>
    <row r="60" spans="1:11">
      <c r="A60" s="217"/>
      <c r="B60" s="149"/>
      <c r="C60" s="149"/>
      <c r="D60" s="149"/>
      <c r="E60" s="149"/>
      <c r="F60" s="149"/>
      <c r="G60" s="149"/>
      <c r="H60" s="149"/>
      <c r="I60" s="214"/>
      <c r="J60"/>
      <c r="K60"/>
    </row>
    <row r="61" spans="1:11">
      <c r="A61" s="217"/>
      <c r="B61" s="149"/>
      <c r="C61" s="149"/>
      <c r="D61" s="149"/>
      <c r="E61" s="149"/>
      <c r="F61" s="149"/>
      <c r="G61" s="149"/>
      <c r="H61" s="303"/>
      <c r="I61" s="214"/>
      <c r="J61"/>
      <c r="K61"/>
    </row>
    <row r="62" spans="1:11">
      <c r="A62" s="217"/>
      <c r="B62" s="149"/>
      <c r="C62" s="149"/>
      <c r="D62" s="149"/>
      <c r="E62" s="149"/>
      <c r="F62" s="149"/>
      <c r="G62" s="149"/>
      <c r="H62" s="149"/>
      <c r="I62" s="214"/>
      <c r="J62"/>
      <c r="K62"/>
    </row>
    <row r="63" spans="1:11">
      <c r="A63" s="217"/>
      <c r="B63" s="149"/>
      <c r="C63" s="149"/>
      <c r="D63" s="149"/>
      <c r="E63" s="149"/>
      <c r="F63" s="149"/>
      <c r="G63" s="149"/>
      <c r="H63" s="149"/>
      <c r="I63" s="214"/>
      <c r="J63"/>
      <c r="K63"/>
    </row>
    <row r="64" spans="1:11">
      <c r="A64" s="217"/>
      <c r="B64" s="149"/>
      <c r="C64" s="149"/>
      <c r="D64" s="149"/>
      <c r="E64" s="149"/>
      <c r="F64" s="149"/>
      <c r="G64" s="149"/>
      <c r="H64" s="149"/>
      <c r="I64" s="214"/>
      <c r="J64"/>
      <c r="K64"/>
    </row>
    <row r="65" spans="1:11">
      <c r="A65" s="217"/>
      <c r="B65" s="149"/>
      <c r="C65" s="149"/>
      <c r="D65" s="149"/>
      <c r="E65" s="149"/>
      <c r="F65" s="149"/>
      <c r="G65" s="149"/>
      <c r="H65" s="149"/>
      <c r="I65" s="214"/>
      <c r="J65"/>
      <c r="K65"/>
    </row>
    <row r="66" spans="1:11">
      <c r="A66" s="217"/>
      <c r="B66" s="149"/>
      <c r="C66" s="149"/>
      <c r="D66" s="149"/>
      <c r="E66" s="149"/>
      <c r="F66" s="149"/>
      <c r="G66" s="149"/>
      <c r="H66" s="149"/>
      <c r="I66" s="214"/>
      <c r="J66"/>
      <c r="K66"/>
    </row>
    <row r="67" spans="1:11">
      <c r="A67" s="217"/>
      <c r="B67" s="149"/>
      <c r="C67" s="149"/>
      <c r="D67" s="149"/>
      <c r="E67" s="149"/>
      <c r="F67" s="149"/>
      <c r="G67" s="149"/>
      <c r="H67" s="149"/>
      <c r="I67" s="214"/>
      <c r="J67"/>
      <c r="K67"/>
    </row>
    <row r="68" spans="1:11">
      <c r="A68" s="217"/>
      <c r="B68" s="149"/>
      <c r="C68" s="149"/>
      <c r="D68" s="149"/>
      <c r="E68" s="149"/>
      <c r="F68" s="149"/>
      <c r="G68" s="149"/>
      <c r="H68" s="303"/>
      <c r="I68" s="214"/>
      <c r="J68"/>
      <c r="K68"/>
    </row>
    <row r="69" spans="1:11">
      <c r="A69" s="217"/>
      <c r="B69" s="149"/>
      <c r="C69" s="149"/>
      <c r="D69" s="149"/>
      <c r="E69" s="149"/>
      <c r="F69" s="149"/>
      <c r="G69" s="149"/>
      <c r="H69" s="303"/>
      <c r="I69" s="214"/>
      <c r="J69"/>
      <c r="K69"/>
    </row>
    <row r="70" spans="1:11">
      <c r="A70" s="217"/>
      <c r="B70" s="149"/>
      <c r="C70" s="149"/>
      <c r="D70" s="149"/>
      <c r="E70" s="149"/>
      <c r="F70" s="149"/>
      <c r="G70" s="149"/>
      <c r="H70" s="149"/>
      <c r="I70" s="214"/>
      <c r="J70"/>
      <c r="K70"/>
    </row>
    <row r="71" spans="1:11">
      <c r="A71" s="217"/>
      <c r="B71" s="149"/>
      <c r="C71" s="149"/>
      <c r="D71" s="149"/>
      <c r="E71" s="149"/>
      <c r="F71" s="149"/>
      <c r="G71" s="149"/>
      <c r="H71" s="149"/>
      <c r="I71" s="214"/>
      <c r="J71"/>
      <c r="K71"/>
    </row>
    <row r="72" spans="1:11">
      <c r="A72" s="217"/>
      <c r="B72" s="149"/>
      <c r="C72" s="149"/>
      <c r="D72" s="149"/>
      <c r="E72" s="149"/>
      <c r="F72" s="149"/>
      <c r="G72" s="149"/>
      <c r="H72" s="149"/>
      <c r="I72" s="214"/>
      <c r="J72"/>
      <c r="K72"/>
    </row>
    <row r="73" spans="1:11">
      <c r="A73" s="217"/>
      <c r="B73" s="149"/>
      <c r="C73" s="149"/>
      <c r="D73" s="149"/>
      <c r="E73" s="149"/>
      <c r="F73" s="149"/>
      <c r="G73" s="149"/>
      <c r="H73" s="149"/>
      <c r="I73" s="214"/>
      <c r="J73"/>
      <c r="K73"/>
    </row>
    <row r="74" spans="1:11">
      <c r="A74" s="217"/>
      <c r="B74" s="149"/>
      <c r="C74" s="149"/>
      <c r="D74" s="149"/>
      <c r="E74" s="149"/>
      <c r="F74" s="149"/>
      <c r="G74" s="149"/>
      <c r="H74" s="149"/>
      <c r="I74" s="214"/>
      <c r="J74"/>
      <c r="K74"/>
    </row>
    <row r="75" spans="1:11">
      <c r="A75" s="217"/>
      <c r="B75" s="149"/>
      <c r="C75" s="149"/>
      <c r="D75" s="149"/>
      <c r="E75" s="149"/>
      <c r="F75" s="149"/>
      <c r="G75" s="149"/>
      <c r="H75" s="149"/>
      <c r="I75" s="214"/>
      <c r="J75"/>
      <c r="K75"/>
    </row>
    <row r="76" spans="1:11">
      <c r="A76" s="217"/>
      <c r="B76" s="149"/>
      <c r="C76" s="149"/>
      <c r="D76" s="149"/>
      <c r="E76" s="149"/>
      <c r="F76" s="149"/>
      <c r="G76" s="149"/>
      <c r="H76" s="149"/>
      <c r="I76" s="214"/>
      <c r="J76"/>
      <c r="K76"/>
    </row>
    <row r="77" spans="1:11">
      <c r="A77" s="217"/>
      <c r="B77" s="149"/>
      <c r="C77" s="149"/>
      <c r="D77" s="149"/>
      <c r="E77" s="149"/>
      <c r="F77" s="149"/>
      <c r="G77" s="149"/>
      <c r="H77" s="149"/>
      <c r="I77" s="214"/>
      <c r="J77"/>
      <c r="K77"/>
    </row>
    <row r="78" spans="1:11">
      <c r="A78" s="217"/>
      <c r="B78" s="149"/>
      <c r="C78" s="149"/>
      <c r="D78" s="149"/>
      <c r="E78" s="149"/>
      <c r="F78" s="149"/>
      <c r="G78" s="149"/>
      <c r="H78" s="149"/>
      <c r="I78" s="214"/>
      <c r="J78"/>
      <c r="K78"/>
    </row>
    <row r="79" spans="1:11">
      <c r="A79" s="217"/>
      <c r="B79" s="149"/>
      <c r="C79" s="149"/>
      <c r="D79" s="149"/>
      <c r="E79" s="149"/>
      <c r="F79" s="149"/>
      <c r="G79" s="149"/>
      <c r="H79" s="149"/>
      <c r="I79" s="214"/>
      <c r="J79"/>
      <c r="K79"/>
    </row>
    <row r="80" spans="1:11">
      <c r="A80" s="217"/>
      <c r="B80" s="149"/>
      <c r="C80" s="149"/>
      <c r="D80" s="149"/>
      <c r="E80" s="149"/>
      <c r="F80" s="149"/>
      <c r="G80" s="149"/>
      <c r="H80" s="149"/>
      <c r="I80" s="214"/>
      <c r="J80"/>
      <c r="K80"/>
    </row>
    <row r="81" spans="1:11">
      <c r="A81" s="217"/>
      <c r="B81" s="149"/>
      <c r="C81" s="149"/>
      <c r="D81" s="149"/>
      <c r="E81" s="149"/>
      <c r="F81" s="149"/>
      <c r="G81" s="149"/>
      <c r="H81" s="149"/>
      <c r="I81" s="214"/>
      <c r="J81"/>
      <c r="K81"/>
    </row>
    <row r="82" spans="1:11">
      <c r="A82" s="217"/>
      <c r="B82" s="149"/>
      <c r="C82" s="149"/>
      <c r="D82" s="149"/>
      <c r="E82" s="149"/>
      <c r="F82" s="149"/>
      <c r="G82" s="149"/>
      <c r="H82" s="149"/>
      <c r="I82" s="214"/>
      <c r="J82"/>
      <c r="K82"/>
    </row>
    <row r="83" spans="1:11">
      <c r="A83" s="217"/>
      <c r="B83" s="149"/>
      <c r="C83" s="149"/>
      <c r="D83" s="149"/>
      <c r="E83" s="149"/>
      <c r="F83" s="149"/>
      <c r="G83" s="149"/>
      <c r="H83" s="149"/>
      <c r="I83" s="214"/>
      <c r="J83"/>
      <c r="K83"/>
    </row>
    <row r="84" spans="1:11">
      <c r="A84" s="217"/>
      <c r="B84" s="149"/>
      <c r="C84" s="149"/>
      <c r="D84" s="149"/>
      <c r="E84" s="149"/>
      <c r="F84" s="149"/>
      <c r="G84" s="149"/>
      <c r="H84" s="149"/>
      <c r="I84" s="214"/>
      <c r="J84"/>
      <c r="K84"/>
    </row>
    <row r="85" spans="1:11">
      <c r="A85" s="217"/>
      <c r="B85" s="149"/>
      <c r="C85" s="149"/>
      <c r="D85" s="149"/>
      <c r="E85" s="149"/>
      <c r="F85" s="149"/>
      <c r="G85" s="149"/>
      <c r="H85" s="149"/>
      <c r="I85" s="214"/>
      <c r="J85"/>
      <c r="K85"/>
    </row>
    <row r="86" spans="1:11">
      <c r="A86" s="217"/>
      <c r="B86" s="149"/>
      <c r="C86" s="149"/>
      <c r="D86" s="149"/>
      <c r="E86" s="149"/>
      <c r="F86" s="149"/>
      <c r="G86" s="149"/>
      <c r="H86" s="149"/>
      <c r="I86" s="214"/>
      <c r="J86"/>
      <c r="K86"/>
    </row>
    <row r="87" spans="1:11">
      <c r="A87" s="217"/>
      <c r="B87" s="149"/>
      <c r="C87" s="149"/>
      <c r="D87" s="149"/>
      <c r="E87" s="149"/>
      <c r="F87" s="149"/>
      <c r="G87" s="149"/>
      <c r="H87" s="149"/>
      <c r="I87" s="214"/>
      <c r="J87"/>
      <c r="K87"/>
    </row>
    <row r="88" spans="1:11">
      <c r="A88" s="217"/>
      <c r="B88" s="149"/>
      <c r="C88" s="149"/>
      <c r="D88" s="149"/>
      <c r="E88" s="149"/>
      <c r="F88" s="149"/>
      <c r="G88" s="149"/>
      <c r="H88" s="149"/>
      <c r="I88" s="214"/>
      <c r="J88"/>
      <c r="K88"/>
    </row>
    <row r="89" spans="1:11">
      <c r="A89" s="217"/>
      <c r="B89" s="149"/>
      <c r="C89" s="149"/>
      <c r="D89" s="149"/>
      <c r="E89" s="149"/>
      <c r="F89" s="149"/>
      <c r="G89" s="149"/>
      <c r="H89" s="149"/>
      <c r="I89" s="214"/>
      <c r="J89"/>
      <c r="K89"/>
    </row>
    <row r="90" spans="1:11">
      <c r="A90" s="217"/>
      <c r="B90" s="149"/>
      <c r="C90" s="149"/>
      <c r="D90" s="149"/>
      <c r="E90" s="149"/>
      <c r="F90" s="149"/>
      <c r="G90" s="149"/>
      <c r="H90" s="149"/>
      <c r="I90" s="214"/>
      <c r="J90"/>
      <c r="K90"/>
    </row>
    <row r="91" spans="1:11">
      <c r="A91" s="217"/>
      <c r="B91" s="149"/>
      <c r="C91" s="149"/>
      <c r="D91" s="149"/>
      <c r="E91" s="149"/>
      <c r="F91" s="149"/>
      <c r="G91" s="149"/>
      <c r="H91" s="149"/>
      <c r="I91" s="214"/>
      <c r="J91"/>
      <c r="K91"/>
    </row>
    <row r="92" spans="1:11">
      <c r="A92" s="217"/>
      <c r="B92" s="149"/>
      <c r="C92" s="149"/>
      <c r="D92" s="149"/>
      <c r="E92" s="149"/>
      <c r="F92" s="149"/>
      <c r="G92" s="149"/>
      <c r="H92" s="149"/>
      <c r="I92" s="214"/>
      <c r="J92"/>
      <c r="K92"/>
    </row>
    <row r="93" spans="1:11">
      <c r="A93" s="217"/>
      <c r="B93" s="149"/>
      <c r="C93" s="149"/>
      <c r="D93" s="149"/>
      <c r="E93" s="149"/>
      <c r="F93" s="149"/>
      <c r="G93" s="149"/>
      <c r="H93" s="149"/>
      <c r="I93" s="214"/>
      <c r="J93"/>
      <c r="K93"/>
    </row>
    <row r="94" spans="1:11">
      <c r="A94" s="217"/>
      <c r="B94" s="149"/>
      <c r="C94" s="149"/>
      <c r="D94" s="149"/>
      <c r="E94" s="149"/>
      <c r="F94" s="149"/>
      <c r="G94" s="149"/>
      <c r="H94" s="149"/>
      <c r="I94" s="214"/>
      <c r="J94"/>
      <c r="K94"/>
    </row>
    <row r="95" spans="1:11">
      <c r="A95" s="217"/>
      <c r="B95" s="149"/>
      <c r="C95" s="149"/>
      <c r="D95" s="149"/>
      <c r="E95" s="149"/>
      <c r="F95" s="149"/>
      <c r="G95" s="149"/>
      <c r="H95" s="149"/>
      <c r="I95" s="214"/>
      <c r="J95"/>
      <c r="K95"/>
    </row>
    <row r="96" spans="1:11">
      <c r="A96" s="217"/>
      <c r="B96" s="149"/>
      <c r="C96" s="149"/>
      <c r="D96" s="149"/>
      <c r="E96" s="149"/>
      <c r="F96" s="149"/>
      <c r="G96" s="149"/>
      <c r="H96" s="149"/>
      <c r="I96" s="214"/>
      <c r="J96"/>
      <c r="K96"/>
    </row>
    <row r="97" spans="1:11">
      <c r="A97" s="217"/>
      <c r="B97" s="149"/>
      <c r="C97" s="149"/>
      <c r="D97" s="149"/>
      <c r="E97" s="149"/>
      <c r="F97" s="149"/>
      <c r="G97" s="149"/>
      <c r="H97" s="149"/>
      <c r="I97" s="214"/>
      <c r="J97"/>
      <c r="K97"/>
    </row>
    <row r="98" spans="1:11">
      <c r="A98" s="217"/>
      <c r="B98" s="149"/>
      <c r="C98" s="149"/>
      <c r="D98" s="149"/>
      <c r="E98" s="149"/>
      <c r="F98" s="149"/>
      <c r="G98" s="149"/>
      <c r="H98" s="303"/>
      <c r="I98" s="214"/>
      <c r="J98"/>
      <c r="K98"/>
    </row>
    <row r="99" spans="1:11">
      <c r="A99" s="217"/>
      <c r="B99" s="149"/>
      <c r="C99" s="149"/>
      <c r="D99" s="149"/>
      <c r="E99" s="149"/>
      <c r="F99" s="149"/>
      <c r="G99" s="149"/>
      <c r="H99" s="149"/>
      <c r="I99" s="214"/>
      <c r="J99"/>
      <c r="K99"/>
    </row>
    <row r="100" spans="1:11">
      <c r="A100" s="217"/>
      <c r="B100" s="149"/>
      <c r="C100" s="149"/>
      <c r="D100" s="149"/>
      <c r="E100" s="149"/>
      <c r="F100" s="149"/>
      <c r="G100" s="149"/>
      <c r="H100" s="149"/>
      <c r="I100" s="214"/>
      <c r="J100"/>
      <c r="K100"/>
    </row>
    <row r="101" spans="1:11">
      <c r="A101" s="217"/>
      <c r="B101" s="149"/>
      <c r="C101" s="149"/>
      <c r="D101" s="149"/>
      <c r="E101" s="149"/>
      <c r="F101" s="149"/>
      <c r="G101" s="149"/>
      <c r="H101" s="303"/>
      <c r="I101" s="214"/>
      <c r="J101"/>
      <c r="K101"/>
    </row>
    <row r="102" spans="1:11">
      <c r="A102" s="217"/>
      <c r="B102" s="149"/>
      <c r="C102" s="149"/>
      <c r="D102" s="149"/>
      <c r="E102" s="149"/>
      <c r="F102" s="149"/>
      <c r="G102" s="149"/>
      <c r="H102" s="303"/>
      <c r="I102" s="214"/>
      <c r="J102"/>
      <c r="K102"/>
    </row>
    <row r="103" spans="1:11">
      <c r="A103" s="217"/>
      <c r="B103" s="149"/>
      <c r="C103" s="149"/>
      <c r="D103" s="149"/>
      <c r="E103" s="149"/>
      <c r="F103" s="149"/>
      <c r="G103" s="149"/>
      <c r="H103" s="149"/>
      <c r="I103" s="214"/>
      <c r="J103"/>
      <c r="K103"/>
    </row>
    <row r="104" spans="1:11">
      <c r="A104" s="217"/>
      <c r="B104" s="149"/>
      <c r="C104" s="149"/>
      <c r="D104" s="149"/>
      <c r="E104" s="149"/>
      <c r="F104" s="149"/>
      <c r="G104" s="149"/>
      <c r="H104" s="149"/>
      <c r="I104" s="214"/>
      <c r="J104"/>
      <c r="K104"/>
    </row>
    <row r="105" spans="1:11">
      <c r="A105" s="217"/>
      <c r="B105" s="149"/>
      <c r="C105" s="149"/>
      <c r="D105" s="149"/>
      <c r="E105" s="149"/>
      <c r="F105" s="149"/>
      <c r="G105" s="149"/>
      <c r="H105" s="149"/>
      <c r="I105" s="214"/>
      <c r="J105"/>
      <c r="K105"/>
    </row>
    <row r="106" spans="1:11">
      <c r="A106" s="217"/>
      <c r="B106" s="149"/>
      <c r="C106" s="149"/>
      <c r="D106" s="149"/>
      <c r="E106" s="149"/>
      <c r="F106" s="149"/>
      <c r="G106" s="149"/>
      <c r="H106" s="149"/>
      <c r="I106" s="214"/>
      <c r="J106"/>
      <c r="K106"/>
    </row>
    <row r="107" spans="1:11">
      <c r="A107" s="217"/>
      <c r="B107" s="149"/>
      <c r="C107" s="149"/>
      <c r="D107" s="149"/>
      <c r="E107" s="149"/>
      <c r="F107" s="149"/>
      <c r="G107" s="149"/>
      <c r="H107" s="149"/>
      <c r="I107" s="214"/>
      <c r="J107"/>
      <c r="K107"/>
    </row>
    <row r="108" spans="1:11">
      <c r="A108" s="217"/>
      <c r="B108" s="149"/>
      <c r="C108" s="149"/>
      <c r="D108" s="149"/>
      <c r="E108" s="149"/>
      <c r="F108" s="149"/>
      <c r="G108" s="149"/>
      <c r="H108" s="149"/>
      <c r="I108" s="214"/>
      <c r="J108"/>
      <c r="K108"/>
    </row>
    <row r="109" spans="1:11">
      <c r="A109" s="217"/>
      <c r="B109" s="149"/>
      <c r="C109" s="149"/>
      <c r="D109" s="149"/>
      <c r="E109" s="149"/>
      <c r="F109" s="149"/>
      <c r="G109" s="149"/>
      <c r="H109" s="303"/>
      <c r="I109" s="214"/>
      <c r="J109"/>
      <c r="K109"/>
    </row>
    <row r="110" spans="1:11">
      <c r="A110" s="217"/>
      <c r="B110" s="149"/>
      <c r="C110" s="149"/>
      <c r="D110" s="149"/>
      <c r="E110" s="149"/>
      <c r="F110" s="149"/>
      <c r="G110" s="149"/>
      <c r="H110" s="303"/>
      <c r="I110" s="214"/>
      <c r="J110"/>
      <c r="K110"/>
    </row>
    <row r="111" spans="1:11">
      <c r="A111" s="217"/>
      <c r="B111" s="149"/>
      <c r="C111" s="149"/>
      <c r="D111" s="149"/>
      <c r="E111" s="149"/>
      <c r="F111" s="149"/>
      <c r="G111" s="149"/>
      <c r="H111" s="149"/>
      <c r="I111" s="214"/>
      <c r="J111"/>
      <c r="K111"/>
    </row>
    <row r="112" spans="1:11">
      <c r="A112" s="217"/>
      <c r="B112" s="149"/>
      <c r="C112" s="149"/>
      <c r="D112" s="149"/>
      <c r="E112" s="149"/>
      <c r="F112" s="149"/>
      <c r="G112" s="149"/>
      <c r="H112" s="149"/>
      <c r="I112" s="214"/>
      <c r="J112"/>
      <c r="K112"/>
    </row>
    <row r="113" spans="1:11">
      <c r="A113" s="217"/>
      <c r="B113" s="149"/>
      <c r="C113" s="149"/>
      <c r="D113" s="149"/>
      <c r="E113" s="149"/>
      <c r="F113" s="149"/>
      <c r="G113" s="149"/>
      <c r="H113" s="149"/>
      <c r="I113" s="214"/>
      <c r="J113"/>
      <c r="K113"/>
    </row>
    <row r="114" spans="1:11">
      <c r="A114" s="217"/>
      <c r="B114" s="149"/>
      <c r="C114" s="149"/>
      <c r="D114" s="149"/>
      <c r="E114" s="149"/>
      <c r="F114" s="149"/>
      <c r="G114" s="149"/>
      <c r="H114" s="149"/>
      <c r="I114" s="214"/>
      <c r="J114"/>
      <c r="K114"/>
    </row>
    <row r="115" spans="1:11">
      <c r="A115" s="217"/>
      <c r="B115" s="149"/>
      <c r="C115" s="149"/>
      <c r="D115" s="149"/>
      <c r="E115" s="149"/>
      <c r="F115" s="149"/>
      <c r="G115" s="149"/>
      <c r="H115" s="149"/>
      <c r="I115" s="214"/>
      <c r="J115"/>
      <c r="K115"/>
    </row>
    <row r="116" spans="1:11">
      <c r="A116" s="217"/>
      <c r="B116" s="149"/>
      <c r="C116" s="149"/>
      <c r="D116" s="149"/>
      <c r="E116" s="149"/>
      <c r="F116" s="149"/>
      <c r="G116" s="149"/>
      <c r="H116" s="149"/>
      <c r="I116" s="214"/>
      <c r="J116"/>
      <c r="K116"/>
    </row>
    <row r="117" spans="1:11">
      <c r="A117" s="217"/>
      <c r="B117" s="149"/>
      <c r="C117" s="149"/>
      <c r="D117" s="149"/>
      <c r="E117" s="149"/>
      <c r="F117" s="149"/>
      <c r="G117" s="149"/>
      <c r="H117" s="149"/>
      <c r="I117" s="214"/>
      <c r="J117"/>
      <c r="K117"/>
    </row>
    <row r="118" spans="1:11">
      <c r="A118" s="217"/>
      <c r="B118" s="149"/>
      <c r="C118" s="149"/>
      <c r="D118" s="149"/>
      <c r="E118" s="149"/>
      <c r="F118" s="149"/>
      <c r="G118" s="149"/>
      <c r="H118" s="149"/>
      <c r="I118" s="214"/>
      <c r="J118"/>
      <c r="K118"/>
    </row>
    <row r="119" spans="1:11">
      <c r="A119" s="217"/>
      <c r="B119" s="149"/>
      <c r="C119" s="149"/>
      <c r="D119" s="149"/>
      <c r="E119" s="149"/>
      <c r="F119" s="149"/>
      <c r="G119" s="149"/>
      <c r="H119" s="149"/>
      <c r="I119" s="214"/>
      <c r="J119"/>
      <c r="K119"/>
    </row>
    <row r="120" spans="1:11">
      <c r="A120" s="217"/>
      <c r="B120" s="149"/>
      <c r="C120" s="149"/>
      <c r="D120" s="149"/>
      <c r="E120" s="149"/>
      <c r="F120" s="149"/>
      <c r="G120" s="149"/>
      <c r="H120" s="303"/>
      <c r="I120" s="214"/>
      <c r="J120"/>
      <c r="K120"/>
    </row>
    <row r="121" spans="1:11">
      <c r="A121" s="217"/>
      <c r="B121" s="149"/>
      <c r="C121" s="149"/>
      <c r="D121" s="149"/>
      <c r="E121" s="149"/>
      <c r="F121" s="149"/>
      <c r="G121" s="149"/>
      <c r="H121" s="149"/>
      <c r="I121" s="214"/>
      <c r="J121"/>
      <c r="K121"/>
    </row>
    <row r="122" spans="1:11">
      <c r="A122" s="217"/>
      <c r="B122" s="149"/>
      <c r="C122" s="149"/>
      <c r="D122" s="149"/>
      <c r="E122" s="149"/>
      <c r="F122" s="149"/>
      <c r="G122" s="149"/>
      <c r="H122" s="303"/>
      <c r="I122" s="214"/>
      <c r="J122"/>
      <c r="K122"/>
    </row>
    <row r="123" spans="1:11">
      <c r="A123" s="217"/>
      <c r="B123" s="149"/>
      <c r="C123" s="149"/>
      <c r="D123" s="149"/>
      <c r="E123" s="149"/>
      <c r="F123" s="149"/>
      <c r="G123" s="149"/>
      <c r="H123" s="149"/>
      <c r="I123" s="214"/>
      <c r="J123"/>
      <c r="K123"/>
    </row>
    <row r="124" spans="1:11">
      <c r="A124" s="217"/>
      <c r="B124" s="149"/>
      <c r="C124" s="149"/>
      <c r="D124" s="149"/>
      <c r="E124" s="149"/>
      <c r="F124" s="149"/>
      <c r="G124" s="149"/>
      <c r="H124" s="149"/>
      <c r="I124" s="214"/>
      <c r="J124"/>
      <c r="K124"/>
    </row>
    <row r="125" spans="1:11">
      <c r="A125" s="217"/>
      <c r="B125" s="149"/>
      <c r="C125" s="149"/>
      <c r="D125" s="149"/>
      <c r="E125" s="149"/>
      <c r="F125" s="149"/>
      <c r="G125" s="149"/>
      <c r="H125" s="149"/>
      <c r="I125" s="214"/>
      <c r="J125"/>
      <c r="K125"/>
    </row>
    <row r="126" spans="1:11">
      <c r="A126" s="217"/>
      <c r="B126" s="149"/>
      <c r="C126" s="149"/>
      <c r="D126" s="149"/>
      <c r="E126" s="149"/>
      <c r="F126" s="149"/>
      <c r="G126" s="149"/>
      <c r="H126" s="303"/>
      <c r="I126" s="214"/>
      <c r="J126"/>
      <c r="K126"/>
    </row>
    <row r="127" spans="1:11">
      <c r="A127" s="217"/>
      <c r="B127" s="149"/>
      <c r="C127" s="149"/>
      <c r="D127" s="149"/>
      <c r="E127" s="149"/>
      <c r="F127" s="149"/>
      <c r="G127" s="149"/>
      <c r="H127" s="303"/>
      <c r="I127" s="214"/>
      <c r="J127"/>
      <c r="K127"/>
    </row>
    <row r="128" spans="1:11">
      <c r="A128" s="217"/>
      <c r="B128" s="149"/>
      <c r="C128" s="149"/>
      <c r="D128" s="149"/>
      <c r="E128" s="149"/>
      <c r="F128" s="149"/>
      <c r="G128" s="149"/>
      <c r="H128" s="303"/>
      <c r="I128" s="214"/>
      <c r="J128"/>
      <c r="K128"/>
    </row>
    <row r="129" spans="1:11">
      <c r="A129" s="217"/>
      <c r="B129" s="149"/>
      <c r="C129" s="149"/>
      <c r="D129" s="149"/>
      <c r="E129" s="149"/>
      <c r="F129" s="149"/>
      <c r="G129" s="149"/>
      <c r="H129" s="303"/>
      <c r="I129" s="214"/>
      <c r="J129"/>
      <c r="K129"/>
    </row>
    <row r="130" spans="1:11">
      <c r="A130" s="217"/>
      <c r="B130" s="149"/>
      <c r="C130" s="149"/>
      <c r="D130" s="149"/>
      <c r="E130" s="149"/>
      <c r="F130" s="149"/>
      <c r="G130" s="149"/>
      <c r="H130" s="303"/>
      <c r="I130" s="214"/>
      <c r="J130"/>
      <c r="K130"/>
    </row>
    <row r="131" spans="1:11">
      <c r="A131" s="217"/>
      <c r="B131" s="149"/>
      <c r="C131" s="149"/>
      <c r="D131" s="149"/>
      <c r="E131" s="149"/>
      <c r="F131" s="149"/>
      <c r="G131" s="149"/>
      <c r="H131" s="303"/>
      <c r="I131" s="214"/>
      <c r="J131"/>
      <c r="K131"/>
    </row>
    <row r="132" spans="1:11">
      <c r="A132" s="217"/>
      <c r="B132" s="149"/>
      <c r="C132" s="149"/>
      <c r="D132" s="149"/>
      <c r="E132" s="149"/>
      <c r="F132" s="149"/>
      <c r="G132" s="149"/>
      <c r="H132" s="303"/>
      <c r="I132" s="214"/>
      <c r="J132"/>
      <c r="K132"/>
    </row>
    <row r="133" spans="1:11">
      <c r="A133" s="217"/>
      <c r="B133" s="149"/>
      <c r="C133" s="149"/>
      <c r="D133" s="149"/>
      <c r="E133" s="149"/>
      <c r="F133" s="149"/>
      <c r="G133" s="149"/>
      <c r="H133" s="303"/>
      <c r="I133" s="214"/>
      <c r="J133"/>
      <c r="K133"/>
    </row>
    <row r="134" spans="1:11">
      <c r="A134" s="217"/>
      <c r="B134" s="149"/>
      <c r="C134" s="149"/>
      <c r="D134" s="149"/>
      <c r="E134" s="149"/>
      <c r="F134" s="149"/>
      <c r="G134" s="149"/>
      <c r="H134" s="303"/>
      <c r="I134" s="214"/>
      <c r="J134"/>
      <c r="K134"/>
    </row>
    <row r="135" spans="1:11">
      <c r="A135" s="217"/>
      <c r="B135" s="149"/>
      <c r="C135" s="149"/>
      <c r="D135" s="149"/>
      <c r="E135" s="149"/>
      <c r="F135" s="149"/>
      <c r="G135" s="149"/>
      <c r="H135" s="303"/>
      <c r="I135" s="214"/>
      <c r="J135"/>
      <c r="K135"/>
    </row>
    <row r="136" spans="1:11">
      <c r="A136" s="217"/>
      <c r="B136" s="149"/>
      <c r="C136" s="149"/>
      <c r="D136" s="149"/>
      <c r="E136" s="149"/>
      <c r="F136" s="149"/>
      <c r="G136" s="149"/>
      <c r="H136" s="303"/>
      <c r="I136" s="214"/>
      <c r="J136"/>
      <c r="K136"/>
    </row>
    <row r="137" spans="1:11">
      <c r="A137" s="217"/>
      <c r="B137" s="149"/>
      <c r="C137" s="149"/>
      <c r="D137" s="149"/>
      <c r="E137" s="149"/>
      <c r="F137" s="149"/>
      <c r="G137" s="149"/>
      <c r="H137" s="303"/>
      <c r="I137" s="214"/>
      <c r="J137"/>
      <c r="K137"/>
    </row>
    <row r="138" spans="1:11">
      <c r="A138" s="217"/>
      <c r="B138" s="149"/>
      <c r="C138" s="149"/>
      <c r="D138" s="149"/>
      <c r="E138" s="149"/>
      <c r="F138" s="149"/>
      <c r="G138" s="149"/>
      <c r="H138" s="303"/>
      <c r="I138" s="214"/>
      <c r="J138"/>
      <c r="K138"/>
    </row>
    <row r="139" spans="1:11">
      <c r="A139" s="217"/>
      <c r="B139" s="149"/>
      <c r="C139" s="149"/>
      <c r="D139" s="149"/>
      <c r="E139" s="149"/>
      <c r="F139" s="149"/>
      <c r="G139" s="149"/>
      <c r="H139" s="303"/>
      <c r="I139" s="214"/>
      <c r="J139"/>
      <c r="K139"/>
    </row>
    <row r="140" spans="1:11">
      <c r="A140" s="217"/>
      <c r="B140" s="149"/>
      <c r="C140" s="149"/>
      <c r="D140" s="149"/>
      <c r="E140" s="149"/>
      <c r="F140" s="149"/>
      <c r="G140" s="149"/>
      <c r="H140" s="303"/>
      <c r="I140" s="214"/>
    </row>
    <row r="141" spans="1:11">
      <c r="A141" s="217"/>
      <c r="B141" s="149"/>
      <c r="C141" s="149"/>
      <c r="D141" s="149"/>
      <c r="E141" s="149"/>
      <c r="F141" s="149"/>
      <c r="G141" s="149"/>
      <c r="H141" s="303"/>
      <c r="I141" s="214"/>
    </row>
    <row r="142" spans="1:11">
      <c r="A142" s="217"/>
      <c r="B142" s="149"/>
      <c r="C142" s="149"/>
      <c r="D142" s="149"/>
      <c r="E142" s="149"/>
      <c r="F142" s="149"/>
      <c r="G142" s="149"/>
      <c r="H142" s="303"/>
      <c r="I142" s="214"/>
    </row>
    <row r="143" spans="1:11">
      <c r="A143" s="217"/>
      <c r="B143" s="149"/>
      <c r="C143" s="149"/>
      <c r="D143" s="149"/>
      <c r="E143" s="149"/>
      <c r="F143" s="149"/>
      <c r="G143" s="149"/>
      <c r="H143" s="303"/>
      <c r="I143" s="214"/>
    </row>
    <row r="144" spans="1:11">
      <c r="A144" s="217"/>
      <c r="B144" s="149"/>
      <c r="C144" s="149"/>
      <c r="D144" s="149"/>
      <c r="E144" s="149"/>
      <c r="F144" s="149"/>
      <c r="G144" s="149"/>
      <c r="H144" s="303"/>
      <c r="I144" s="214"/>
    </row>
    <row r="145" spans="1:9">
      <c r="A145" s="217"/>
      <c r="B145" s="149"/>
      <c r="C145" s="149"/>
      <c r="D145" s="149"/>
      <c r="E145" s="149"/>
      <c r="F145" s="149"/>
      <c r="G145" s="149"/>
      <c r="H145" s="303"/>
      <c r="I145" s="214"/>
    </row>
    <row r="146" spans="1:9">
      <c r="A146" s="217"/>
      <c r="B146" s="149"/>
      <c r="C146" s="149"/>
      <c r="D146" s="149"/>
      <c r="E146" s="149"/>
      <c r="F146" s="149"/>
      <c r="G146" s="149"/>
      <c r="H146" s="303"/>
      <c r="I146" s="214"/>
    </row>
    <row r="147" spans="1:9">
      <c r="A147" s="217"/>
      <c r="B147" s="149"/>
      <c r="C147" s="149"/>
      <c r="D147" s="149"/>
      <c r="E147" s="149"/>
      <c r="F147" s="149"/>
      <c r="G147" s="149"/>
      <c r="H147" s="303"/>
      <c r="I147" s="214"/>
    </row>
    <row r="148" spans="1:9">
      <c r="A148" s="217"/>
      <c r="B148" s="149"/>
      <c r="C148" s="149"/>
      <c r="D148" s="149"/>
      <c r="E148" s="149"/>
      <c r="F148" s="149"/>
      <c r="G148" s="149"/>
      <c r="H148" s="303"/>
      <c r="I148" s="214"/>
    </row>
    <row r="149" spans="1:9">
      <c r="A149" s="217"/>
      <c r="B149" s="149"/>
      <c r="C149" s="149"/>
      <c r="D149" s="149"/>
      <c r="E149" s="149"/>
      <c r="F149" s="149"/>
      <c r="G149" s="149"/>
      <c r="H149" s="303"/>
      <c r="I149" s="214"/>
    </row>
    <row r="150" spans="1:9">
      <c r="A150" s="217"/>
      <c r="B150" s="149"/>
      <c r="C150" s="149"/>
      <c r="D150" s="149"/>
      <c r="E150" s="149"/>
      <c r="F150" s="149"/>
      <c r="G150" s="149"/>
      <c r="H150" s="303"/>
      <c r="I150" s="214"/>
    </row>
    <row r="151" spans="1:9">
      <c r="A151" s="217"/>
      <c r="B151" s="149"/>
      <c r="C151" s="149"/>
      <c r="D151" s="149"/>
      <c r="E151" s="149"/>
      <c r="F151" s="149"/>
      <c r="G151" s="149"/>
      <c r="H151" s="303"/>
      <c r="I151" s="214"/>
    </row>
    <row r="152" spans="1:9">
      <c r="A152" s="217"/>
      <c r="B152" s="149"/>
      <c r="C152" s="149"/>
      <c r="D152" s="149"/>
      <c r="E152" s="149"/>
      <c r="F152" s="149"/>
      <c r="G152" s="149"/>
      <c r="H152" s="303"/>
      <c r="I152" s="214"/>
    </row>
    <row r="153" spans="1:9">
      <c r="A153" s="217"/>
      <c r="B153" s="149"/>
      <c r="C153" s="149"/>
      <c r="D153" s="149"/>
      <c r="E153" s="149"/>
      <c r="F153" s="149"/>
      <c r="G153" s="149"/>
      <c r="H153" s="303"/>
      <c r="I153" s="214"/>
    </row>
    <row r="154" spans="1:9">
      <c r="A154" s="217"/>
      <c r="B154" s="149"/>
      <c r="C154" s="149"/>
      <c r="D154" s="149"/>
      <c r="E154" s="149"/>
      <c r="F154" s="149"/>
      <c r="G154" s="149"/>
      <c r="H154" s="303"/>
      <c r="I154" s="214"/>
    </row>
    <row r="155" spans="1:9">
      <c r="A155" s="217"/>
      <c r="B155" s="149"/>
      <c r="C155" s="149"/>
      <c r="D155" s="149"/>
      <c r="E155" s="149"/>
      <c r="F155" s="149"/>
      <c r="G155" s="149"/>
      <c r="H155" s="303"/>
      <c r="I155" s="214"/>
    </row>
    <row r="156" spans="1:9">
      <c r="A156" s="217"/>
      <c r="B156" s="149"/>
      <c r="C156" s="149"/>
      <c r="D156" s="149"/>
      <c r="E156" s="149"/>
      <c r="F156" s="149"/>
      <c r="G156" s="149"/>
      <c r="H156" s="303"/>
      <c r="I156" s="214"/>
    </row>
    <row r="157" spans="1:9">
      <c r="A157" s="217"/>
      <c r="B157" s="149"/>
      <c r="C157" s="149"/>
      <c r="D157" s="149"/>
      <c r="E157" s="149"/>
      <c r="F157" s="149"/>
      <c r="G157" s="149"/>
      <c r="H157" s="303"/>
      <c r="I157" s="214"/>
    </row>
    <row r="158" spans="1:9">
      <c r="A158" s="217"/>
      <c r="B158" s="149"/>
      <c r="C158" s="149"/>
      <c r="D158" s="149"/>
      <c r="E158" s="149"/>
      <c r="F158" s="149"/>
      <c r="G158" s="149"/>
      <c r="H158" s="303"/>
      <c r="I158" s="214"/>
    </row>
    <row r="159" spans="1:9">
      <c r="A159" s="217"/>
      <c r="B159" s="149"/>
      <c r="C159" s="149"/>
      <c r="D159" s="149"/>
      <c r="E159" s="149"/>
      <c r="F159" s="149"/>
      <c r="G159" s="149"/>
      <c r="H159" s="303"/>
      <c r="I159" s="214"/>
    </row>
    <row r="160" spans="1:9">
      <c r="A160" s="217"/>
      <c r="B160" s="149"/>
      <c r="C160" s="149"/>
      <c r="D160" s="149"/>
      <c r="E160" s="149"/>
      <c r="F160" s="149"/>
      <c r="G160" s="149"/>
      <c r="H160" s="303"/>
      <c r="I160" s="214"/>
    </row>
    <row r="161" spans="1:9">
      <c r="A161" s="217"/>
      <c r="B161" s="149"/>
      <c r="C161" s="149"/>
      <c r="D161" s="149"/>
      <c r="E161" s="149"/>
      <c r="F161" s="149"/>
      <c r="G161" s="149"/>
      <c r="H161" s="303"/>
      <c r="I161" s="214"/>
    </row>
    <row r="162" spans="1:9">
      <c r="A162" s="217"/>
      <c r="B162" s="149"/>
      <c r="C162" s="149"/>
      <c r="D162" s="149"/>
      <c r="E162" s="149"/>
      <c r="F162" s="149"/>
      <c r="G162" s="149"/>
      <c r="H162" s="303"/>
      <c r="I162" s="214"/>
    </row>
    <row r="163" spans="1:9">
      <c r="A163" s="217"/>
      <c r="B163" s="149"/>
      <c r="C163" s="149"/>
      <c r="D163" s="149"/>
      <c r="E163" s="149"/>
      <c r="F163" s="149"/>
      <c r="G163" s="149"/>
      <c r="H163" s="303"/>
      <c r="I163" s="214"/>
    </row>
    <row r="164" spans="1:9">
      <c r="A164" s="217"/>
      <c r="B164" s="149"/>
      <c r="C164" s="149"/>
      <c r="D164" s="149"/>
      <c r="E164" s="149"/>
      <c r="F164" s="149"/>
      <c r="G164" s="149"/>
      <c r="H164" s="303"/>
      <c r="I164" s="214"/>
    </row>
    <row r="165" spans="1:9">
      <c r="A165" s="217"/>
      <c r="B165" s="149"/>
      <c r="C165" s="149"/>
      <c r="D165" s="149"/>
      <c r="E165" s="149"/>
      <c r="F165" s="149"/>
      <c r="G165" s="149"/>
      <c r="H165" s="303"/>
      <c r="I165" s="214"/>
    </row>
    <row r="166" spans="1:9">
      <c r="A166" s="217"/>
      <c r="B166" s="149"/>
      <c r="C166" s="149"/>
      <c r="D166" s="149"/>
      <c r="E166" s="149"/>
      <c r="F166" s="149"/>
      <c r="G166" s="149"/>
      <c r="H166" s="303"/>
      <c r="I166" s="214"/>
    </row>
    <row r="167" spans="1:9">
      <c r="A167" s="217"/>
      <c r="B167" s="149"/>
      <c r="C167" s="149"/>
      <c r="D167" s="149"/>
      <c r="E167" s="149"/>
      <c r="F167" s="149"/>
      <c r="G167" s="149"/>
      <c r="H167" s="303"/>
      <c r="I167" s="214"/>
    </row>
    <row r="168" spans="1:9">
      <c r="A168" s="217"/>
      <c r="B168" s="149"/>
      <c r="C168" s="149"/>
      <c r="D168" s="149"/>
      <c r="E168" s="149"/>
      <c r="F168" s="149"/>
      <c r="G168" s="149"/>
      <c r="H168" s="303"/>
      <c r="I168" s="214"/>
    </row>
    <row r="169" spans="1:9">
      <c r="A169" s="217"/>
      <c r="B169" s="149"/>
      <c r="C169" s="149"/>
      <c r="D169" s="149"/>
      <c r="E169" s="149"/>
      <c r="F169" s="149"/>
      <c r="G169" s="149"/>
      <c r="H169" s="303"/>
      <c r="I169" s="214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12"/>
  <sheetViews>
    <sheetView workbookViewId="0">
      <pane xSplit="1" ySplit="1" topLeftCell="B177" activePane="bottomRight" state="frozen"/>
      <selection pane="bottomRight" activeCell="B213" sqref="B213"/>
      <selection pane="bottomLeft" activeCell="A2" sqref="A2"/>
      <selection pane="topRight" activeCell="B1" sqref="B1"/>
    </sheetView>
  </sheetViews>
  <sheetFormatPr defaultColWidth="17.7109375" defaultRowHeight="14.45" outlineLevelRow="1"/>
  <cols>
    <col min="2" max="11" width="17.7109375" style="69"/>
  </cols>
  <sheetData>
    <row r="1" spans="1:19" s="152" customFormat="1">
      <c r="A1" s="98" t="s">
        <v>90</v>
      </c>
      <c r="B1" s="98" t="s">
        <v>25</v>
      </c>
      <c r="C1" s="98" t="s">
        <v>27</v>
      </c>
      <c r="D1" s="98" t="s">
        <v>26</v>
      </c>
      <c r="E1" s="98" t="s">
        <v>28</v>
      </c>
      <c r="F1" s="98" t="s">
        <v>29</v>
      </c>
      <c r="G1" s="98" t="s">
        <v>30</v>
      </c>
      <c r="H1" s="98" t="s">
        <v>31</v>
      </c>
      <c r="I1" s="98" t="s">
        <v>32</v>
      </c>
      <c r="J1" s="98" t="s">
        <v>33</v>
      </c>
      <c r="K1" s="98" t="s">
        <v>91</v>
      </c>
      <c r="L1" s="98" t="s">
        <v>34</v>
      </c>
      <c r="N1" s="153"/>
      <c r="O1" s="153"/>
      <c r="P1" s="153"/>
      <c r="Q1" s="153"/>
      <c r="R1" s="153"/>
      <c r="S1" s="153"/>
    </row>
    <row r="2" spans="1:19" s="152" customFormat="1" hidden="1" outlineLevel="1">
      <c r="A2" s="166">
        <f>'Historical NAV'!A994</f>
        <v>45413</v>
      </c>
      <c r="B2" s="154">
        <v>-1970094.72</v>
      </c>
      <c r="C2" s="154">
        <v>0</v>
      </c>
      <c r="D2" s="154">
        <v>-313917.40000000002</v>
      </c>
      <c r="E2" s="154">
        <v>-5998.9699999999993</v>
      </c>
      <c r="F2" s="154">
        <v>122642.36</v>
      </c>
      <c r="G2" s="155"/>
      <c r="H2" s="154">
        <v>0</v>
      </c>
      <c r="I2" s="155"/>
      <c r="J2" s="155"/>
      <c r="K2" s="155"/>
      <c r="L2" s="155">
        <f>SUM(B2:K2)</f>
        <v>-2167368.7300000004</v>
      </c>
      <c r="N2" s="153"/>
      <c r="O2" s="153"/>
      <c r="P2" s="153"/>
      <c r="Q2" s="153"/>
      <c r="R2" s="153"/>
      <c r="S2" s="153"/>
    </row>
    <row r="3" spans="1:19" s="152" customFormat="1" hidden="1" outlineLevel="1">
      <c r="A3" s="166">
        <f>'Historical NAV'!A995</f>
        <v>45414</v>
      </c>
      <c r="B3" s="154">
        <v>2436118.39</v>
      </c>
      <c r="C3" s="154">
        <v>23250.470000000008</v>
      </c>
      <c r="D3" s="154">
        <v>259278.4</v>
      </c>
      <c r="E3" s="154">
        <v>51716.52</v>
      </c>
      <c r="F3" s="154">
        <v>10509.84</v>
      </c>
      <c r="G3" s="155"/>
      <c r="H3" s="154">
        <v>0</v>
      </c>
      <c r="I3" s="155"/>
      <c r="J3" s="155"/>
      <c r="K3" s="155"/>
      <c r="L3" s="155">
        <f t="shared" ref="L3:L25" si="0">SUM(B3:K3)</f>
        <v>2780873.62</v>
      </c>
      <c r="N3" s="153"/>
      <c r="O3" s="153"/>
      <c r="P3" s="153"/>
      <c r="Q3" s="153"/>
      <c r="R3" s="153"/>
      <c r="S3" s="153"/>
    </row>
    <row r="4" spans="1:19" s="152" customFormat="1" hidden="1" outlineLevel="1">
      <c r="A4" s="166">
        <f>'Historical NAV'!A996</f>
        <v>45415</v>
      </c>
      <c r="B4" s="154">
        <v>2771769.64</v>
      </c>
      <c r="C4" s="154">
        <v>154804.98000000001</v>
      </c>
      <c r="D4" s="154">
        <v>277584.8</v>
      </c>
      <c r="E4" s="154">
        <v>50177.07</v>
      </c>
      <c r="F4" s="154">
        <v>13860.98</v>
      </c>
      <c r="G4" s="155"/>
      <c r="H4" s="154">
        <v>0</v>
      </c>
      <c r="I4" s="155"/>
      <c r="J4" s="155"/>
      <c r="K4" s="155"/>
      <c r="L4" s="155">
        <f t="shared" si="0"/>
        <v>3268197.4699999997</v>
      </c>
      <c r="N4" s="153"/>
      <c r="O4" s="153"/>
      <c r="P4" s="153"/>
      <c r="Q4" s="153"/>
      <c r="R4" s="153"/>
      <c r="S4" s="153"/>
    </row>
    <row r="5" spans="1:19" s="152" customFormat="1" hidden="1" outlineLevel="1">
      <c r="A5" s="166">
        <f>'Historical NAV'!A997</f>
        <v>45418</v>
      </c>
      <c r="B5" s="154">
        <v>2346005.5499999998</v>
      </c>
      <c r="C5" s="154">
        <v>-119425.76</v>
      </c>
      <c r="D5" s="154">
        <v>312983.40000000002</v>
      </c>
      <c r="E5" s="154">
        <v>15660.96</v>
      </c>
      <c r="F5" s="154">
        <v>137325.26</v>
      </c>
      <c r="G5" s="155"/>
      <c r="H5" s="154">
        <v>0</v>
      </c>
      <c r="I5" s="155"/>
      <c r="J5" s="155"/>
      <c r="K5" s="155"/>
      <c r="L5" s="155">
        <f t="shared" si="0"/>
        <v>2692549.41</v>
      </c>
      <c r="N5" s="153"/>
      <c r="O5" s="153"/>
      <c r="P5" s="153"/>
      <c r="Q5" s="153"/>
      <c r="R5" s="153"/>
      <c r="S5" s="153"/>
    </row>
    <row r="6" spans="1:19" s="152" customFormat="1" hidden="1" outlineLevel="1">
      <c r="A6" s="166">
        <f>'Historical NAV'!A998</f>
        <v>45419</v>
      </c>
      <c r="B6" s="154">
        <v>-507593.41</v>
      </c>
      <c r="C6" s="154">
        <v>23032.62</v>
      </c>
      <c r="D6" s="154">
        <v>-148132.4</v>
      </c>
      <c r="E6" s="154">
        <v>34299.14</v>
      </c>
      <c r="F6" s="154">
        <v>-25473.91</v>
      </c>
      <c r="G6" s="155"/>
      <c r="H6" s="154">
        <v>0</v>
      </c>
      <c r="I6" s="155"/>
      <c r="J6" s="155"/>
      <c r="K6" s="155"/>
      <c r="L6" s="155">
        <f t="shared" si="0"/>
        <v>-623867.96</v>
      </c>
      <c r="N6" s="153"/>
      <c r="O6" s="153"/>
      <c r="P6" s="153"/>
      <c r="Q6" s="153"/>
      <c r="R6" s="153"/>
      <c r="S6" s="153"/>
    </row>
    <row r="7" spans="1:19" s="152" customFormat="1" hidden="1" outlineLevel="1">
      <c r="A7" s="166">
        <f>'Historical NAV'!A999</f>
        <v>45420</v>
      </c>
      <c r="B7" s="154">
        <v>152959.43</v>
      </c>
      <c r="C7" s="154">
        <v>-76052.850000000006</v>
      </c>
      <c r="D7" s="154">
        <v>-13262.8</v>
      </c>
      <c r="E7" s="154">
        <v>-19711.849999999999</v>
      </c>
      <c r="F7" s="154">
        <v>-73297.259999999995</v>
      </c>
      <c r="G7" s="155"/>
      <c r="H7" s="154">
        <v>0</v>
      </c>
      <c r="I7" s="155"/>
      <c r="J7" s="155"/>
      <c r="K7" s="155"/>
      <c r="L7" s="155">
        <f t="shared" si="0"/>
        <v>-29365.330000000009</v>
      </c>
      <c r="N7" s="153"/>
      <c r="O7" s="153"/>
      <c r="P7" s="153"/>
      <c r="Q7" s="153"/>
      <c r="R7" s="153"/>
      <c r="S7" s="153"/>
    </row>
    <row r="8" spans="1:19" s="152" customFormat="1" hidden="1" outlineLevel="1">
      <c r="A8" s="166">
        <f>'Historical NAV'!A1000</f>
        <v>45421</v>
      </c>
      <c r="B8" s="154">
        <v>139090.48000000001</v>
      </c>
      <c r="C8" s="154">
        <v>202257.72</v>
      </c>
      <c r="D8" s="154">
        <v>-155511</v>
      </c>
      <c r="E8" s="154">
        <v>9588.08</v>
      </c>
      <c r="F8" s="154">
        <v>204666.23999999999</v>
      </c>
      <c r="G8" s="155"/>
      <c r="H8" s="154">
        <v>0</v>
      </c>
      <c r="I8" s="155"/>
      <c r="J8" s="155"/>
      <c r="K8" s="155"/>
      <c r="L8" s="155">
        <f t="shared" si="0"/>
        <v>400091.52</v>
      </c>
      <c r="N8" s="153"/>
      <c r="O8" s="153"/>
      <c r="P8" s="153"/>
      <c r="Q8" s="153"/>
      <c r="R8" s="153"/>
      <c r="S8" s="153"/>
    </row>
    <row r="9" spans="1:19" s="152" customFormat="1" hidden="1" outlineLevel="1">
      <c r="A9" s="166">
        <f>'Historical NAV'!A1001</f>
        <v>45422</v>
      </c>
      <c r="B9" s="154">
        <v>653912.02</v>
      </c>
      <c r="C9" s="154">
        <v>562316.1</v>
      </c>
      <c r="D9" s="154">
        <v>105635.4</v>
      </c>
      <c r="E9" s="154">
        <v>-24363.21</v>
      </c>
      <c r="F9" s="154">
        <v>58651.75</v>
      </c>
      <c r="G9" s="155"/>
      <c r="H9" s="154">
        <v>0</v>
      </c>
      <c r="I9" s="155"/>
      <c r="J9" s="155"/>
      <c r="K9" s="155"/>
      <c r="L9" s="155">
        <f t="shared" si="0"/>
        <v>1356152.06</v>
      </c>
      <c r="N9" s="153"/>
      <c r="O9" s="153"/>
      <c r="P9" s="153"/>
      <c r="Q9" s="153"/>
      <c r="R9" s="153"/>
      <c r="S9" s="153"/>
    </row>
    <row r="10" spans="1:19" s="152" customFormat="1" hidden="1" outlineLevel="1">
      <c r="A10" s="166">
        <f>'Historical NAV'!A1002</f>
        <v>45425</v>
      </c>
      <c r="B10" s="154">
        <v>91627.430000000008</v>
      </c>
      <c r="C10" s="154">
        <v>-153587.82</v>
      </c>
      <c r="D10" s="154">
        <v>48661.4</v>
      </c>
      <c r="E10" s="154">
        <v>4116.74</v>
      </c>
      <c r="F10" s="154">
        <v>-155030.89000000001</v>
      </c>
      <c r="G10" s="155"/>
      <c r="H10" s="154">
        <v>0</v>
      </c>
      <c r="I10" s="155"/>
      <c r="J10" s="155"/>
      <c r="K10" s="155"/>
      <c r="L10" s="155">
        <f t="shared" si="0"/>
        <v>-164213.14000000001</v>
      </c>
      <c r="N10" s="153"/>
      <c r="O10" s="153"/>
      <c r="P10" s="153"/>
      <c r="Q10" s="153"/>
      <c r="R10" s="153"/>
      <c r="S10" s="153"/>
    </row>
    <row r="11" spans="1:19" s="152" customFormat="1" hidden="1" outlineLevel="1">
      <c r="A11" s="166">
        <f>'Historical NAV'!A1003</f>
        <v>45426</v>
      </c>
      <c r="B11" s="154">
        <v>1227745.02</v>
      </c>
      <c r="C11" s="154">
        <v>-179070.84</v>
      </c>
      <c r="D11" s="154">
        <v>89383.8</v>
      </c>
      <c r="E11" s="154">
        <v>20723.990000000002</v>
      </c>
      <c r="F11" s="154">
        <v>101843.55</v>
      </c>
      <c r="G11" s="155"/>
      <c r="H11" s="154">
        <v>0</v>
      </c>
      <c r="I11" s="155"/>
      <c r="J11" s="155"/>
      <c r="K11" s="155"/>
      <c r="L11" s="155">
        <f t="shared" si="0"/>
        <v>1260625.52</v>
      </c>
      <c r="N11" s="153"/>
      <c r="O11" s="153"/>
      <c r="P11" s="153"/>
      <c r="Q11" s="153"/>
      <c r="R11" s="153"/>
      <c r="S11" s="153"/>
    </row>
    <row r="12" spans="1:19" s="152" customFormat="1" hidden="1" outlineLevel="1">
      <c r="A12" s="166">
        <f>'Historical NAV'!A1004</f>
        <v>45427</v>
      </c>
      <c r="B12" s="154">
        <v>2264910.65</v>
      </c>
      <c r="C12" s="154">
        <v>-2106.92</v>
      </c>
      <c r="D12" s="154">
        <v>305791.59999999998</v>
      </c>
      <c r="E12" s="154">
        <v>64874.77</v>
      </c>
      <c r="F12" s="154">
        <v>146691.54</v>
      </c>
      <c r="G12" s="155"/>
      <c r="H12" s="154">
        <v>0</v>
      </c>
      <c r="I12" s="155"/>
      <c r="J12" s="155"/>
      <c r="K12" s="155"/>
      <c r="L12" s="155">
        <f t="shared" si="0"/>
        <v>2780161.64</v>
      </c>
      <c r="N12" s="153"/>
      <c r="O12" s="153"/>
      <c r="P12" s="153"/>
      <c r="Q12" s="153"/>
      <c r="R12" s="153"/>
      <c r="S12" s="153"/>
    </row>
    <row r="13" spans="1:19" s="152" customFormat="1" hidden="1" outlineLevel="1">
      <c r="A13" s="166">
        <f>'Historical NAV'!A1005</f>
        <v>45428</v>
      </c>
      <c r="B13" s="154">
        <v>-599659.93000000005</v>
      </c>
      <c r="C13" s="154">
        <v>72779.260000000009</v>
      </c>
      <c r="D13" s="154">
        <v>-25311.4</v>
      </c>
      <c r="E13" s="154">
        <v>-13198.09</v>
      </c>
      <c r="F13" s="154">
        <v>-45519.6</v>
      </c>
      <c r="G13" s="155"/>
      <c r="H13" s="154">
        <v>0</v>
      </c>
      <c r="I13" s="155"/>
      <c r="J13" s="155"/>
      <c r="K13" s="155"/>
      <c r="L13" s="155">
        <f t="shared" si="0"/>
        <v>-610909.76</v>
      </c>
      <c r="N13" s="153"/>
      <c r="O13" s="153"/>
      <c r="P13" s="153"/>
      <c r="Q13" s="153"/>
      <c r="R13" s="153"/>
      <c r="S13" s="153"/>
    </row>
    <row r="14" spans="1:19" s="152" customFormat="1" hidden="1" outlineLevel="1">
      <c r="A14" s="166">
        <f>'Historical NAV'!A1006</f>
        <v>45429</v>
      </c>
      <c r="B14" s="154">
        <v>63314.44000000001</v>
      </c>
      <c r="C14" s="154">
        <v>159752.4</v>
      </c>
      <c r="D14" s="154">
        <v>-175592</v>
      </c>
      <c r="E14" s="154">
        <v>-12327.97</v>
      </c>
      <c r="F14" s="154">
        <v>216107.49</v>
      </c>
      <c r="G14" s="155"/>
      <c r="H14" s="154">
        <v>0</v>
      </c>
      <c r="I14" s="155"/>
      <c r="J14" s="155"/>
      <c r="K14" s="155"/>
      <c r="L14" s="155">
        <f t="shared" si="0"/>
        <v>251254.36</v>
      </c>
      <c r="N14" s="153"/>
      <c r="O14" s="153"/>
      <c r="P14" s="153"/>
      <c r="Q14" s="153"/>
      <c r="R14" s="153"/>
      <c r="S14" s="153"/>
    </row>
    <row r="15" spans="1:19" s="152" customFormat="1" hidden="1" outlineLevel="1">
      <c r="A15" s="166">
        <f>'Historical NAV'!A1007</f>
        <v>45432</v>
      </c>
      <c r="B15" s="154">
        <v>366033.77</v>
      </c>
      <c r="C15" s="154">
        <v>340715.67</v>
      </c>
      <c r="D15" s="154">
        <v>214913.4</v>
      </c>
      <c r="E15" s="154">
        <v>-3304.98</v>
      </c>
      <c r="F15" s="154">
        <v>67634.399999999994</v>
      </c>
      <c r="G15" s="155"/>
      <c r="H15" s="154">
        <v>0</v>
      </c>
      <c r="I15" s="155"/>
      <c r="J15" s="155"/>
      <c r="K15" s="155"/>
      <c r="L15" s="155">
        <f t="shared" si="0"/>
        <v>985992.26</v>
      </c>
      <c r="N15" s="153"/>
      <c r="O15" s="153"/>
      <c r="P15" s="153"/>
      <c r="Q15" s="153"/>
      <c r="R15" s="153"/>
      <c r="S15" s="153"/>
    </row>
    <row r="16" spans="1:19" s="152" customFormat="1" hidden="1" outlineLevel="1">
      <c r="A16" s="166">
        <f>'Historical NAV'!A1008</f>
        <v>45433</v>
      </c>
      <c r="B16" s="154">
        <v>-12325.48</v>
      </c>
      <c r="C16" s="154">
        <v>-527265.03</v>
      </c>
      <c r="D16" s="154">
        <v>56600.4</v>
      </c>
      <c r="E16" s="154">
        <v>9253.7900000000009</v>
      </c>
      <c r="F16" s="154">
        <v>-11144.25</v>
      </c>
      <c r="G16" s="155"/>
      <c r="H16" s="154">
        <v>-2730.5</v>
      </c>
      <c r="I16" s="155"/>
      <c r="J16" s="155"/>
      <c r="K16" s="155"/>
      <c r="L16" s="155">
        <f t="shared" si="0"/>
        <v>-487611.07</v>
      </c>
      <c r="N16" s="153"/>
      <c r="O16" s="153"/>
      <c r="P16" s="153"/>
      <c r="Q16" s="153"/>
      <c r="R16" s="153"/>
      <c r="S16" s="153"/>
    </row>
    <row r="17" spans="1:19" s="152" customFormat="1" hidden="1" outlineLevel="1">
      <c r="A17" s="166">
        <f>'Historical NAV'!A1009</f>
        <v>45434</v>
      </c>
      <c r="B17" s="154">
        <v>-539572.59</v>
      </c>
      <c r="C17" s="154">
        <v>-150130.13</v>
      </c>
      <c r="D17" s="154">
        <v>-40722.400000000001</v>
      </c>
      <c r="E17" s="154">
        <v>-14718.08</v>
      </c>
      <c r="F17" s="154">
        <v>-234644.22</v>
      </c>
      <c r="G17" s="155"/>
      <c r="H17" s="154">
        <v>3633.84</v>
      </c>
      <c r="I17" s="155"/>
      <c r="J17" s="155"/>
      <c r="K17" s="155"/>
      <c r="L17" s="155">
        <f t="shared" si="0"/>
        <v>-976153.58</v>
      </c>
      <c r="N17" s="153"/>
      <c r="O17" s="153"/>
      <c r="P17" s="153"/>
      <c r="Q17" s="153"/>
      <c r="R17" s="153"/>
      <c r="S17" s="153"/>
    </row>
    <row r="18" spans="1:19" s="152" customFormat="1" hidden="1" outlineLevel="1">
      <c r="A18" s="166">
        <f>'Historical NAV'!A1010</f>
        <v>45435</v>
      </c>
      <c r="B18" s="154">
        <v>-924856.84</v>
      </c>
      <c r="C18" s="154">
        <v>-206768.35</v>
      </c>
      <c r="D18" s="154">
        <v>826496.6</v>
      </c>
      <c r="E18" s="154">
        <v>-33655.040000000001</v>
      </c>
      <c r="F18" s="154">
        <v>-219657.21</v>
      </c>
      <c r="G18" s="155"/>
      <c r="H18" s="154">
        <v>-20636.32</v>
      </c>
      <c r="I18" s="155"/>
      <c r="J18" s="155"/>
      <c r="K18" s="155"/>
      <c r="L18" s="155">
        <f t="shared" si="0"/>
        <v>-579077.15999999992</v>
      </c>
      <c r="N18" s="153"/>
      <c r="O18" s="153"/>
      <c r="P18" s="153"/>
      <c r="Q18" s="153"/>
      <c r="R18" s="153"/>
      <c r="S18" s="153"/>
    </row>
    <row r="19" spans="1:19" s="152" customFormat="1" hidden="1" outlineLevel="1">
      <c r="A19" s="166">
        <f>'Historical NAV'!A1011</f>
        <v>45436</v>
      </c>
      <c r="B19" s="154">
        <v>1090627.8</v>
      </c>
      <c r="C19" s="154">
        <v>63604</v>
      </c>
      <c r="D19" s="154">
        <v>249378</v>
      </c>
      <c r="E19" s="154">
        <v>23868.45</v>
      </c>
      <c r="F19" s="154">
        <v>21428.87</v>
      </c>
      <c r="G19" s="155"/>
      <c r="H19" s="154">
        <v>-38553.440000000002</v>
      </c>
      <c r="I19" s="155"/>
      <c r="J19" s="155"/>
      <c r="K19" s="155"/>
      <c r="L19" s="155">
        <f t="shared" si="0"/>
        <v>1410353.6800000002</v>
      </c>
      <c r="N19" s="153"/>
      <c r="O19" s="153"/>
      <c r="P19" s="153"/>
      <c r="Q19" s="153"/>
      <c r="R19" s="153"/>
      <c r="S19" s="153"/>
    </row>
    <row r="20" spans="1:19" s="152" customFormat="1" hidden="1" outlineLevel="1">
      <c r="A20" s="166">
        <f>'Historical NAV'!A1012</f>
        <v>45439</v>
      </c>
      <c r="B20" s="154">
        <v>0</v>
      </c>
      <c r="C20" s="154">
        <v>572472.77</v>
      </c>
      <c r="D20" s="154">
        <v>-153132</v>
      </c>
      <c r="E20" s="154">
        <v>0</v>
      </c>
      <c r="F20" s="154">
        <v>0</v>
      </c>
      <c r="G20" s="155"/>
      <c r="H20" s="154">
        <v>153132</v>
      </c>
      <c r="I20" s="155"/>
      <c r="J20" s="155"/>
      <c r="K20" s="155"/>
      <c r="L20" s="155">
        <f t="shared" si="0"/>
        <v>572472.77</v>
      </c>
      <c r="N20" s="153"/>
      <c r="O20" s="153"/>
      <c r="P20" s="153"/>
      <c r="Q20" s="153"/>
      <c r="R20" s="153"/>
      <c r="S20" s="153"/>
    </row>
    <row r="21" spans="1:19" s="152" customFormat="1" hidden="1" outlineLevel="1">
      <c r="A21" s="166">
        <f>'Historical NAV'!A1013</f>
        <v>45440</v>
      </c>
      <c r="B21" s="154">
        <v>270203.21999999997</v>
      </c>
      <c r="C21" s="154">
        <v>101126.24</v>
      </c>
      <c r="D21" s="154">
        <v>558915.94999999995</v>
      </c>
      <c r="E21" s="154">
        <v>-38781.89</v>
      </c>
      <c r="F21" s="154">
        <v>142330.75</v>
      </c>
      <c r="G21" s="155"/>
      <c r="H21" s="154">
        <v>1924.41</v>
      </c>
      <c r="I21" s="155"/>
      <c r="J21" s="155"/>
      <c r="K21" s="155"/>
      <c r="L21" s="155">
        <f t="shared" si="0"/>
        <v>1035718.6799999999</v>
      </c>
      <c r="N21" s="153"/>
      <c r="O21" s="153"/>
      <c r="P21" s="153"/>
      <c r="Q21" s="153"/>
      <c r="R21" s="153"/>
      <c r="S21" s="153"/>
    </row>
    <row r="22" spans="1:19" s="152" customFormat="1" hidden="1" outlineLevel="1">
      <c r="A22" s="166">
        <f>'Historical NAV'!A1014</f>
        <v>45441</v>
      </c>
      <c r="B22" s="154">
        <v>-1344499.02</v>
      </c>
      <c r="C22" s="154">
        <v>-46431.370000000017</v>
      </c>
      <c r="D22" s="154">
        <v>-10194.049999999999</v>
      </c>
      <c r="E22" s="154">
        <v>-33400.740000000013</v>
      </c>
      <c r="F22" s="154">
        <v>-101785.64</v>
      </c>
      <c r="G22" s="155"/>
      <c r="H22" s="154">
        <v>-7734.4</v>
      </c>
      <c r="I22" s="155"/>
      <c r="J22" s="155"/>
      <c r="K22" s="155"/>
      <c r="L22" s="155">
        <f t="shared" si="0"/>
        <v>-1544045.22</v>
      </c>
      <c r="N22" s="163"/>
      <c r="O22" s="153"/>
      <c r="P22" s="164"/>
      <c r="Q22" s="164"/>
      <c r="R22" s="153"/>
      <c r="S22" s="153"/>
    </row>
    <row r="23" spans="1:19" s="152" customFormat="1" hidden="1" outlineLevel="1">
      <c r="A23" s="166">
        <f>'Historical NAV'!A1015</f>
        <v>45442</v>
      </c>
      <c r="B23" s="154">
        <v>-367862.69</v>
      </c>
      <c r="C23" s="154">
        <v>-648260.80000000005</v>
      </c>
      <c r="D23" s="154">
        <v>-348459.08</v>
      </c>
      <c r="E23" s="154">
        <v>40095.96</v>
      </c>
      <c r="F23" s="154">
        <v>8493.4499999999989</v>
      </c>
      <c r="G23" s="155"/>
      <c r="H23" s="154">
        <v>4363.2</v>
      </c>
      <c r="I23" s="155"/>
      <c r="J23" s="155"/>
      <c r="K23" s="155"/>
      <c r="L23" s="155">
        <f t="shared" si="0"/>
        <v>-1311629.9600000002</v>
      </c>
      <c r="N23" s="153"/>
      <c r="O23" s="153"/>
      <c r="P23" s="153"/>
      <c r="Q23" s="153"/>
      <c r="R23" s="153"/>
      <c r="S23" s="153"/>
    </row>
    <row r="24" spans="1:19" s="158" customFormat="1" hidden="1" outlineLevel="1">
      <c r="A24" s="167">
        <f>'Historical NAV'!A1016</f>
        <v>45443</v>
      </c>
      <c r="B24" s="156">
        <v>745129.64</v>
      </c>
      <c r="C24" s="156">
        <v>-54938.86</v>
      </c>
      <c r="D24" s="156">
        <v>-70573.8</v>
      </c>
      <c r="E24" s="156">
        <v>37596.259999999987</v>
      </c>
      <c r="F24" s="156">
        <v>-61656.44</v>
      </c>
      <c r="G24" s="157"/>
      <c r="H24" s="156">
        <v>-5521.55</v>
      </c>
      <c r="I24" s="157"/>
      <c r="J24" s="157"/>
      <c r="K24" s="157"/>
      <c r="L24" s="157">
        <f t="shared" si="0"/>
        <v>590035.25</v>
      </c>
      <c r="N24" s="159"/>
      <c r="O24" s="159"/>
      <c r="P24" s="159"/>
      <c r="Q24" s="159"/>
      <c r="R24" s="159"/>
      <c r="S24" s="159"/>
    </row>
    <row r="25" spans="1:19" s="152" customFormat="1" hidden="1" outlineLevel="1">
      <c r="A25" s="166">
        <f>'Historical NAV'!A1017</f>
        <v>45446</v>
      </c>
      <c r="B25" s="154">
        <v>246644.53</v>
      </c>
      <c r="C25" s="154">
        <v>325209.38</v>
      </c>
      <c r="D25" s="154">
        <v>449248.46</v>
      </c>
      <c r="E25" s="154">
        <v>2084.3000000000002</v>
      </c>
      <c r="F25" s="154">
        <v>73522.11</v>
      </c>
      <c r="G25" s="155"/>
      <c r="H25" s="154">
        <v>15672.04</v>
      </c>
      <c r="I25" s="155"/>
      <c r="J25" s="155"/>
      <c r="K25" s="155"/>
      <c r="L25" s="155">
        <f t="shared" si="0"/>
        <v>1112380.8200000003</v>
      </c>
      <c r="N25" s="153"/>
      <c r="O25" s="153"/>
      <c r="P25" s="153"/>
      <c r="Q25" s="153"/>
      <c r="R25" s="153"/>
      <c r="S25" s="153"/>
    </row>
    <row r="26" spans="1:19" s="152" customFormat="1" hidden="1" outlineLevel="1">
      <c r="A26" s="166">
        <f>'Historical NAV'!A1018</f>
        <v>45447</v>
      </c>
      <c r="B26" s="154">
        <v>-1015056.38</v>
      </c>
      <c r="C26" s="154">
        <v>-90385.1</v>
      </c>
      <c r="D26" s="154">
        <v>137684.57999999999</v>
      </c>
      <c r="E26" s="154">
        <v>20848.400000000001</v>
      </c>
      <c r="F26" s="154">
        <v>-330479.19</v>
      </c>
      <c r="G26" s="155"/>
      <c r="H26" s="154">
        <v>8129.93</v>
      </c>
      <c r="I26" s="155"/>
      <c r="J26" s="155"/>
      <c r="K26" s="155"/>
      <c r="L26" s="155">
        <f t="shared" ref="L26:L31" si="1">SUM(B26:K26)</f>
        <v>-1269257.76</v>
      </c>
      <c r="N26" s="153"/>
      <c r="O26" s="153"/>
      <c r="P26" s="153"/>
      <c r="Q26" s="153"/>
      <c r="R26" s="153"/>
      <c r="S26" s="153"/>
    </row>
    <row r="27" spans="1:19" s="152" customFormat="1" hidden="1" outlineLevel="1">
      <c r="A27" s="166">
        <f>'Historical NAV'!A1019</f>
        <v>45448</v>
      </c>
      <c r="B27" s="154">
        <v>2076509.98</v>
      </c>
      <c r="C27" s="154">
        <v>-283587.94</v>
      </c>
      <c r="D27" s="154">
        <v>598479.56999999995</v>
      </c>
      <c r="E27" s="154">
        <v>35429.21</v>
      </c>
      <c r="F27" s="154">
        <v>176680.61</v>
      </c>
      <c r="G27" s="155"/>
      <c r="H27" s="154">
        <v>-21874.33023</v>
      </c>
      <c r="I27" s="155"/>
      <c r="J27" s="155"/>
      <c r="K27" s="155"/>
      <c r="L27" s="155">
        <f t="shared" si="1"/>
        <v>2581637.0997699997</v>
      </c>
      <c r="N27" s="153"/>
      <c r="O27" s="153"/>
      <c r="P27" s="153"/>
      <c r="Q27" s="153"/>
      <c r="R27" s="153"/>
      <c r="S27" s="153"/>
    </row>
    <row r="28" spans="1:19" hidden="1" outlineLevel="1">
      <c r="A28" s="166">
        <f>'Historical NAV'!A1020</f>
        <v>45449</v>
      </c>
      <c r="B28" s="155">
        <v>-103444.44</v>
      </c>
      <c r="C28" s="155">
        <v>400279.82</v>
      </c>
      <c r="D28" s="155">
        <v>-148591.79999999999</v>
      </c>
      <c r="E28" s="155">
        <v>-5576.53</v>
      </c>
      <c r="F28" s="155">
        <v>171867.75</v>
      </c>
      <c r="G28" s="155"/>
      <c r="H28" s="155">
        <v>2326.41</v>
      </c>
      <c r="I28" s="155"/>
      <c r="J28" s="155"/>
      <c r="K28" s="155"/>
      <c r="L28" s="155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66">
        <f>'Historical NAV'!A1021</f>
        <v>45450</v>
      </c>
      <c r="B29" s="155">
        <v>-265117.48</v>
      </c>
      <c r="C29" s="155">
        <v>48584.429999999993</v>
      </c>
      <c r="D29" s="155">
        <v>-14531</v>
      </c>
      <c r="E29" s="155">
        <v>-46747.710000000006</v>
      </c>
      <c r="F29" s="155">
        <v>-606122.12</v>
      </c>
      <c r="G29" s="155"/>
      <c r="H29" s="155">
        <v>31538.76</v>
      </c>
      <c r="I29" s="155"/>
      <c r="J29" s="155"/>
      <c r="K29" s="155"/>
      <c r="L29" s="155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66">
        <f>'Historical NAV'!A1022</f>
        <v>45453</v>
      </c>
      <c r="B30" s="155">
        <v>557335.32999999996</v>
      </c>
      <c r="C30" s="155">
        <v>-291.11</v>
      </c>
      <c r="D30" s="155">
        <v>90326.14</v>
      </c>
      <c r="E30" s="155">
        <v>-9673.26</v>
      </c>
      <c r="F30" s="155">
        <v>103005.34</v>
      </c>
      <c r="G30" s="155"/>
      <c r="H30" s="155">
        <v>16928.349999999999</v>
      </c>
      <c r="I30" s="155"/>
      <c r="J30" s="155"/>
      <c r="K30" s="155"/>
      <c r="L30" s="155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66">
        <f>'Historical NAV'!A1023</f>
        <v>45454</v>
      </c>
      <c r="B31" s="155">
        <v>-38816.239999999991</v>
      </c>
      <c r="C31" s="155">
        <v>-301964.65999999997</v>
      </c>
      <c r="D31" s="155">
        <v>-86232.78</v>
      </c>
      <c r="E31" s="155">
        <v>29585.53</v>
      </c>
      <c r="F31" s="155">
        <v>-18310.57</v>
      </c>
      <c r="G31" s="155"/>
      <c r="H31" s="155">
        <v>16992.740000000002</v>
      </c>
      <c r="I31" s="155"/>
      <c r="J31" s="155"/>
      <c r="K31" s="155"/>
      <c r="L31" s="155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66">
        <f>'Historical NAV'!A1024</f>
        <v>45455</v>
      </c>
      <c r="B32" s="155">
        <v>1455137.75</v>
      </c>
      <c r="C32" s="155">
        <v>-15513.110000000021</v>
      </c>
      <c r="D32" s="155">
        <v>478169.94</v>
      </c>
      <c r="E32" s="155">
        <v>45660.71</v>
      </c>
      <c r="F32" s="155">
        <v>63545.75</v>
      </c>
      <c r="G32" s="155"/>
      <c r="H32" s="155">
        <v>21422.55</v>
      </c>
      <c r="I32" s="155"/>
      <c r="J32" s="155"/>
      <c r="K32" s="155"/>
      <c r="L32" s="155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66">
        <f>'Historical NAV'!A1025</f>
        <v>45456</v>
      </c>
      <c r="B33" s="155">
        <v>-72270.019999999975</v>
      </c>
      <c r="C33" s="155">
        <v>-139433.15</v>
      </c>
      <c r="D33" s="155">
        <v>455390.56</v>
      </c>
      <c r="E33" s="155">
        <v>31311.89</v>
      </c>
      <c r="F33" s="155">
        <v>-191213.19</v>
      </c>
      <c r="G33" s="155">
        <v>-300</v>
      </c>
      <c r="H33" s="155">
        <v>39563.89</v>
      </c>
      <c r="I33" s="155"/>
      <c r="J33" s="155"/>
      <c r="K33" s="155"/>
      <c r="L33" s="155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66">
        <f>'Historical NAV'!A1026</f>
        <v>45457</v>
      </c>
      <c r="B34" s="155">
        <v>-222728.21</v>
      </c>
      <c r="C34" s="155">
        <v>-102600.35</v>
      </c>
      <c r="D34" s="155">
        <v>231071.47</v>
      </c>
      <c r="E34" s="155">
        <v>-4070.66</v>
      </c>
      <c r="F34" s="155">
        <v>109071.7</v>
      </c>
      <c r="G34" s="155">
        <v>162.80000000000001</v>
      </c>
      <c r="H34" s="155">
        <v>3590.57</v>
      </c>
      <c r="I34" s="155"/>
      <c r="J34" s="155"/>
      <c r="K34" s="155"/>
      <c r="L34" s="155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66">
        <f>'Historical NAV'!A1027</f>
        <v>45460</v>
      </c>
      <c r="B35" s="155">
        <v>1143293.26</v>
      </c>
      <c r="C35" s="155">
        <v>-150055.4</v>
      </c>
      <c r="D35" s="155">
        <v>-57615</v>
      </c>
      <c r="E35" s="155">
        <v>-23422.15</v>
      </c>
      <c r="F35" s="155">
        <v>-116714.4</v>
      </c>
      <c r="G35" s="155">
        <v>0</v>
      </c>
      <c r="H35" s="155">
        <v>28076.3</v>
      </c>
      <c r="I35" s="155"/>
      <c r="J35" s="155"/>
      <c r="K35" s="155"/>
      <c r="L35" s="155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66">
        <f>'Historical NAV'!A1028</f>
        <v>45461</v>
      </c>
      <c r="B36" s="155">
        <v>542224.07999999996</v>
      </c>
      <c r="C36" s="155">
        <v>-22841.939999999991</v>
      </c>
      <c r="D36" s="155">
        <v>520943.88</v>
      </c>
      <c r="E36" s="155">
        <v>31896.94</v>
      </c>
      <c r="F36" s="155">
        <v>109318.26</v>
      </c>
      <c r="G36" s="155">
        <v>-586.5</v>
      </c>
      <c r="H36" s="155">
        <v>13783.84</v>
      </c>
      <c r="I36" s="155"/>
      <c r="J36" s="155"/>
      <c r="K36" s="155"/>
      <c r="L36" s="155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66">
        <f>'Historical NAV'!A1029</f>
        <v>45462</v>
      </c>
      <c r="B37" s="155">
        <v>0</v>
      </c>
      <c r="C37" s="155">
        <v>889806.69</v>
      </c>
      <c r="D37" s="155">
        <v>0</v>
      </c>
      <c r="E37" s="155">
        <v>0</v>
      </c>
      <c r="F37" s="155">
        <v>0</v>
      </c>
      <c r="G37" s="155">
        <v>0</v>
      </c>
      <c r="H37" s="155">
        <v>-2034.45</v>
      </c>
      <c r="I37" s="155"/>
      <c r="J37" s="155"/>
      <c r="K37" s="155"/>
      <c r="L37" s="155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66">
        <f>'Historical NAV'!A1030</f>
        <v>45463</v>
      </c>
      <c r="B38" s="155">
        <v>-686347.1</v>
      </c>
      <c r="C38" s="155">
        <v>300120.46000000002</v>
      </c>
      <c r="D38" s="155">
        <v>-762729.19</v>
      </c>
      <c r="E38" s="155">
        <v>-19123.09</v>
      </c>
      <c r="F38" s="155">
        <v>194246.51</v>
      </c>
      <c r="G38" s="155">
        <v>2971.88</v>
      </c>
      <c r="H38" s="155">
        <v>-6859.5</v>
      </c>
      <c r="I38" s="155"/>
      <c r="J38" s="155"/>
      <c r="K38" s="155"/>
      <c r="L38" s="155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66">
        <f>'Historical NAV'!A1031</f>
        <v>45464</v>
      </c>
      <c r="B39" s="155">
        <v>-424152.6</v>
      </c>
      <c r="C39" s="155">
        <v>-521624.46</v>
      </c>
      <c r="D39" s="155">
        <v>-499358.56</v>
      </c>
      <c r="E39" s="155">
        <v>5989.15</v>
      </c>
      <c r="F39" s="155">
        <v>-255987.4</v>
      </c>
      <c r="G39" s="155">
        <v>0</v>
      </c>
      <c r="H39" s="155">
        <v>31958.5</v>
      </c>
      <c r="I39" s="155"/>
      <c r="J39" s="155"/>
      <c r="K39" s="155"/>
      <c r="L39" s="155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66">
        <f>'Historical NAV'!A1032</f>
        <v>45467</v>
      </c>
      <c r="B40" s="155">
        <v>-814310</v>
      </c>
      <c r="C40" s="155">
        <v>50237.969999999987</v>
      </c>
      <c r="D40" s="155">
        <v>-1243576.4099999999</v>
      </c>
      <c r="E40" s="155">
        <v>3747.87</v>
      </c>
      <c r="F40" s="155">
        <v>78430.83</v>
      </c>
      <c r="G40" s="155">
        <v>0</v>
      </c>
      <c r="H40" s="155">
        <v>8300.73</v>
      </c>
      <c r="I40" s="155"/>
      <c r="J40" s="155"/>
      <c r="K40" s="155"/>
      <c r="L40" s="155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66">
        <f>'Historical NAV'!A1033</f>
        <v>45468</v>
      </c>
      <c r="B41" s="155">
        <v>780248.49</v>
      </c>
      <c r="C41" s="155">
        <v>65843.850000000006</v>
      </c>
      <c r="D41" s="155">
        <v>1340503.92</v>
      </c>
      <c r="E41" s="155">
        <v>50.6400000000001</v>
      </c>
      <c r="F41" s="155">
        <v>-172901.05</v>
      </c>
      <c r="G41" s="155">
        <v>0</v>
      </c>
      <c r="H41" s="155">
        <v>-71164.100000000006</v>
      </c>
      <c r="I41" s="155"/>
      <c r="J41" s="155"/>
      <c r="K41" s="155"/>
      <c r="L41" s="155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66">
        <f>'Historical NAV'!A1034</f>
        <v>45469</v>
      </c>
      <c r="B42" s="155">
        <v>-134543.06</v>
      </c>
      <c r="C42" s="155">
        <v>-126431.6</v>
      </c>
      <c r="D42" s="155">
        <v>33773.990000000013</v>
      </c>
      <c r="E42" s="155">
        <v>-34214.78</v>
      </c>
      <c r="F42" s="155">
        <v>-119773.58</v>
      </c>
      <c r="G42" s="155">
        <v>0</v>
      </c>
      <c r="H42" s="155">
        <v>14710.28</v>
      </c>
      <c r="I42" s="155"/>
      <c r="J42" s="155"/>
      <c r="K42" s="155"/>
      <c r="L42" s="155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66">
        <f>'Historical NAV'!A1035</f>
        <v>45470</v>
      </c>
      <c r="B43" s="155">
        <v>136300.68</v>
      </c>
      <c r="C43" s="155">
        <v>-708946.39</v>
      </c>
      <c r="D43" s="155">
        <v>-597843</v>
      </c>
      <c r="E43" s="155">
        <v>13661.86</v>
      </c>
      <c r="F43" s="155">
        <v>132769.32999999999</v>
      </c>
      <c r="G43" s="155">
        <v>0</v>
      </c>
      <c r="H43" s="155">
        <v>186852.56</v>
      </c>
      <c r="I43" s="155"/>
      <c r="J43" s="155"/>
      <c r="K43" s="155"/>
      <c r="L43" s="155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67">
        <f>'Historical NAV'!A1036</f>
        <v>45471</v>
      </c>
      <c r="B44" s="157">
        <v>247789.23</v>
      </c>
      <c r="C44" s="157">
        <v>466048.59</v>
      </c>
      <c r="D44" s="157">
        <v>23974.799999999999</v>
      </c>
      <c r="E44" s="157">
        <v>-33182.839999999997</v>
      </c>
      <c r="F44" s="157">
        <v>49235.3</v>
      </c>
      <c r="G44" s="157">
        <v>-11275</v>
      </c>
      <c r="H44" s="157">
        <v>65841.58</v>
      </c>
      <c r="I44" s="157"/>
      <c r="J44" s="157"/>
      <c r="K44" s="157"/>
      <c r="L44" s="157">
        <f t="shared" si="2"/>
        <v>808431.66000000015</v>
      </c>
      <c r="N44" s="215"/>
      <c r="O44" s="215"/>
      <c r="P44" s="215"/>
      <c r="Q44" s="215"/>
      <c r="R44" s="215"/>
      <c r="S44" s="215"/>
    </row>
    <row r="45" spans="1:19" hidden="1" outlineLevel="1">
      <c r="A45" s="166">
        <f>'Historical NAV'!A1037</f>
        <v>45474</v>
      </c>
      <c r="B45" s="155">
        <v>195410.1</v>
      </c>
      <c r="C45" s="155">
        <v>78902.040000000008</v>
      </c>
      <c r="D45" s="155">
        <v>-48242.490000000013</v>
      </c>
      <c r="E45" s="155">
        <v>-67147.86</v>
      </c>
      <c r="F45" s="155">
        <v>94526.84</v>
      </c>
      <c r="G45" s="155">
        <v>9260.4</v>
      </c>
      <c r="H45" s="155">
        <v>64778.42</v>
      </c>
      <c r="I45" s="155"/>
      <c r="J45" s="155"/>
      <c r="K45" s="155"/>
      <c r="L45" s="155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66">
        <f>'Historical NAV'!A1038</f>
        <v>45475</v>
      </c>
      <c r="B46" s="155">
        <v>778534.17</v>
      </c>
      <c r="C46" s="155">
        <v>572123.82000000007</v>
      </c>
      <c r="D46" s="155">
        <v>-134089</v>
      </c>
      <c r="E46" s="155">
        <v>40058.800000000003</v>
      </c>
      <c r="F46" s="155">
        <v>46574.79</v>
      </c>
      <c r="G46" s="155">
        <v>0</v>
      </c>
      <c r="H46" s="155">
        <v>5503.17</v>
      </c>
      <c r="I46" s="155"/>
      <c r="J46" s="155"/>
      <c r="K46" s="155"/>
      <c r="L46" s="155">
        <f t="shared" si="2"/>
        <v>1308705.7500000002</v>
      </c>
    </row>
    <row r="47" spans="1:19" hidden="1" outlineLevel="1">
      <c r="A47" s="166">
        <f>'Historical NAV'!A1039</f>
        <v>45476</v>
      </c>
      <c r="B47" s="155">
        <v>1130358.75</v>
      </c>
      <c r="C47" s="155">
        <v>322682.78999999998</v>
      </c>
      <c r="D47" s="155">
        <v>1277780.6200000001</v>
      </c>
      <c r="E47" s="155">
        <v>79519.460000000006</v>
      </c>
      <c r="F47" s="155">
        <v>236182.87</v>
      </c>
      <c r="G47" s="155">
        <v>237.1</v>
      </c>
      <c r="H47" s="155">
        <v>-50259.97</v>
      </c>
      <c r="I47" s="155"/>
      <c r="J47" s="155"/>
      <c r="K47" s="155"/>
      <c r="L47" s="155">
        <f t="shared" si="2"/>
        <v>2996501.62</v>
      </c>
    </row>
    <row r="48" spans="1:19" hidden="1" outlineLevel="1">
      <c r="A48" s="166">
        <f>'Historical NAV'!A1040</f>
        <v>45477</v>
      </c>
      <c r="B48" s="155">
        <v>0</v>
      </c>
      <c r="C48" s="155">
        <v>182331.51</v>
      </c>
      <c r="D48" s="155">
        <v>0</v>
      </c>
      <c r="E48" s="155">
        <v>0</v>
      </c>
      <c r="F48" s="155">
        <v>-2941</v>
      </c>
      <c r="G48" s="155">
        <v>0</v>
      </c>
      <c r="H48" s="155">
        <v>3149.02</v>
      </c>
      <c r="I48" s="155"/>
      <c r="J48" s="155"/>
      <c r="K48" s="155"/>
      <c r="L48" s="155">
        <f t="shared" si="2"/>
        <v>182539.53</v>
      </c>
    </row>
    <row r="49" spans="1:12" hidden="1" outlineLevel="1">
      <c r="A49" s="166">
        <f>'Historical NAV'!A1041</f>
        <v>45478</v>
      </c>
      <c r="B49" s="155">
        <v>516937.25</v>
      </c>
      <c r="C49" s="155">
        <v>-166442.76</v>
      </c>
      <c r="D49" s="155">
        <v>-246081</v>
      </c>
      <c r="E49" s="155">
        <v>85042.65</v>
      </c>
      <c r="F49" s="155">
        <v>137619.76</v>
      </c>
      <c r="G49" s="155">
        <v>258.60000000000002</v>
      </c>
      <c r="H49" s="155">
        <v>-12444.96</v>
      </c>
      <c r="I49" s="155"/>
      <c r="J49" s="155"/>
      <c r="K49" s="155"/>
      <c r="L49" s="155">
        <f t="shared" si="2"/>
        <v>314889.53999999998</v>
      </c>
    </row>
    <row r="50" spans="1:12" hidden="1" outlineLevel="1">
      <c r="A50" s="166">
        <f>'Historical NAV'!A1042</f>
        <v>45481</v>
      </c>
      <c r="B50" s="155">
        <v>420947.72</v>
      </c>
      <c r="C50" s="155">
        <v>-211587.52</v>
      </c>
      <c r="D50" s="155">
        <v>406470.07</v>
      </c>
      <c r="E50" s="155">
        <v>-32543.31</v>
      </c>
      <c r="F50" s="155">
        <v>-213515.85</v>
      </c>
      <c r="G50" s="155">
        <v>0</v>
      </c>
      <c r="H50" s="155">
        <v>92141.63</v>
      </c>
      <c r="I50" s="155"/>
      <c r="J50" s="155"/>
      <c r="K50" s="155"/>
      <c r="L50" s="155">
        <f t="shared" si="2"/>
        <v>461912.74</v>
      </c>
    </row>
    <row r="51" spans="1:12" hidden="1" outlineLevel="1">
      <c r="A51" s="166">
        <f>'Historical NAV'!A1043</f>
        <v>45482</v>
      </c>
      <c r="B51" s="155">
        <v>-1339.489999999985</v>
      </c>
      <c r="C51" s="155">
        <v>-159459.75</v>
      </c>
      <c r="D51" s="155">
        <v>271594</v>
      </c>
      <c r="E51" s="155">
        <v>-15691.19</v>
      </c>
      <c r="F51" s="155">
        <v>745.87000000000262</v>
      </c>
      <c r="G51" s="155">
        <v>-460</v>
      </c>
      <c r="H51" s="155">
        <v>5410.01</v>
      </c>
      <c r="I51" s="155"/>
      <c r="J51" s="155"/>
      <c r="K51" s="155"/>
      <c r="L51" s="155">
        <f t="shared" si="2"/>
        <v>100799.45</v>
      </c>
    </row>
    <row r="52" spans="1:12" hidden="1" outlineLevel="1">
      <c r="A52" s="166">
        <f>'Historical NAV'!A1044</f>
        <v>45483</v>
      </c>
      <c r="B52" s="155">
        <v>1662326.69</v>
      </c>
      <c r="C52" s="155">
        <v>-462536.24</v>
      </c>
      <c r="D52" s="155">
        <v>1016079</v>
      </c>
      <c r="E52" s="155">
        <v>19594.03</v>
      </c>
      <c r="F52" s="155">
        <v>120830.3</v>
      </c>
      <c r="G52" s="155">
        <v>812.6</v>
      </c>
      <c r="H52" s="155">
        <v>-16065.28</v>
      </c>
      <c r="I52" s="155"/>
      <c r="J52" s="155"/>
      <c r="K52" s="155"/>
      <c r="L52" s="155">
        <f t="shared" si="2"/>
        <v>2341041.1</v>
      </c>
    </row>
    <row r="53" spans="1:12" hidden="1" outlineLevel="1">
      <c r="A53" s="166">
        <f>'Historical NAV'!A1045</f>
        <v>45484</v>
      </c>
      <c r="B53" s="155">
        <v>-1167222</v>
      </c>
      <c r="C53" s="155">
        <v>391809.51</v>
      </c>
      <c r="D53" s="155">
        <v>-1560573</v>
      </c>
      <c r="E53" s="155">
        <v>52301.760000000002</v>
      </c>
      <c r="F53" s="155">
        <v>354272.81</v>
      </c>
      <c r="G53" s="155">
        <v>-7365</v>
      </c>
      <c r="H53" s="155">
        <v>4874.1200000000026</v>
      </c>
      <c r="I53" s="155"/>
      <c r="J53" s="155"/>
      <c r="K53" s="155"/>
      <c r="L53" s="155">
        <f t="shared" si="2"/>
        <v>-1931901.8000000003</v>
      </c>
    </row>
    <row r="54" spans="1:12" hidden="1" outlineLevel="1">
      <c r="A54" s="166">
        <f>'Historical NAV'!A1046</f>
        <v>45485</v>
      </c>
      <c r="B54" s="155">
        <v>938836.79</v>
      </c>
      <c r="C54" s="155">
        <v>496447.89</v>
      </c>
      <c r="D54" s="155">
        <v>465338.63</v>
      </c>
      <c r="E54" s="155">
        <v>53352.41</v>
      </c>
      <c r="F54" s="155">
        <v>24522.67</v>
      </c>
      <c r="G54" s="155">
        <v>-1550.9</v>
      </c>
      <c r="H54" s="155">
        <v>-27589.26</v>
      </c>
      <c r="I54" s="155"/>
      <c r="J54" s="155"/>
      <c r="K54" s="155"/>
      <c r="L54" s="155">
        <f t="shared" si="2"/>
        <v>1949358.23</v>
      </c>
    </row>
    <row r="55" spans="1:12" hidden="1" outlineLevel="1">
      <c r="A55" s="166">
        <f>'Historical NAV'!A1047</f>
        <v>45488</v>
      </c>
      <c r="B55" s="155">
        <v>377255.28</v>
      </c>
      <c r="C55" s="155">
        <v>-246088.83</v>
      </c>
      <c r="D55" s="155">
        <v>-306332</v>
      </c>
      <c r="E55" s="155">
        <v>-40301.660000000003</v>
      </c>
      <c r="F55" s="155">
        <v>132889.26</v>
      </c>
      <c r="G55" s="155">
        <v>825</v>
      </c>
      <c r="H55" s="155">
        <v>90964.7</v>
      </c>
      <c r="I55" s="155"/>
      <c r="J55" s="155"/>
      <c r="K55" s="155"/>
      <c r="L55" s="155">
        <f t="shared" si="2"/>
        <v>9211.7500000000437</v>
      </c>
    </row>
    <row r="56" spans="1:12" hidden="1" outlineLevel="1">
      <c r="A56" s="166">
        <f>'Historical NAV'!A1048</f>
        <v>45489</v>
      </c>
      <c r="B56" s="155">
        <v>1004163.41</v>
      </c>
      <c r="C56" s="155">
        <v>-250796.76</v>
      </c>
      <c r="D56" s="155">
        <v>-195364.75</v>
      </c>
      <c r="E56" s="155">
        <v>84453.55</v>
      </c>
      <c r="F56" s="155">
        <v>302809.42</v>
      </c>
      <c r="G56" s="155">
        <v>1035</v>
      </c>
      <c r="H56" s="155">
        <v>5208.3</v>
      </c>
      <c r="I56" s="155"/>
      <c r="J56" s="155"/>
      <c r="K56" s="155"/>
      <c r="L56" s="155">
        <f t="shared" si="2"/>
        <v>951508.17000000016</v>
      </c>
    </row>
    <row r="57" spans="1:12" hidden="1" outlineLevel="1">
      <c r="A57" s="166">
        <f>'Historical NAV'!A1049</f>
        <v>45490</v>
      </c>
      <c r="B57" s="155">
        <f>-3359461.34-66757.2</f>
        <v>-3426218.54</v>
      </c>
      <c r="C57" s="155">
        <v>-613418.2300000001</v>
      </c>
      <c r="D57" s="155">
        <v>-2253430.84</v>
      </c>
      <c r="E57" s="155">
        <v>-22051.99</v>
      </c>
      <c r="F57" s="155">
        <v>-282468.43</v>
      </c>
      <c r="G57" s="155">
        <v>0</v>
      </c>
      <c r="H57" s="155">
        <v>-22412.47</v>
      </c>
      <c r="I57" s="155"/>
      <c r="J57" s="155"/>
      <c r="K57" s="155"/>
      <c r="L57" s="155">
        <f t="shared" si="2"/>
        <v>-6620000.4999999991</v>
      </c>
    </row>
    <row r="58" spans="1:12" hidden="1" outlineLevel="1">
      <c r="A58" s="166">
        <f>'Historical NAV'!A1050</f>
        <v>45491</v>
      </c>
      <c r="B58" s="155">
        <v>-972898.82</v>
      </c>
      <c r="C58" s="155">
        <v>99684.86</v>
      </c>
      <c r="D58" s="155">
        <v>114083.79</v>
      </c>
      <c r="E58" s="155">
        <v>-64523.55</v>
      </c>
      <c r="F58" s="155">
        <v>-155600.85</v>
      </c>
      <c r="G58" s="155">
        <v>0</v>
      </c>
      <c r="H58" s="155">
        <v>107578.22</v>
      </c>
      <c r="I58" s="155"/>
      <c r="J58" s="155"/>
      <c r="K58" s="155"/>
      <c r="L58" s="155">
        <f t="shared" si="2"/>
        <v>-871676.35</v>
      </c>
    </row>
    <row r="59" spans="1:12" hidden="1" outlineLevel="1">
      <c r="A59" s="166">
        <f>'Historical NAV'!A1051</f>
        <v>45492</v>
      </c>
      <c r="B59" s="155">
        <v>-1228709.01</v>
      </c>
      <c r="C59" s="155">
        <v>-476140.2</v>
      </c>
      <c r="D59" s="155">
        <v>-728557.26</v>
      </c>
      <c r="E59" s="155">
        <v>-38397.449999999997</v>
      </c>
      <c r="F59" s="155">
        <v>-436590.09</v>
      </c>
      <c r="G59" s="155">
        <v>-312.35000000000002</v>
      </c>
      <c r="H59" s="155">
        <v>23373.75</v>
      </c>
      <c r="I59" s="155"/>
      <c r="J59" s="155"/>
      <c r="K59" s="155"/>
      <c r="L59" s="155">
        <f t="shared" si="2"/>
        <v>-2885332.61</v>
      </c>
    </row>
    <row r="60" spans="1:12" hidden="1" outlineLevel="1">
      <c r="A60" s="166">
        <f>'Historical NAV'!A1052</f>
        <v>45495</v>
      </c>
      <c r="B60" s="155">
        <v>1378132.4</v>
      </c>
      <c r="C60" s="155">
        <v>144299.29</v>
      </c>
      <c r="D60" s="155">
        <v>945666.4</v>
      </c>
      <c r="E60" s="155">
        <v>20972.52</v>
      </c>
      <c r="F60" s="155">
        <v>-12091.11</v>
      </c>
      <c r="G60" s="155">
        <v>637.5</v>
      </c>
      <c r="H60" s="155">
        <v>44207.43</v>
      </c>
      <c r="I60" s="155"/>
      <c r="J60" s="155"/>
      <c r="K60" s="155"/>
      <c r="L60" s="155">
        <f t="shared" si="2"/>
        <v>2521824.4300000002</v>
      </c>
    </row>
    <row r="61" spans="1:12" hidden="1" outlineLevel="1">
      <c r="A61" s="166">
        <f>'Historical NAV'!A1053</f>
        <v>45496</v>
      </c>
      <c r="B61" s="155">
        <v>-524853.69999999995</v>
      </c>
      <c r="C61" s="155">
        <v>-80446.59</v>
      </c>
      <c r="D61" s="155">
        <v>-131135.23000000001</v>
      </c>
      <c r="E61" s="155">
        <v>-11455.05</v>
      </c>
      <c r="F61" s="155">
        <v>-36991.83</v>
      </c>
      <c r="G61" s="155">
        <v>2156.25</v>
      </c>
      <c r="H61" s="155">
        <v>3964.32</v>
      </c>
      <c r="I61" s="155"/>
      <c r="J61" s="155"/>
      <c r="K61" s="155"/>
      <c r="L61" s="155">
        <f t="shared" si="2"/>
        <v>-778761.83</v>
      </c>
    </row>
    <row r="62" spans="1:12" hidden="1" outlineLevel="1">
      <c r="A62" s="166">
        <f>'Historical NAV'!A1054</f>
        <v>45497</v>
      </c>
      <c r="B62" s="155">
        <v>-2418257.9300000002</v>
      </c>
      <c r="C62" s="155">
        <v>-12538.97</v>
      </c>
      <c r="D62" s="155">
        <v>-1663639.26</v>
      </c>
      <c r="E62" s="155">
        <v>-102396.6</v>
      </c>
      <c r="F62" s="155">
        <v>-154432.84</v>
      </c>
      <c r="G62" s="155">
        <v>441086.85</v>
      </c>
      <c r="H62" s="155">
        <v>128974.68</v>
      </c>
      <c r="I62" s="155"/>
      <c r="J62" s="155"/>
      <c r="K62" s="155"/>
      <c r="L62" s="155">
        <f t="shared" si="2"/>
        <v>-3781204.0699999994</v>
      </c>
    </row>
    <row r="63" spans="1:12" hidden="1" outlineLevel="1">
      <c r="A63" s="166">
        <f>'Historical NAV'!A1055</f>
        <v>45498</v>
      </c>
      <c r="B63" s="155">
        <v>-139113.70000000001</v>
      </c>
      <c r="C63" s="155">
        <v>-333649.61</v>
      </c>
      <c r="D63" s="155">
        <v>-233070.94</v>
      </c>
      <c r="E63" s="155">
        <v>35824.519999999997</v>
      </c>
      <c r="F63" s="155">
        <v>-338913.56000000011</v>
      </c>
      <c r="G63" s="155">
        <v>116466.67</v>
      </c>
      <c r="H63" s="155">
        <v>87157.4</v>
      </c>
      <c r="I63" s="155"/>
      <c r="J63" s="155"/>
      <c r="K63" s="155"/>
      <c r="L63" s="155">
        <f t="shared" si="2"/>
        <v>-805299.22</v>
      </c>
    </row>
    <row r="64" spans="1:12" hidden="1" outlineLevel="1">
      <c r="A64" s="166">
        <f>'Historical NAV'!A1056</f>
        <v>45499</v>
      </c>
      <c r="B64" s="155">
        <v>1354522.63</v>
      </c>
      <c r="C64" s="155">
        <v>29227.42</v>
      </c>
      <c r="D64" s="155">
        <v>201949.39</v>
      </c>
      <c r="E64" s="155">
        <v>72407.7</v>
      </c>
      <c r="F64" s="155">
        <v>307604.64</v>
      </c>
      <c r="G64" s="155">
        <v>64760.25</v>
      </c>
      <c r="H64" s="155">
        <v>38479.949999999997</v>
      </c>
      <c r="I64" s="155"/>
      <c r="J64" s="155"/>
      <c r="K64" s="155"/>
      <c r="L64" s="155">
        <f t="shared" ref="L64:L93" si="3">SUM(B64:K64)</f>
        <v>2068951.9799999997</v>
      </c>
    </row>
    <row r="65" spans="1:12" hidden="1" outlineLevel="1">
      <c r="A65" s="166">
        <f>'Historical NAV'!A1057</f>
        <v>45502</v>
      </c>
      <c r="B65" s="155">
        <v>-302201.08</v>
      </c>
      <c r="C65" s="155">
        <v>297398.18</v>
      </c>
      <c r="D65" s="155">
        <f>-281644.21-90000</f>
        <v>-371644.21</v>
      </c>
      <c r="E65" s="155">
        <v>19921.18</v>
      </c>
      <c r="F65" s="155">
        <v>-64154.74</v>
      </c>
      <c r="G65" s="155">
        <f>-90468.12+90000</f>
        <v>-468.11999999999534</v>
      </c>
      <c r="H65" s="155">
        <v>66591.13</v>
      </c>
      <c r="I65" s="155"/>
      <c r="J65" s="155"/>
      <c r="K65" s="155"/>
      <c r="L65" s="155">
        <f t="shared" si="3"/>
        <v>-354557.66000000003</v>
      </c>
    </row>
    <row r="66" spans="1:12" hidden="1" outlineLevel="1">
      <c r="A66" s="166">
        <f>'Historical NAV'!A1058</f>
        <v>45503</v>
      </c>
      <c r="B66" s="155">
        <v>-530420.34</v>
      </c>
      <c r="C66" s="155">
        <v>-277334.39</v>
      </c>
      <c r="D66" s="155">
        <v>-1354623.5</v>
      </c>
      <c r="E66" s="155">
        <v>21589.52</v>
      </c>
      <c r="F66" s="155">
        <v>163519.92000000001</v>
      </c>
      <c r="G66" s="155">
        <v>-175465</v>
      </c>
      <c r="H66" s="155">
        <v>5932.33</v>
      </c>
      <c r="I66" s="155"/>
      <c r="J66" s="155"/>
      <c r="K66" s="155"/>
      <c r="L66" s="155">
        <f t="shared" si="3"/>
        <v>-2146801.46</v>
      </c>
    </row>
    <row r="67" spans="1:12" s="47" customFormat="1" hidden="1" outlineLevel="1">
      <c r="A67" s="167">
        <f>'Historical NAV'!A1059</f>
        <v>45504</v>
      </c>
      <c r="B67" s="157">
        <v>2049105.63</v>
      </c>
      <c r="C67" s="157">
        <v>237889.3</v>
      </c>
      <c r="D67" s="157">
        <v>2435149.2999999998</v>
      </c>
      <c r="E67" s="157">
        <v>102279.83</v>
      </c>
      <c r="F67" s="157">
        <v>519853.99</v>
      </c>
      <c r="G67" s="157">
        <v>337501.95</v>
      </c>
      <c r="H67" s="157">
        <v>171208.22</v>
      </c>
      <c r="I67" s="157"/>
      <c r="J67" s="157"/>
      <c r="K67" s="157"/>
      <c r="L67" s="157">
        <f t="shared" si="3"/>
        <v>5852988.2199999997</v>
      </c>
    </row>
    <row r="68" spans="1:12" hidden="1" outlineLevel="1">
      <c r="A68" s="166">
        <f>'Historical NAV'!A1060</f>
        <v>45505</v>
      </c>
      <c r="B68" s="155">
        <v>-2866463.54</v>
      </c>
      <c r="C68" s="155">
        <v>29753.27</v>
      </c>
      <c r="D68" s="155">
        <v>-1512431</v>
      </c>
      <c r="E68" s="155">
        <v>-38964.42</v>
      </c>
      <c r="F68" s="155">
        <v>-428467.99</v>
      </c>
      <c r="G68" s="155">
        <v>180673.21</v>
      </c>
      <c r="H68" s="155">
        <v>-77397.23000000001</v>
      </c>
      <c r="I68" s="155"/>
      <c r="J68" s="155"/>
      <c r="K68" s="155"/>
      <c r="L68" s="155">
        <f t="shared" si="3"/>
        <v>-4713297.7</v>
      </c>
    </row>
    <row r="69" spans="1:12" hidden="1" outlineLevel="1">
      <c r="A69" s="166">
        <f>'Historical NAV'!A1061</f>
        <v>45506</v>
      </c>
      <c r="B69" s="155">
        <v>-2717185.6</v>
      </c>
      <c r="C69" s="155">
        <v>-334600.58</v>
      </c>
      <c r="D69" s="155">
        <v>-812418.47</v>
      </c>
      <c r="E69" s="155">
        <v>65754.13</v>
      </c>
      <c r="F69" s="155">
        <v>-268584.15999999997</v>
      </c>
      <c r="G69" s="155">
        <v>941518.65</v>
      </c>
      <c r="H69" s="155">
        <v>-54915.51</v>
      </c>
      <c r="I69" s="155"/>
      <c r="J69" s="155"/>
      <c r="K69" s="155"/>
      <c r="L69" s="155">
        <f t="shared" si="3"/>
        <v>-3180431.5400000005</v>
      </c>
    </row>
    <row r="70" spans="1:12" hidden="1" outlineLevel="1">
      <c r="A70" s="166">
        <f>'Historical NAV'!A1062</f>
        <v>45509</v>
      </c>
      <c r="B70" s="155">
        <v>-2681747.31</v>
      </c>
      <c r="C70" s="155">
        <v>-538666.93999999994</v>
      </c>
      <c r="D70" s="155">
        <v>-1093972.5</v>
      </c>
      <c r="E70" s="155">
        <v>-69279.19</v>
      </c>
      <c r="F70" s="155">
        <v>-345388.99</v>
      </c>
      <c r="G70" s="155">
        <v>-555138.85</v>
      </c>
      <c r="H70" s="155">
        <v>-62520.63</v>
      </c>
      <c r="I70" s="155"/>
      <c r="J70" s="155"/>
      <c r="K70" s="155"/>
      <c r="L70" s="155">
        <f t="shared" si="3"/>
        <v>-5346714.41</v>
      </c>
    </row>
    <row r="71" spans="1:12" hidden="1" outlineLevel="1">
      <c r="A71" s="166">
        <f>'Historical NAV'!A1063</f>
        <v>45510</v>
      </c>
      <c r="B71" s="155">
        <v>819532.69</v>
      </c>
      <c r="C71" s="155">
        <v>-120457.14</v>
      </c>
      <c r="D71" s="155">
        <v>993604.42999999993</v>
      </c>
      <c r="E71" s="155">
        <v>-57480.539999999994</v>
      </c>
      <c r="F71" s="155">
        <v>-158590.81</v>
      </c>
      <c r="G71" s="155">
        <v>-222470</v>
      </c>
      <c r="H71" s="155">
        <v>179060.06</v>
      </c>
      <c r="I71" s="155"/>
      <c r="J71" s="155"/>
      <c r="K71" s="155"/>
      <c r="L71" s="155">
        <f t="shared" si="3"/>
        <v>1433198.69</v>
      </c>
    </row>
    <row r="72" spans="1:12" hidden="1" outlineLevel="1">
      <c r="A72" s="166">
        <f>'Historical NAV'!A1064</f>
        <v>45511</v>
      </c>
      <c r="B72" s="155">
        <v>-741416.51</v>
      </c>
      <c r="C72" s="155">
        <v>282372.62</v>
      </c>
      <c r="D72" s="155">
        <v>-801311.13</v>
      </c>
      <c r="E72" s="155">
        <v>-46727.43</v>
      </c>
      <c r="F72" s="155">
        <v>12321.28</v>
      </c>
      <c r="G72" s="155">
        <v>-81949.149999999994</v>
      </c>
      <c r="H72" s="155">
        <v>-43054.48</v>
      </c>
      <c r="I72" s="155"/>
      <c r="J72" s="155"/>
      <c r="K72" s="155"/>
      <c r="L72" s="155">
        <f t="shared" si="3"/>
        <v>-1419764.7999999998</v>
      </c>
    </row>
    <row r="73" spans="1:12" hidden="1" outlineLevel="1">
      <c r="A73" s="166">
        <f>'Historical NAV'!A1065</f>
        <v>45512</v>
      </c>
      <c r="B73" s="155">
        <v>2494570.75</v>
      </c>
      <c r="C73" s="155">
        <v>111792.2</v>
      </c>
      <c r="D73" s="155">
        <v>1452676.5</v>
      </c>
      <c r="E73" s="155">
        <v>14118.44</v>
      </c>
      <c r="F73" s="155">
        <v>286824.89</v>
      </c>
      <c r="G73" s="155">
        <v>12563.74</v>
      </c>
      <c r="H73" s="155">
        <v>96830.97</v>
      </c>
      <c r="I73" s="155"/>
      <c r="J73" s="155"/>
      <c r="K73" s="155"/>
      <c r="L73" s="155">
        <f t="shared" si="3"/>
        <v>4469377.49</v>
      </c>
    </row>
    <row r="74" spans="1:12" hidden="1" outlineLevel="1">
      <c r="A74" s="166">
        <f>'Historical NAV'!A1066</f>
        <v>45513</v>
      </c>
      <c r="B74" s="155">
        <v>254023.54</v>
      </c>
      <c r="C74" s="155">
        <v>162412.5</v>
      </c>
      <c r="D74" s="155">
        <v>136041.5</v>
      </c>
      <c r="E74" s="155">
        <v>75653.37</v>
      </c>
      <c r="F74" s="155">
        <v>117610.09</v>
      </c>
      <c r="G74" s="155">
        <v>1350</v>
      </c>
      <c r="H74" s="155">
        <v>32782.22</v>
      </c>
      <c r="I74" s="155"/>
      <c r="J74" s="155"/>
      <c r="K74" s="155"/>
      <c r="L74" s="155">
        <f t="shared" si="3"/>
        <v>779873.22</v>
      </c>
    </row>
    <row r="75" spans="1:12" hidden="1" outlineLevel="1">
      <c r="A75" s="166">
        <f>'Historical NAV'!A1067</f>
        <v>45516</v>
      </c>
      <c r="B75" s="155">
        <v>36284.639999999999</v>
      </c>
      <c r="C75" s="155">
        <v>-20999.51</v>
      </c>
      <c r="D75" s="155">
        <v>639924.47999999998</v>
      </c>
      <c r="E75" s="155">
        <v>23748.31</v>
      </c>
      <c r="F75" s="155">
        <v>235321.23</v>
      </c>
      <c r="G75" s="155">
        <v>-9675</v>
      </c>
      <c r="H75" s="155">
        <v>33696.199999999997</v>
      </c>
      <c r="I75" s="155"/>
      <c r="J75" s="155"/>
      <c r="K75" s="155"/>
      <c r="L75" s="155">
        <f t="shared" si="3"/>
        <v>938300.35</v>
      </c>
    </row>
    <row r="76" spans="1:12" hidden="1" outlineLevel="1">
      <c r="A76" s="166">
        <f>'Historical NAV'!A1068</f>
        <v>45517</v>
      </c>
      <c r="B76" s="155">
        <v>1411495.67</v>
      </c>
      <c r="C76" s="155">
        <v>144397.43</v>
      </c>
      <c r="D76" s="155">
        <v>1280664.5</v>
      </c>
      <c r="E76" s="155">
        <v>253888.39</v>
      </c>
      <c r="F76" s="155">
        <v>-13001.43</v>
      </c>
      <c r="G76" s="155">
        <v>19500</v>
      </c>
      <c r="H76" s="155">
        <v>67528.36</v>
      </c>
      <c r="I76" s="155"/>
      <c r="J76" s="155"/>
      <c r="K76" s="155"/>
      <c r="L76" s="155">
        <f t="shared" si="3"/>
        <v>3164472.9199999995</v>
      </c>
    </row>
    <row r="77" spans="1:12" hidden="1" outlineLevel="1">
      <c r="A77" s="166">
        <f>'Historical NAV'!A1069</f>
        <v>45518</v>
      </c>
      <c r="B77" s="155">
        <v>151595.46</v>
      </c>
      <c r="C77" s="155">
        <v>-7803.6600000000026</v>
      </c>
      <c r="D77" s="155">
        <v>155845.5</v>
      </c>
      <c r="E77" s="155">
        <v>-11950.99</v>
      </c>
      <c r="F77" s="155">
        <v>-143661.4</v>
      </c>
      <c r="G77" s="155">
        <v>-2375</v>
      </c>
      <c r="H77" s="155">
        <v>27355.55</v>
      </c>
      <c r="I77" s="155"/>
      <c r="J77" s="155"/>
      <c r="K77" s="155"/>
      <c r="L77" s="155">
        <f t="shared" si="3"/>
        <v>169005.46</v>
      </c>
    </row>
    <row r="78" spans="1:12" hidden="1" outlineLevel="1">
      <c r="A78" s="166">
        <f>'Historical NAV'!A1070</f>
        <v>45519</v>
      </c>
      <c r="B78" s="155">
        <v>1851001.26</v>
      </c>
      <c r="C78" s="155">
        <v>33598.43</v>
      </c>
      <c r="D78" s="155">
        <v>934262.5</v>
      </c>
      <c r="E78" s="155">
        <v>173050.31</v>
      </c>
      <c r="F78" s="155">
        <v>54425.83</v>
      </c>
      <c r="G78" s="155">
        <v>37089.1</v>
      </c>
      <c r="H78" s="155">
        <v>50228.09</v>
      </c>
      <c r="I78" s="155"/>
      <c r="J78" s="155"/>
      <c r="K78" s="155"/>
      <c r="L78" s="155">
        <f t="shared" si="3"/>
        <v>3133655.52</v>
      </c>
    </row>
    <row r="79" spans="1:12" hidden="1" outlineLevel="1">
      <c r="A79" s="166">
        <f>'Historical NAV'!A1071</f>
        <v>45520</v>
      </c>
      <c r="B79" s="155">
        <v>210740.58</v>
      </c>
      <c r="C79" s="155">
        <v>330988.40000000002</v>
      </c>
      <c r="D79" s="155">
        <v>277651</v>
      </c>
      <c r="E79" s="155">
        <v>61780.74</v>
      </c>
      <c r="F79" s="155">
        <v>419292.62</v>
      </c>
      <c r="G79" s="155">
        <v>15038.2</v>
      </c>
      <c r="H79" s="155">
        <v>35426.46</v>
      </c>
      <c r="I79" s="155"/>
      <c r="J79" s="155"/>
      <c r="K79" s="155"/>
      <c r="L79" s="155">
        <f t="shared" si="3"/>
        <v>1350917.9999999998</v>
      </c>
    </row>
    <row r="80" spans="1:12" hidden="1" outlineLevel="1">
      <c r="A80" s="166">
        <f>'Historical NAV'!A1072</f>
        <v>45523</v>
      </c>
      <c r="B80" s="155">
        <v>-715644.52</v>
      </c>
      <c r="C80" s="155">
        <v>-188608.65</v>
      </c>
      <c r="D80" s="155">
        <v>-576625.5</v>
      </c>
      <c r="E80" s="155">
        <v>44933.16</v>
      </c>
      <c r="F80" s="155">
        <v>30412.63</v>
      </c>
      <c r="G80" s="155">
        <v>-5150</v>
      </c>
      <c r="H80" s="155">
        <v>16019.91</v>
      </c>
      <c r="I80" s="155"/>
      <c r="J80" s="155"/>
      <c r="K80" s="155"/>
      <c r="L80" s="155">
        <f t="shared" si="3"/>
        <v>-1394662.9700000002</v>
      </c>
    </row>
    <row r="81" spans="1:12" hidden="1" outlineLevel="1">
      <c r="A81" s="166">
        <f>'Historical NAV'!A1073</f>
        <v>45524</v>
      </c>
      <c r="B81" s="155">
        <v>644522.77</v>
      </c>
      <c r="C81" s="155">
        <v>-22274.78</v>
      </c>
      <c r="D81" s="155">
        <v>183320</v>
      </c>
      <c r="E81" s="155">
        <v>25223.040000000001</v>
      </c>
      <c r="F81" s="155">
        <v>8651.73</v>
      </c>
      <c r="G81" s="155">
        <v>21450</v>
      </c>
      <c r="H81" s="155">
        <v>30346.93</v>
      </c>
      <c r="I81" s="155"/>
      <c r="J81" s="155"/>
      <c r="K81" s="155"/>
      <c r="L81" s="155">
        <f t="shared" si="3"/>
        <v>891239.69000000006</v>
      </c>
    </row>
    <row r="82" spans="1:12" hidden="1" outlineLevel="1">
      <c r="A82" s="166">
        <f>'Historical NAV'!A1074</f>
        <v>45525</v>
      </c>
      <c r="B82" s="155">
        <v>1084410.94</v>
      </c>
      <c r="C82" s="155">
        <v>55147.7</v>
      </c>
      <c r="D82" s="155">
        <v>879480.5</v>
      </c>
      <c r="E82" s="155">
        <v>51727.11</v>
      </c>
      <c r="F82" s="155">
        <v>46362.710000000006</v>
      </c>
      <c r="G82" s="155">
        <v>2300</v>
      </c>
      <c r="H82" s="155">
        <v>1986.920000000001</v>
      </c>
      <c r="I82" s="155"/>
      <c r="J82" s="155"/>
      <c r="K82" s="155"/>
      <c r="L82" s="155">
        <f t="shared" si="3"/>
        <v>2121415.88</v>
      </c>
    </row>
    <row r="83" spans="1:12" hidden="1" outlineLevel="1">
      <c r="A83" s="166">
        <f>'Historical NAV'!A1075</f>
        <v>45526</v>
      </c>
      <c r="B83" s="155">
        <v>-1061671.53</v>
      </c>
      <c r="C83" s="155">
        <v>81860.7</v>
      </c>
      <c r="D83" s="155">
        <v>-960480</v>
      </c>
      <c r="E83" s="155">
        <v>-74029.42</v>
      </c>
      <c r="F83" s="155">
        <v>-191251.66</v>
      </c>
      <c r="G83" s="155">
        <v>-33511.800000000003</v>
      </c>
      <c r="H83" s="155">
        <v>-135759.04000000001</v>
      </c>
      <c r="I83" s="155"/>
      <c r="J83" s="155"/>
      <c r="K83" s="155"/>
      <c r="L83" s="155">
        <f t="shared" si="3"/>
        <v>-2374842.75</v>
      </c>
    </row>
    <row r="84" spans="1:12" hidden="1" outlineLevel="1">
      <c r="A84" s="166">
        <f>'Historical NAV'!A1076</f>
        <v>45527</v>
      </c>
      <c r="B84" s="155">
        <v>1534219.32</v>
      </c>
      <c r="C84" s="155">
        <v>67646.069999999992</v>
      </c>
      <c r="D84" s="155">
        <v>1081639</v>
      </c>
      <c r="E84" s="155">
        <v>114289.74</v>
      </c>
      <c r="F84" s="155">
        <v>238514.86</v>
      </c>
      <c r="G84" s="155">
        <v>217050</v>
      </c>
      <c r="H84" s="155">
        <v>10265.52</v>
      </c>
      <c r="I84" s="155"/>
      <c r="J84" s="155"/>
      <c r="K84" s="155"/>
      <c r="L84" s="155">
        <f t="shared" si="3"/>
        <v>3263624.5100000002</v>
      </c>
    </row>
    <row r="85" spans="1:12" hidden="1" outlineLevel="1">
      <c r="A85" s="166">
        <f>'Historical NAV'!A1077</f>
        <v>45530</v>
      </c>
      <c r="B85" s="155">
        <v>-584710.52</v>
      </c>
      <c r="C85" s="155">
        <v>163630.45000000001</v>
      </c>
      <c r="D85" s="155">
        <v>-666074.5</v>
      </c>
      <c r="E85" s="155">
        <v>-20738.23</v>
      </c>
      <c r="F85" s="155">
        <v>91576.51999999999</v>
      </c>
      <c r="G85" s="155">
        <v>-120275</v>
      </c>
      <c r="H85" s="155">
        <v>75453.03</v>
      </c>
      <c r="I85" s="155"/>
      <c r="J85" s="155"/>
      <c r="K85" s="155"/>
      <c r="L85" s="155">
        <f t="shared" si="3"/>
        <v>-1061138.25</v>
      </c>
    </row>
    <row r="86" spans="1:12" hidden="1" outlineLevel="1">
      <c r="A86" s="166">
        <f>'Historical NAV'!A1078</f>
        <v>45531</v>
      </c>
      <c r="B86" s="155">
        <v>161193.19</v>
      </c>
      <c r="C86" s="155">
        <v>254132.26</v>
      </c>
      <c r="D86" s="155">
        <v>354095.48</v>
      </c>
      <c r="E86" s="155">
        <v>-6292.72</v>
      </c>
      <c r="F86" s="155">
        <v>-1136.110000000001</v>
      </c>
      <c r="G86" s="155">
        <v>46125</v>
      </c>
      <c r="H86" s="155">
        <v>21139.45</v>
      </c>
      <c r="I86" s="155"/>
      <c r="J86" s="155"/>
      <c r="K86" s="155"/>
      <c r="L86" s="155">
        <f t="shared" si="3"/>
        <v>829256.54999999993</v>
      </c>
    </row>
    <row r="87" spans="1:12" hidden="1" outlineLevel="1">
      <c r="A87" s="166">
        <f>'Historical NAV'!A1079</f>
        <v>45532</v>
      </c>
      <c r="B87" s="155">
        <v>-718551.13</v>
      </c>
      <c r="C87" s="155">
        <v>-163582.35</v>
      </c>
      <c r="D87" s="155">
        <v>-497055.5</v>
      </c>
      <c r="E87" s="155">
        <v>-21661.54</v>
      </c>
      <c r="F87" s="155">
        <v>-190061.43</v>
      </c>
      <c r="G87" s="155">
        <v>-181360</v>
      </c>
      <c r="H87" s="155">
        <v>3352.39</v>
      </c>
      <c r="I87" s="155"/>
      <c r="J87" s="155"/>
      <c r="K87" s="155"/>
      <c r="L87" s="155">
        <f t="shared" si="3"/>
        <v>-1768919.56</v>
      </c>
    </row>
    <row r="88" spans="1:12" hidden="1" outlineLevel="1">
      <c r="A88" s="166">
        <f>'Historical NAV'!A1080</f>
        <v>45533</v>
      </c>
      <c r="B88" s="155">
        <v>52943.56</v>
      </c>
      <c r="C88" s="155">
        <v>-37811.879999999997</v>
      </c>
      <c r="D88" s="155">
        <v>-1101245.5</v>
      </c>
      <c r="E88" s="155">
        <v>-10238.39</v>
      </c>
      <c r="F88" s="155">
        <v>114184.63</v>
      </c>
      <c r="G88" s="155">
        <v>-123025</v>
      </c>
      <c r="H88" s="155">
        <v>-908.28000000000247</v>
      </c>
      <c r="I88" s="155"/>
      <c r="J88" s="155"/>
      <c r="K88" s="155"/>
      <c r="L88" s="155">
        <f t="shared" si="3"/>
        <v>-1106100.8600000001</v>
      </c>
    </row>
    <row r="89" spans="1:12" s="47" customFormat="1" hidden="1" outlineLevel="1">
      <c r="A89" s="167">
        <f>'Historical NAV'!A1081</f>
        <v>45534</v>
      </c>
      <c r="B89" s="157">
        <v>1022491.95</v>
      </c>
      <c r="C89" s="157">
        <v>248571.7</v>
      </c>
      <c r="D89" s="157">
        <v>428766.5</v>
      </c>
      <c r="E89" s="157">
        <v>-47991.75</v>
      </c>
      <c r="F89" s="157">
        <v>-133427.34</v>
      </c>
      <c r="G89" s="157">
        <v>323145</v>
      </c>
      <c r="H89" s="157">
        <v>131174.17000000001</v>
      </c>
      <c r="I89" s="157"/>
      <c r="J89" s="157"/>
      <c r="K89" s="157"/>
      <c r="L89" s="157">
        <f t="shared" si="3"/>
        <v>1972730.2299999997</v>
      </c>
    </row>
    <row r="90" spans="1:12" hidden="1" outlineLevel="1">
      <c r="A90" s="166">
        <f>'Historical NAV'!A1082</f>
        <v>45537</v>
      </c>
      <c r="B90" s="155">
        <v>0</v>
      </c>
      <c r="C90" s="155">
        <v>-262789.71999999997</v>
      </c>
      <c r="D90" s="155">
        <v>-2600</v>
      </c>
      <c r="E90" s="155">
        <v>0</v>
      </c>
      <c r="F90" s="155">
        <v>-31890.57</v>
      </c>
      <c r="G90" s="155">
        <v>0</v>
      </c>
      <c r="H90" s="155">
        <v>7688.81</v>
      </c>
      <c r="I90" s="155"/>
      <c r="J90" s="155"/>
      <c r="K90" s="155"/>
      <c r="L90" s="155">
        <f t="shared" si="3"/>
        <v>-289591.48</v>
      </c>
    </row>
    <row r="91" spans="1:12" hidden="1" outlineLevel="1">
      <c r="A91" s="166">
        <f>'Historical NAV'!A1083</f>
        <v>45538</v>
      </c>
      <c r="B91" s="155">
        <f>-2832102.36-664686.16-664686.16</f>
        <v>-4161474.68</v>
      </c>
      <c r="C91" s="155">
        <v>-40860.629999999997</v>
      </c>
      <c r="D91" s="155">
        <v>-2305481.42</v>
      </c>
      <c r="E91" s="155">
        <v>-4630.7299999999959</v>
      </c>
      <c r="F91" s="155">
        <v>-173727.58</v>
      </c>
      <c r="G91" s="155">
        <v>664686.16</v>
      </c>
      <c r="H91" s="155">
        <v>-206661.72</v>
      </c>
      <c r="I91" s="155"/>
      <c r="J91" s="155"/>
      <c r="K91" s="155"/>
      <c r="L91" s="155">
        <f t="shared" si="3"/>
        <v>-6228150.6000000006</v>
      </c>
    </row>
    <row r="92" spans="1:12" hidden="1" outlineLevel="1">
      <c r="A92" s="166">
        <f>'Historical NAV'!A1084</f>
        <v>45539</v>
      </c>
      <c r="B92" s="155">
        <v>-258381.05</v>
      </c>
      <c r="C92" s="155">
        <v>-453396.63</v>
      </c>
      <c r="D92" s="155">
        <v>-191703.86</v>
      </c>
      <c r="E92" s="155">
        <v>103336.49</v>
      </c>
      <c r="F92" s="155">
        <v>-173381.46</v>
      </c>
      <c r="G92" s="155">
        <v>-334008.84999999998</v>
      </c>
      <c r="H92" s="155">
        <v>-5606.6400000000012</v>
      </c>
      <c r="I92" s="155"/>
      <c r="J92" s="155"/>
      <c r="K92" s="155"/>
      <c r="L92" s="155">
        <f t="shared" si="3"/>
        <v>-1313141.9999999998</v>
      </c>
    </row>
    <row r="93" spans="1:12" hidden="1" outlineLevel="1">
      <c r="A93" s="166">
        <f>'Historical NAV'!A1085</f>
        <v>45540</v>
      </c>
      <c r="B93" s="155">
        <v>-370947.86</v>
      </c>
      <c r="C93" s="155">
        <v>12143.12999999999</v>
      </c>
      <c r="D93" s="155">
        <v>259847.78</v>
      </c>
      <c r="E93" s="155">
        <v>75017.48000000001</v>
      </c>
      <c r="F93" s="155">
        <v>67627.64</v>
      </c>
      <c r="G93" s="155">
        <v>-47087.5</v>
      </c>
      <c r="H93" s="155">
        <v>83796.75</v>
      </c>
      <c r="I93" s="155"/>
      <c r="J93" s="155"/>
      <c r="K93" s="155"/>
      <c r="L93" s="155">
        <f t="shared" si="3"/>
        <v>80397.420000000027</v>
      </c>
    </row>
    <row r="94" spans="1:12" hidden="1" outlineLevel="1">
      <c r="A94" s="166">
        <f>'Historical NAV'!A1086</f>
        <v>45541</v>
      </c>
      <c r="B94" s="155">
        <v>-3943211.44</v>
      </c>
      <c r="C94" s="155">
        <v>-148358.25</v>
      </c>
      <c r="D94" s="155">
        <f>-2336944.59</f>
        <v>-2336944.59</v>
      </c>
      <c r="E94" s="155">
        <v>30478.1</v>
      </c>
      <c r="F94" s="155">
        <v>-386720</v>
      </c>
      <c r="G94" s="155">
        <v>248957.25</v>
      </c>
      <c r="H94" s="155">
        <v>-71439.01999999999</v>
      </c>
      <c r="I94" s="155"/>
      <c r="J94" s="155"/>
      <c r="K94" s="155"/>
      <c r="L94" s="266">
        <v>-3459052.6285561994</v>
      </c>
    </row>
    <row r="95" spans="1:12" hidden="1" outlineLevel="1">
      <c r="A95" s="166">
        <f>'Historical NAV'!A1087</f>
        <v>45544</v>
      </c>
      <c r="B95" s="155">
        <v>985778.41999999993</v>
      </c>
      <c r="C95" s="155">
        <v>-311038.5</v>
      </c>
      <c r="D95" s="155">
        <v>907811.22</v>
      </c>
      <c r="E95" s="155">
        <v>51682.44</v>
      </c>
      <c r="F95" s="155">
        <v>88210.07</v>
      </c>
      <c r="G95" s="155">
        <v>-25993.68</v>
      </c>
      <c r="H95" s="155">
        <v>257227.25</v>
      </c>
      <c r="I95" s="155"/>
      <c r="J95" s="155"/>
      <c r="K95" s="155"/>
      <c r="L95" s="155">
        <f t="shared" ref="L95:L126" si="4">SUM(B95:K95)</f>
        <v>1953677.22</v>
      </c>
    </row>
    <row r="96" spans="1:12" hidden="1" outlineLevel="1">
      <c r="A96" s="166">
        <f>'Historical NAV'!A1088</f>
        <v>45545</v>
      </c>
      <c r="B96" s="155">
        <v>365537.75</v>
      </c>
      <c r="C96" s="155">
        <v>-4488.3600000000024</v>
      </c>
      <c r="D96" s="155">
        <v>531786.14</v>
      </c>
      <c r="E96" s="155">
        <v>101103.65</v>
      </c>
      <c r="F96" s="155">
        <v>78131.47</v>
      </c>
      <c r="G96" s="155">
        <v>134199.5</v>
      </c>
      <c r="H96" s="155">
        <v>173820.79</v>
      </c>
      <c r="I96" s="155"/>
      <c r="J96" s="155"/>
      <c r="K96" s="155"/>
      <c r="L96" s="155">
        <f t="shared" si="4"/>
        <v>1380090.9400000002</v>
      </c>
    </row>
    <row r="97" spans="1:12" hidden="1" outlineLevel="1">
      <c r="A97" s="166">
        <f>'Historical NAV'!A1089</f>
        <v>45546</v>
      </c>
      <c r="B97" s="155">
        <v>1178064.01</v>
      </c>
      <c r="C97" s="155">
        <v>-74849.11</v>
      </c>
      <c r="D97" s="155">
        <v>1787279.79</v>
      </c>
      <c r="E97" s="155">
        <v>23092.05</v>
      </c>
      <c r="F97" s="155">
        <v>-8453.4500000000007</v>
      </c>
      <c r="G97" s="155">
        <v>110400.6</v>
      </c>
      <c r="H97" s="155">
        <v>283492.65000000002</v>
      </c>
      <c r="I97" s="155"/>
      <c r="J97" s="155"/>
      <c r="K97" s="155"/>
      <c r="L97" s="155">
        <f t="shared" si="4"/>
        <v>3299026.5399999996</v>
      </c>
    </row>
    <row r="98" spans="1:12" hidden="1" outlineLevel="1">
      <c r="A98" s="166">
        <f>'Historical NAV'!A1090</f>
        <v>45547</v>
      </c>
      <c r="B98" s="155">
        <v>725486.46000000008</v>
      </c>
      <c r="C98" s="155">
        <v>114794.99</v>
      </c>
      <c r="D98" s="155">
        <v>448216</v>
      </c>
      <c r="E98" s="155">
        <v>490.27999999999878</v>
      </c>
      <c r="F98" s="155">
        <v>285566.59999999998</v>
      </c>
      <c r="G98" s="155">
        <v>59322.8</v>
      </c>
      <c r="H98" s="155">
        <v>21104.94</v>
      </c>
      <c r="I98" s="155"/>
      <c r="J98" s="155"/>
      <c r="K98" s="155"/>
      <c r="L98" s="155">
        <f t="shared" si="4"/>
        <v>1654982.07</v>
      </c>
    </row>
    <row r="99" spans="1:12" hidden="1" outlineLevel="1">
      <c r="A99" s="166">
        <f>'Historical NAV'!A1091</f>
        <v>45548</v>
      </c>
      <c r="B99" s="155">
        <v>796371.79</v>
      </c>
      <c r="C99" s="155">
        <v>86072.04</v>
      </c>
      <c r="D99" s="155">
        <v>96675.5</v>
      </c>
      <c r="E99" s="155">
        <v>59012.69</v>
      </c>
      <c r="F99" s="155">
        <v>194640.51</v>
      </c>
      <c r="G99" s="155">
        <v>43750</v>
      </c>
      <c r="H99" s="155">
        <v>75521.03</v>
      </c>
      <c r="I99" s="155"/>
      <c r="J99" s="155"/>
      <c r="K99" s="155"/>
      <c r="L99" s="155">
        <f t="shared" si="4"/>
        <v>1352043.56</v>
      </c>
    </row>
    <row r="100" spans="1:12" hidden="1" outlineLevel="1">
      <c r="A100" s="166">
        <f>'Historical NAV'!A1092</f>
        <v>45551</v>
      </c>
      <c r="B100" s="155">
        <v>40075.719999999979</v>
      </c>
      <c r="C100" s="155">
        <v>5425.35</v>
      </c>
      <c r="D100" s="155">
        <v>-610742.75</v>
      </c>
      <c r="E100" s="155">
        <v>101513.05</v>
      </c>
      <c r="F100" s="155">
        <v>-22087.02</v>
      </c>
      <c r="G100" s="155">
        <v>-32433.599999999999</v>
      </c>
      <c r="H100" s="155">
        <v>77321.72</v>
      </c>
      <c r="I100" s="155"/>
      <c r="J100" s="155"/>
      <c r="K100" s="155"/>
      <c r="L100" s="155">
        <f t="shared" si="4"/>
        <v>-440927.53</v>
      </c>
    </row>
    <row r="101" spans="1:12" hidden="1" outlineLevel="1">
      <c r="A101" s="166">
        <f>'Historical NAV'!A1093</f>
        <v>45552</v>
      </c>
      <c r="B101" s="155">
        <v>238992.42</v>
      </c>
      <c r="C101" s="155">
        <v>190138.11</v>
      </c>
      <c r="D101" s="155">
        <v>-302406</v>
      </c>
      <c r="E101" s="155">
        <v>-7132</v>
      </c>
      <c r="F101" s="155">
        <v>-16714</v>
      </c>
      <c r="G101" s="155">
        <v>-20725</v>
      </c>
      <c r="H101" s="155">
        <v>39600.5</v>
      </c>
      <c r="I101" s="155"/>
      <c r="J101" s="155"/>
      <c r="K101" s="155"/>
      <c r="L101" s="155">
        <f t="shared" si="4"/>
        <v>121754.03000000003</v>
      </c>
    </row>
    <row r="102" spans="1:12" hidden="1" outlineLevel="1">
      <c r="A102" s="166">
        <f>'Historical NAV'!A1094</f>
        <v>45553</v>
      </c>
      <c r="B102" s="155">
        <v>-386828.74</v>
      </c>
      <c r="C102" s="155">
        <v>-2084.190000000001</v>
      </c>
      <c r="D102" s="155">
        <v>-387125.5</v>
      </c>
      <c r="E102" s="155">
        <v>-70956.959999999992</v>
      </c>
      <c r="F102" s="155">
        <v>-97745.95</v>
      </c>
      <c r="G102" s="155">
        <v>-63000</v>
      </c>
      <c r="H102" s="155">
        <v>13269.69</v>
      </c>
      <c r="I102" s="155"/>
      <c r="J102" s="155"/>
      <c r="K102" s="155"/>
      <c r="L102" s="155">
        <f t="shared" si="4"/>
        <v>-994471.64999999991</v>
      </c>
    </row>
    <row r="103" spans="1:12" hidden="1" outlineLevel="1">
      <c r="A103" s="166">
        <f>'Historical NAV'!A1095</f>
        <v>45554</v>
      </c>
      <c r="B103" s="155">
        <v>1943878.6</v>
      </c>
      <c r="C103" s="155">
        <v>317574.7</v>
      </c>
      <c r="D103" s="155">
        <v>1281066</v>
      </c>
      <c r="E103" s="155">
        <v>56955.1</v>
      </c>
      <c r="F103" s="155">
        <v>315544.62</v>
      </c>
      <c r="G103" s="155">
        <v>350700</v>
      </c>
      <c r="H103" s="155">
        <v>78405.06</v>
      </c>
      <c r="I103" s="155"/>
      <c r="J103" s="155"/>
      <c r="K103" s="155"/>
      <c r="L103" s="155">
        <f t="shared" si="4"/>
        <v>4344124.08</v>
      </c>
    </row>
    <row r="104" spans="1:12" hidden="1" outlineLevel="1">
      <c r="A104" s="166">
        <f>'Historical NAV'!A1096</f>
        <v>45555</v>
      </c>
      <c r="B104" s="155">
        <v>-398442.01</v>
      </c>
      <c r="C104" s="155">
        <v>53913.56</v>
      </c>
      <c r="D104" s="155">
        <v>-417166</v>
      </c>
      <c r="E104" s="155">
        <v>-14179.89</v>
      </c>
      <c r="F104" s="155">
        <v>192718.07</v>
      </c>
      <c r="G104" s="155">
        <v>-13738</v>
      </c>
      <c r="H104" s="155">
        <v>72404.289999999994</v>
      </c>
      <c r="I104" s="155"/>
      <c r="J104" s="155"/>
      <c r="K104" s="155"/>
      <c r="L104" s="155">
        <f t="shared" si="4"/>
        <v>-524489.98</v>
      </c>
    </row>
    <row r="105" spans="1:12" hidden="1" outlineLevel="1">
      <c r="A105" s="166">
        <f>'Historical NAV'!A1097</f>
        <v>45558</v>
      </c>
      <c r="B105" s="155">
        <v>146450.64000000001</v>
      </c>
      <c r="C105" s="155">
        <v>-48491.590000000011</v>
      </c>
      <c r="D105" s="155">
        <v>90587</v>
      </c>
      <c r="E105" s="155">
        <v>-14089.28</v>
      </c>
      <c r="F105" s="155">
        <v>71626.070000000007</v>
      </c>
      <c r="G105" s="155">
        <v>46100</v>
      </c>
      <c r="H105" s="155">
        <v>63562.59</v>
      </c>
      <c r="I105" s="155"/>
      <c r="J105" s="155"/>
      <c r="K105" s="155"/>
      <c r="L105" s="155">
        <f t="shared" si="4"/>
        <v>355745.42999999993</v>
      </c>
    </row>
    <row r="106" spans="1:12" hidden="1" outlineLevel="1">
      <c r="A106" s="166">
        <f>'Historical NAV'!A1098</f>
        <v>45559</v>
      </c>
      <c r="B106" s="155">
        <v>346136.06</v>
      </c>
      <c r="C106" s="155">
        <v>589312.82000000007</v>
      </c>
      <c r="D106" s="155">
        <v>1207125.33</v>
      </c>
      <c r="E106" s="155">
        <v>35031.96</v>
      </c>
      <c r="F106" s="155">
        <v>244700.59</v>
      </c>
      <c r="G106" s="155">
        <v>86300</v>
      </c>
      <c r="H106" s="155">
        <v>56359.87</v>
      </c>
      <c r="I106" s="155"/>
      <c r="J106" s="155"/>
      <c r="K106" s="155"/>
      <c r="L106" s="155">
        <f t="shared" si="4"/>
        <v>2564966.63</v>
      </c>
    </row>
    <row r="107" spans="1:12" hidden="1" outlineLevel="1">
      <c r="A107" s="166">
        <f>'Historical NAV'!A1099</f>
        <v>45560</v>
      </c>
      <c r="B107" s="155">
        <v>-790749.91</v>
      </c>
      <c r="C107" s="155">
        <v>27077.570000000011</v>
      </c>
      <c r="D107" s="155">
        <v>1485876.98</v>
      </c>
      <c r="E107" s="155">
        <v>-228442.89</v>
      </c>
      <c r="F107" s="155">
        <v>-239860.62</v>
      </c>
      <c r="G107" s="155">
        <v>70800</v>
      </c>
      <c r="H107" s="155">
        <v>33947.839999999997</v>
      </c>
      <c r="I107" s="155"/>
      <c r="J107" s="155"/>
      <c r="K107" s="155"/>
      <c r="L107" s="155">
        <f t="shared" si="4"/>
        <v>358648.97</v>
      </c>
    </row>
    <row r="108" spans="1:12" hidden="1" outlineLevel="1">
      <c r="A108" s="166">
        <f>'Historical NAV'!A1100</f>
        <v>45561</v>
      </c>
      <c r="B108" s="155">
        <v>1395264.91</v>
      </c>
      <c r="C108" s="155">
        <v>1177109.73</v>
      </c>
      <c r="D108" s="155">
        <v>517412.52</v>
      </c>
      <c r="E108" s="155">
        <v>-82.239999999997963</v>
      </c>
      <c r="F108" s="155">
        <v>176782.5</v>
      </c>
      <c r="G108" s="155">
        <v>315700</v>
      </c>
      <c r="H108" s="155">
        <v>79664.63</v>
      </c>
      <c r="I108" s="155"/>
      <c r="J108" s="155"/>
      <c r="K108" s="155"/>
      <c r="L108" s="155">
        <f t="shared" si="4"/>
        <v>3661852.0499999993</v>
      </c>
    </row>
    <row r="109" spans="1:12" hidden="1" outlineLevel="1">
      <c r="A109" s="166">
        <f>'Historical NAV'!A1101</f>
        <v>45562</v>
      </c>
      <c r="B109" s="155">
        <v>75100.450000000012</v>
      </c>
      <c r="C109" s="155">
        <v>166351.26999999999</v>
      </c>
      <c r="D109" s="155">
        <v>-1490807</v>
      </c>
      <c r="E109" s="155">
        <v>68287.010000000009</v>
      </c>
      <c r="F109" s="155">
        <v>-61052.759999999987</v>
      </c>
      <c r="G109" s="155">
        <v>-185775</v>
      </c>
      <c r="H109" s="155">
        <v>107190.18</v>
      </c>
      <c r="I109" s="155"/>
      <c r="J109" s="155"/>
      <c r="K109" s="155"/>
      <c r="L109" s="155">
        <f t="shared" si="4"/>
        <v>-1320705.8500000001</v>
      </c>
    </row>
    <row r="110" spans="1:12" s="47" customFormat="1" hidden="1" outlineLevel="1">
      <c r="A110" s="167">
        <f>'Historical NAV'!A1102</f>
        <v>45565</v>
      </c>
      <c r="B110" s="157">
        <v>185466.61</v>
      </c>
      <c r="C110" s="157">
        <v>207903.42</v>
      </c>
      <c r="D110" s="157">
        <v>-383396.17</v>
      </c>
      <c r="E110" s="157">
        <v>-30989.53</v>
      </c>
      <c r="F110" s="157">
        <v>-155972.76</v>
      </c>
      <c r="G110" s="157">
        <v>90150</v>
      </c>
      <c r="H110" s="157">
        <v>97332.23</v>
      </c>
      <c r="I110" s="157"/>
      <c r="J110" s="157"/>
      <c r="K110" s="157"/>
      <c r="L110" s="157">
        <f t="shared" si="4"/>
        <v>10493.800000000032</v>
      </c>
    </row>
    <row r="111" spans="1:12" hidden="1" outlineLevel="1">
      <c r="A111" s="166">
        <f>'Historical NAV'!A1103</f>
        <v>45566</v>
      </c>
      <c r="B111" s="155">
        <f>-663075.12</f>
        <v>-663075.12</v>
      </c>
      <c r="C111" s="155">
        <v>35058.36</v>
      </c>
      <c r="D111" s="155">
        <v>-1181063</v>
      </c>
      <c r="E111" s="155">
        <v>-4523.57</v>
      </c>
      <c r="F111" s="155">
        <v>156632.14000000001</v>
      </c>
      <c r="G111" s="155">
        <f>-482500</f>
        <v>-482500</v>
      </c>
      <c r="H111" s="155">
        <v>-113084.87</v>
      </c>
      <c r="I111" s="155"/>
      <c r="J111" s="155"/>
      <c r="K111" s="155"/>
      <c r="L111" s="155">
        <f t="shared" si="4"/>
        <v>-2252556.06</v>
      </c>
    </row>
    <row r="112" spans="1:12" hidden="1" outlineLevel="1">
      <c r="A112" s="166">
        <f>'Historical NAV'!A1104</f>
        <v>45567</v>
      </c>
      <c r="B112" s="155">
        <v>129173.89</v>
      </c>
      <c r="C112" s="155">
        <v>787345.39</v>
      </c>
      <c r="D112" s="155">
        <v>790934</v>
      </c>
      <c r="E112" s="155">
        <v>-23494.48</v>
      </c>
      <c r="F112" s="155">
        <v>-7405.9500000000007</v>
      </c>
      <c r="G112" s="155">
        <v>49650</v>
      </c>
      <c r="H112" s="155">
        <v>88317.66</v>
      </c>
      <c r="I112" s="155"/>
      <c r="J112" s="155"/>
      <c r="K112" s="155"/>
      <c r="L112" s="155">
        <f t="shared" si="4"/>
        <v>1814520.51</v>
      </c>
    </row>
    <row r="113" spans="1:12" hidden="1" outlineLevel="1">
      <c r="A113" s="166">
        <f>'Historical NAV'!A1105</f>
        <v>45568</v>
      </c>
      <c r="B113" s="155">
        <v>-72995.12</v>
      </c>
      <c r="C113" s="155">
        <v>-227846.34</v>
      </c>
      <c r="D113" s="155">
        <v>1208595</v>
      </c>
      <c r="E113" s="155">
        <v>-77635.460000000006</v>
      </c>
      <c r="F113" s="155">
        <v>6538.23</v>
      </c>
      <c r="G113" s="155">
        <v>-48800</v>
      </c>
      <c r="H113" s="155">
        <v>17024.62</v>
      </c>
      <c r="I113" s="155"/>
      <c r="J113" s="155"/>
      <c r="K113" s="155"/>
      <c r="L113" s="155">
        <f t="shared" si="4"/>
        <v>804880.93</v>
      </c>
    </row>
    <row r="114" spans="1:12" hidden="1" outlineLevel="1">
      <c r="A114" s="166">
        <f>'Historical NAV'!A1106</f>
        <v>45569</v>
      </c>
      <c r="B114" s="155">
        <v>814663.82</v>
      </c>
      <c r="C114" s="155">
        <v>327280.73</v>
      </c>
      <c r="D114" s="155">
        <v>650723</v>
      </c>
      <c r="E114" s="155">
        <v>-65657.69</v>
      </c>
      <c r="F114" s="155">
        <v>-16664.88</v>
      </c>
      <c r="G114" s="155">
        <v>432800</v>
      </c>
      <c r="H114" s="155">
        <v>219486.03</v>
      </c>
      <c r="I114" s="155"/>
      <c r="J114" s="155"/>
      <c r="K114" s="155"/>
      <c r="L114" s="155">
        <f t="shared" si="4"/>
        <v>2362631.0099999998</v>
      </c>
    </row>
    <row r="115" spans="1:12" hidden="1" outlineLevel="1">
      <c r="A115" s="166">
        <f>'Historical NAV'!A1107</f>
        <v>45572</v>
      </c>
      <c r="B115" s="155">
        <f>-787155.28</f>
        <v>-787155.28</v>
      </c>
      <c r="C115" s="155">
        <v>228783.94</v>
      </c>
      <c r="D115" s="155">
        <v>862488</v>
      </c>
      <c r="E115" s="155">
        <v>-98023.88</v>
      </c>
      <c r="F115" s="155">
        <v>-47939.23</v>
      </c>
      <c r="G115" s="155">
        <f>-438800</f>
        <v>-438800</v>
      </c>
      <c r="H115" s="155">
        <v>-64138.31</v>
      </c>
      <c r="I115" s="155"/>
      <c r="J115" s="155"/>
      <c r="K115" s="155"/>
      <c r="L115" s="155">
        <f t="shared" si="4"/>
        <v>-344784.76000000007</v>
      </c>
    </row>
    <row r="116" spans="1:12" hidden="1" outlineLevel="1">
      <c r="A116" s="166">
        <f>'Historical NAV'!A1108</f>
        <v>45573</v>
      </c>
      <c r="B116" s="155">
        <v>508166.38</v>
      </c>
      <c r="C116" s="155">
        <v>-1234274.8600000001</v>
      </c>
      <c r="D116" s="155">
        <v>1352058</v>
      </c>
      <c r="E116" s="155">
        <v>33751.57</v>
      </c>
      <c r="F116" s="155">
        <v>-184725.8</v>
      </c>
      <c r="G116" s="155">
        <v>628575</v>
      </c>
      <c r="H116" s="155">
        <v>-80179.63</v>
      </c>
      <c r="I116" s="155"/>
      <c r="J116" s="155"/>
      <c r="K116" s="155"/>
      <c r="L116" s="155">
        <f t="shared" si="4"/>
        <v>1023370.6599999998</v>
      </c>
    </row>
    <row r="117" spans="1:12" hidden="1" outlineLevel="1">
      <c r="A117" s="166">
        <f>'Historical NAV'!A1109</f>
        <v>45574</v>
      </c>
      <c r="B117" s="155">
        <v>584082.42000000004</v>
      </c>
      <c r="C117" s="155">
        <v>-226459.83</v>
      </c>
      <c r="D117" s="155">
        <v>111703</v>
      </c>
      <c r="E117" s="155">
        <v>-40715.68</v>
      </c>
      <c r="F117" s="155">
        <v>-77974.92</v>
      </c>
      <c r="G117" s="155">
        <v>193775</v>
      </c>
      <c r="H117" s="155">
        <v>135253.46</v>
      </c>
      <c r="I117" s="155"/>
      <c r="J117" s="155"/>
      <c r="K117" s="155"/>
      <c r="L117" s="155">
        <f t="shared" si="4"/>
        <v>679663.45000000007</v>
      </c>
    </row>
    <row r="118" spans="1:12" hidden="1" outlineLevel="1">
      <c r="A118" s="166">
        <f>'Historical NAV'!A1110</f>
        <v>45575</v>
      </c>
      <c r="B118" s="155">
        <v>-171443.82</v>
      </c>
      <c r="C118" s="155">
        <v>366406.27</v>
      </c>
      <c r="D118" s="155">
        <v>331557.12</v>
      </c>
      <c r="E118" s="155">
        <v>-11385.25</v>
      </c>
      <c r="F118" s="155">
        <v>124601.37</v>
      </c>
      <c r="G118" s="155">
        <v>-62175</v>
      </c>
      <c r="H118" s="155">
        <v>73283.94</v>
      </c>
      <c r="I118" s="155"/>
      <c r="J118" s="155"/>
      <c r="K118" s="155"/>
      <c r="L118" s="155">
        <f t="shared" si="4"/>
        <v>650844.63000000012</v>
      </c>
    </row>
    <row r="119" spans="1:12" hidden="1" outlineLevel="1">
      <c r="A119" s="166">
        <f>'Historical NAV'!A1111</f>
        <v>45576</v>
      </c>
      <c r="B119" s="155">
        <v>639787.93000000005</v>
      </c>
      <c r="C119" s="155">
        <v>30100.25</v>
      </c>
      <c r="D119" s="155">
        <v>544800</v>
      </c>
      <c r="E119" s="155">
        <v>34291.129999999997</v>
      </c>
      <c r="F119" s="155">
        <v>260564.65</v>
      </c>
      <c r="G119" s="155">
        <v>70425</v>
      </c>
      <c r="H119" s="155">
        <v>102309.62</v>
      </c>
      <c r="I119" s="155"/>
      <c r="J119" s="155"/>
      <c r="K119" s="155"/>
      <c r="L119" s="155">
        <f t="shared" si="4"/>
        <v>1682278.58</v>
      </c>
    </row>
    <row r="120" spans="1:12" hidden="1" outlineLevel="1">
      <c r="A120" s="166">
        <f>'Historical NAV'!A1112</f>
        <v>45579</v>
      </c>
      <c r="B120" s="155">
        <v>533563.27</v>
      </c>
      <c r="C120" s="155">
        <v>31647.89</v>
      </c>
      <c r="D120" s="155">
        <v>806802.36</v>
      </c>
      <c r="E120" s="155">
        <v>4505.13</v>
      </c>
      <c r="F120" s="155">
        <v>16007.6</v>
      </c>
      <c r="G120" s="155">
        <v>252000</v>
      </c>
      <c r="H120" s="155">
        <v>163510.93</v>
      </c>
      <c r="I120" s="155"/>
      <c r="J120" s="155"/>
      <c r="K120" s="155"/>
      <c r="L120" s="155">
        <f t="shared" si="4"/>
        <v>1808037.18</v>
      </c>
    </row>
    <row r="121" spans="1:12" hidden="1" outlineLevel="1">
      <c r="A121" s="166">
        <f>'Historical NAV'!A1113</f>
        <v>45580</v>
      </c>
      <c r="B121" s="155">
        <v>-859528.7</v>
      </c>
      <c r="C121" s="155">
        <v>-468564.75</v>
      </c>
      <c r="D121" s="155">
        <v>-1803161</v>
      </c>
      <c r="E121" s="155">
        <v>82934.03</v>
      </c>
      <c r="F121" s="155">
        <v>24528.85</v>
      </c>
      <c r="G121" s="155">
        <v>-352725</v>
      </c>
      <c r="H121" s="155">
        <v>-133277.53</v>
      </c>
      <c r="I121" s="155"/>
      <c r="J121" s="155"/>
      <c r="K121" s="155"/>
      <c r="L121" s="155">
        <f t="shared" si="4"/>
        <v>-3509794.1</v>
      </c>
    </row>
    <row r="122" spans="1:12" hidden="1" outlineLevel="1">
      <c r="A122" s="166">
        <f>'Historical NAV'!A1114</f>
        <v>45581</v>
      </c>
      <c r="B122" s="155">
        <v>441591.54</v>
      </c>
      <c r="C122" s="155">
        <v>6801.1199999999981</v>
      </c>
      <c r="D122" s="155">
        <v>934222</v>
      </c>
      <c r="E122" s="155">
        <v>51564.73</v>
      </c>
      <c r="F122" s="155">
        <v>104696.63</v>
      </c>
      <c r="G122" s="155">
        <v>49000</v>
      </c>
      <c r="H122" s="155">
        <v>52165.69</v>
      </c>
      <c r="I122" s="155"/>
      <c r="J122" s="155"/>
      <c r="K122" s="155"/>
      <c r="L122" s="155">
        <f t="shared" si="4"/>
        <v>1640041.71</v>
      </c>
    </row>
    <row r="123" spans="1:12" hidden="1" outlineLevel="1">
      <c r="A123" s="166">
        <f>'Historical NAV'!A1115</f>
        <v>45582</v>
      </c>
      <c r="B123" s="155">
        <v>-28981.81</v>
      </c>
      <c r="C123" s="155">
        <v>-146782.85999999999</v>
      </c>
      <c r="D123" s="155">
        <v>1992422</v>
      </c>
      <c r="E123" s="155">
        <v>-126686.72</v>
      </c>
      <c r="F123" s="155">
        <v>121981.88</v>
      </c>
      <c r="G123" s="155">
        <v>15700</v>
      </c>
      <c r="H123" s="155">
        <v>22089.52</v>
      </c>
      <c r="I123" s="155"/>
      <c r="J123" s="155"/>
      <c r="K123" s="155"/>
      <c r="L123" s="155">
        <f t="shared" si="4"/>
        <v>1849742.0100000002</v>
      </c>
    </row>
    <row r="124" spans="1:12" hidden="1" outlineLevel="1">
      <c r="A124" s="166">
        <f>'Historical NAV'!A1116</f>
        <v>45583</v>
      </c>
      <c r="B124" s="155">
        <v>226518.52</v>
      </c>
      <c r="C124" s="155">
        <v>379888.11</v>
      </c>
      <c r="D124" s="155">
        <v>-247478.46</v>
      </c>
      <c r="E124" s="155">
        <v>27380.400000000001</v>
      </c>
      <c r="F124" s="155">
        <v>201879.84</v>
      </c>
      <c r="G124" s="155">
        <v>166900</v>
      </c>
      <c r="H124" s="155">
        <v>274070.59999999998</v>
      </c>
      <c r="I124" s="155"/>
      <c r="J124" s="155"/>
      <c r="K124" s="155"/>
      <c r="L124" s="155">
        <f t="shared" si="4"/>
        <v>1029159.01</v>
      </c>
    </row>
    <row r="125" spans="1:12" hidden="1" outlineLevel="1">
      <c r="A125" s="166">
        <f>'Historical NAV'!A1117</f>
        <v>45586</v>
      </c>
      <c r="B125" s="155">
        <v>-411088.94</v>
      </c>
      <c r="C125" s="155">
        <v>-166633.60000000001</v>
      </c>
      <c r="D125" s="155">
        <v>1242817</v>
      </c>
      <c r="E125" s="155">
        <v>-174063.64</v>
      </c>
      <c r="F125" s="155">
        <v>-20919.05</v>
      </c>
      <c r="G125" s="155">
        <v>18400</v>
      </c>
      <c r="H125" s="155">
        <v>9413.2200000000012</v>
      </c>
      <c r="I125" s="155"/>
      <c r="J125" s="155"/>
      <c r="K125" s="155"/>
      <c r="L125" s="155">
        <f t="shared" si="4"/>
        <v>497924.99</v>
      </c>
    </row>
    <row r="126" spans="1:12" hidden="1" outlineLevel="1">
      <c r="A126" s="166">
        <f>'Historical NAV'!A1118</f>
        <v>45587</v>
      </c>
      <c r="B126" s="155">
        <v>-236995.67</v>
      </c>
      <c r="C126" s="155">
        <v>-14826.97</v>
      </c>
      <c r="D126" s="155">
        <v>-348062.46</v>
      </c>
      <c r="E126" s="155">
        <v>-15753.37</v>
      </c>
      <c r="F126" s="155">
        <v>153288.51</v>
      </c>
      <c r="G126" s="155">
        <v>19500</v>
      </c>
      <c r="H126" s="155">
        <v>35246.9</v>
      </c>
      <c r="I126" s="155"/>
      <c r="J126" s="155"/>
      <c r="K126" s="155"/>
      <c r="L126" s="155">
        <f t="shared" si="4"/>
        <v>-407603.06000000006</v>
      </c>
    </row>
    <row r="127" spans="1:12" hidden="1" outlineLevel="1">
      <c r="A127" s="166">
        <f>'Historical NAV'!A1119</f>
        <v>45588</v>
      </c>
      <c r="B127" s="155">
        <v>-792837.52</v>
      </c>
      <c r="C127" s="155">
        <v>70309.600000000006</v>
      </c>
      <c r="D127" s="155">
        <v>-738671</v>
      </c>
      <c r="E127" s="155">
        <v>-92882.94</v>
      </c>
      <c r="F127" s="155">
        <v>-244991.86</v>
      </c>
      <c r="G127" s="155">
        <v>-495300</v>
      </c>
      <c r="H127" s="155">
        <v>-88275.819999999992</v>
      </c>
      <c r="I127" s="155"/>
      <c r="J127" s="155"/>
      <c r="K127" s="155"/>
      <c r="L127" s="155">
        <f t="shared" ref="L127:L158" si="5">SUM(B127:K127)</f>
        <v>-2382649.5399999996</v>
      </c>
    </row>
    <row r="128" spans="1:12" hidden="1" outlineLevel="1">
      <c r="A128" s="166">
        <f>'Historical NAV'!A1120</f>
        <v>45589</v>
      </c>
      <c r="B128" s="155">
        <v>288937.52</v>
      </c>
      <c r="C128" s="155">
        <v>-116531.63</v>
      </c>
      <c r="D128" s="155">
        <v>-94577</v>
      </c>
      <c r="E128" s="155">
        <v>69340.59</v>
      </c>
      <c r="F128" s="155">
        <v>144243.32999999999</v>
      </c>
      <c r="G128" s="155">
        <v>214200</v>
      </c>
      <c r="H128" s="155">
        <v>84206.45</v>
      </c>
      <c r="I128" s="155"/>
      <c r="J128" s="155"/>
      <c r="K128" s="155"/>
      <c r="L128" s="155">
        <f t="shared" si="5"/>
        <v>589819.26</v>
      </c>
    </row>
    <row r="129" spans="1:12" hidden="1" outlineLevel="1">
      <c r="A129" s="166">
        <f>'Historical NAV'!A1121</f>
        <v>45590</v>
      </c>
      <c r="B129" s="155">
        <v>-121927.76</v>
      </c>
      <c r="C129" s="155">
        <v>-14467.54</v>
      </c>
      <c r="D129" s="155">
        <v>617954.5</v>
      </c>
      <c r="E129" s="155">
        <v>-45565.08</v>
      </c>
      <c r="F129" s="155">
        <v>240.11999999999901</v>
      </c>
      <c r="G129" s="155">
        <v>33700</v>
      </c>
      <c r="H129" s="155">
        <v>174602.45</v>
      </c>
      <c r="I129" s="155"/>
      <c r="J129" s="155"/>
      <c r="K129" s="155"/>
      <c r="L129" s="155">
        <f t="shared" si="5"/>
        <v>644536.68999999994</v>
      </c>
    </row>
    <row r="130" spans="1:12" hidden="1" outlineLevel="1">
      <c r="A130" s="166">
        <f>'Historical NAV'!A1122</f>
        <v>45593</v>
      </c>
      <c r="B130" s="155">
        <v>389096.54</v>
      </c>
      <c r="C130" s="155">
        <v>-7349.3799999999956</v>
      </c>
      <c r="D130" s="155">
        <v>-968772.8</v>
      </c>
      <c r="E130" s="155">
        <v>-935.20999999999913</v>
      </c>
      <c r="F130" s="155">
        <v>62719.81</v>
      </c>
      <c r="G130" s="155">
        <v>43700</v>
      </c>
      <c r="H130" s="155">
        <v>154996.79</v>
      </c>
      <c r="I130" s="155"/>
      <c r="J130" s="155"/>
      <c r="K130" s="155"/>
      <c r="L130" s="155">
        <f t="shared" si="5"/>
        <v>-326544.25</v>
      </c>
    </row>
    <row r="131" spans="1:12" hidden="1" outlineLevel="1">
      <c r="A131" s="166">
        <f>'Historical NAV'!A1123</f>
        <v>45594</v>
      </c>
      <c r="B131" s="155">
        <v>130811.73</v>
      </c>
      <c r="C131" s="155">
        <v>-27540.61</v>
      </c>
      <c r="D131" s="155">
        <v>351184</v>
      </c>
      <c r="E131" s="155">
        <v>-9189.65</v>
      </c>
      <c r="F131" s="155">
        <v>215377.56</v>
      </c>
      <c r="G131" s="155">
        <v>256900</v>
      </c>
      <c r="H131" s="155">
        <v>76268.320000000007</v>
      </c>
      <c r="I131" s="155"/>
      <c r="J131" s="155"/>
      <c r="K131" s="155"/>
      <c r="L131" s="155">
        <f t="shared" si="5"/>
        <v>993811.35000000009</v>
      </c>
    </row>
    <row r="132" spans="1:12" hidden="1" outlineLevel="1">
      <c r="A132" s="166">
        <f>'Historical NAV'!A1124</f>
        <v>45595</v>
      </c>
      <c r="B132" s="155">
        <v>-333044.94</v>
      </c>
      <c r="C132" s="155">
        <v>-350647.93</v>
      </c>
      <c r="D132" s="155">
        <v>-693918.08</v>
      </c>
      <c r="E132" s="155">
        <v>-10080.69</v>
      </c>
      <c r="F132" s="155">
        <v>74953.210000000006</v>
      </c>
      <c r="G132" s="155">
        <v>-112200</v>
      </c>
      <c r="H132" s="155">
        <v>138503.46</v>
      </c>
      <c r="I132" s="155"/>
      <c r="J132" s="155"/>
      <c r="K132" s="155"/>
      <c r="L132" s="155">
        <f t="shared" si="5"/>
        <v>-1286434.97</v>
      </c>
    </row>
    <row r="133" spans="1:12" s="47" customFormat="1" hidden="1" outlineLevel="1">
      <c r="A133" s="167">
        <f>'Historical NAV'!A1125</f>
        <v>45596</v>
      </c>
      <c r="B133" s="157">
        <f>-1225643.82-237075*2</f>
        <v>-1699793.82</v>
      </c>
      <c r="C133" s="157">
        <v>-80493.38</v>
      </c>
      <c r="D133" s="157">
        <v>-1797661</v>
      </c>
      <c r="E133" s="157">
        <v>-25319.05</v>
      </c>
      <c r="F133" s="157">
        <v>-306924.19</v>
      </c>
      <c r="G133" s="157">
        <f>-711225+237075*2</f>
        <v>-237075</v>
      </c>
      <c r="H133" s="157">
        <v>43642.36</v>
      </c>
      <c r="I133" s="157"/>
      <c r="J133" s="157"/>
      <c r="K133" s="157"/>
      <c r="L133" s="157">
        <f t="shared" si="5"/>
        <v>-4103624.08</v>
      </c>
    </row>
    <row r="134" spans="1:12" hidden="1" outlineLevel="1">
      <c r="A134" s="166">
        <f>'Historical NAV'!A1126</f>
        <v>45597</v>
      </c>
      <c r="B134" s="155">
        <v>368575.08</v>
      </c>
      <c r="C134" s="155">
        <v>199249.41</v>
      </c>
      <c r="D134" s="155">
        <v>779788.92</v>
      </c>
      <c r="E134" s="155">
        <v>-157225.79</v>
      </c>
      <c r="F134" s="155">
        <v>-42840.24</v>
      </c>
      <c r="G134" s="155">
        <v>194025</v>
      </c>
      <c r="H134" s="155">
        <v>8853.99</v>
      </c>
      <c r="I134" s="155"/>
      <c r="J134" s="155"/>
      <c r="K134" s="155"/>
      <c r="L134" s="155">
        <f t="shared" si="5"/>
        <v>1350426.37</v>
      </c>
    </row>
    <row r="135" spans="1:12" hidden="1" outlineLevel="1">
      <c r="A135" s="166">
        <f>'Historical NAV'!A1127</f>
        <v>45600</v>
      </c>
      <c r="B135" s="155">
        <v>-93872.68</v>
      </c>
      <c r="C135" s="155">
        <v>66090.240000000005</v>
      </c>
      <c r="D135" s="155">
        <v>-20878.599999999999</v>
      </c>
      <c r="E135" s="155">
        <v>156830.57999999999</v>
      </c>
      <c r="F135" s="155">
        <v>-6886.84</v>
      </c>
      <c r="G135" s="155">
        <v>-111475</v>
      </c>
      <c r="H135" s="155">
        <v>44748.11</v>
      </c>
      <c r="I135" s="155"/>
      <c r="J135" s="155"/>
      <c r="K135" s="155"/>
      <c r="L135" s="155">
        <f t="shared" si="5"/>
        <v>34555.810000000012</v>
      </c>
    </row>
    <row r="136" spans="1:12" hidden="1" outlineLevel="1">
      <c r="A136" s="166">
        <f>'Historical NAV'!A1128</f>
        <v>45601</v>
      </c>
      <c r="B136" s="155">
        <v>1000787.09</v>
      </c>
      <c r="C136" s="155">
        <v>332968.81</v>
      </c>
      <c r="D136" s="155">
        <v>1254812</v>
      </c>
      <c r="E136" s="155">
        <v>91316.989999999991</v>
      </c>
      <c r="F136" s="155">
        <v>98319.17</v>
      </c>
      <c r="G136" s="155">
        <v>418912.5</v>
      </c>
      <c r="H136" s="155">
        <v>-24695.65</v>
      </c>
      <c r="I136" s="155"/>
      <c r="J136" s="155"/>
      <c r="K136" s="155"/>
      <c r="L136" s="155">
        <f t="shared" si="5"/>
        <v>3172420.9099999997</v>
      </c>
    </row>
    <row r="137" spans="1:12" hidden="1" outlineLevel="1">
      <c r="A137" s="166">
        <f>'Historical NAV'!A1129</f>
        <v>45602</v>
      </c>
      <c r="B137" s="155">
        <v>2719948.92</v>
      </c>
      <c r="C137" s="155">
        <v>-316051.68</v>
      </c>
      <c r="D137" s="155">
        <v>1142474</v>
      </c>
      <c r="E137" s="155">
        <v>-126091.18</v>
      </c>
      <c r="F137" s="155">
        <v>-318943.7</v>
      </c>
      <c r="G137" s="155">
        <v>679525</v>
      </c>
      <c r="H137" s="155">
        <v>-170052.24</v>
      </c>
      <c r="I137" s="155"/>
      <c r="J137" s="155"/>
      <c r="K137" s="155"/>
      <c r="L137" s="155">
        <f t="shared" si="5"/>
        <v>3610809.1199999992</v>
      </c>
    </row>
    <row r="138" spans="1:12" hidden="1" outlineLevel="1">
      <c r="A138" s="166">
        <f>'Historical NAV'!A1130</f>
        <v>45603</v>
      </c>
      <c r="B138" s="155">
        <v>341940.76</v>
      </c>
      <c r="C138" s="155">
        <v>384881.85</v>
      </c>
      <c r="D138" s="155">
        <v>1439898.89</v>
      </c>
      <c r="E138" s="155">
        <v>168336.26</v>
      </c>
      <c r="F138" s="155">
        <v>309902.2</v>
      </c>
      <c r="G138" s="155">
        <v>-3050</v>
      </c>
      <c r="H138" s="155">
        <v>48970.03</v>
      </c>
      <c r="I138" s="155"/>
      <c r="J138" s="155"/>
      <c r="K138" s="155"/>
      <c r="L138" s="155">
        <f t="shared" si="5"/>
        <v>2690879.9899999998</v>
      </c>
    </row>
    <row r="139" spans="1:12" hidden="1" outlineLevel="1">
      <c r="A139" s="166">
        <f>'Historical NAV'!A1131</f>
        <v>45604</v>
      </c>
      <c r="B139" s="155">
        <v>180712.72</v>
      </c>
      <c r="C139" s="155">
        <v>-217237.94</v>
      </c>
      <c r="D139" s="155">
        <v>-108655</v>
      </c>
      <c r="E139" s="155">
        <v>117201.88</v>
      </c>
      <c r="F139" s="155">
        <v>-132047.89000000001</v>
      </c>
      <c r="G139" s="155">
        <v>-150800</v>
      </c>
      <c r="H139" s="155">
        <v>355891.55</v>
      </c>
      <c r="I139" s="155"/>
      <c r="J139" s="155"/>
      <c r="K139" s="155"/>
      <c r="L139" s="155">
        <f t="shared" si="5"/>
        <v>45065.320000000007</v>
      </c>
    </row>
    <row r="140" spans="1:12" hidden="1" outlineLevel="1">
      <c r="A140" s="166">
        <f>'Historical NAV'!A1132</f>
        <v>45607</v>
      </c>
      <c r="B140" s="155">
        <v>289519.8</v>
      </c>
      <c r="C140" s="155">
        <v>-208381.09</v>
      </c>
      <c r="D140" s="155">
        <v>-1214631.95</v>
      </c>
      <c r="E140" s="155">
        <v>-18702.189999999999</v>
      </c>
      <c r="F140" s="155">
        <v>-196688.21</v>
      </c>
      <c r="G140" s="155">
        <v>5074</v>
      </c>
      <c r="H140" s="155">
        <v>319682.21000000002</v>
      </c>
      <c r="I140" s="155"/>
      <c r="J140" s="155"/>
      <c r="K140" s="155"/>
      <c r="L140" s="155">
        <f t="shared" si="5"/>
        <v>-1024127.4299999999</v>
      </c>
    </row>
    <row r="141" spans="1:12" hidden="1" outlineLevel="1">
      <c r="A141" s="166">
        <f>'Historical NAV'!A1133</f>
        <v>45608</v>
      </c>
      <c r="B141" s="155">
        <v>-443574.45</v>
      </c>
      <c r="C141" s="155">
        <v>-379360.66</v>
      </c>
      <c r="D141" s="155">
        <v>216701</v>
      </c>
      <c r="E141" s="155">
        <v>-156149.20000000001</v>
      </c>
      <c r="F141" s="155">
        <v>-110255.29</v>
      </c>
      <c r="G141" s="155">
        <v>-4687.5</v>
      </c>
      <c r="H141" s="155">
        <v>14233.13</v>
      </c>
      <c r="I141" s="155"/>
      <c r="J141" s="155"/>
      <c r="K141" s="155"/>
      <c r="L141" s="155">
        <f t="shared" si="5"/>
        <v>-863092.97000000009</v>
      </c>
    </row>
    <row r="142" spans="1:12" hidden="1" outlineLevel="1">
      <c r="A142" s="166">
        <f>'Historical NAV'!A1134</f>
        <v>45609</v>
      </c>
      <c r="B142" s="155">
        <v>-146728.10999999999</v>
      </c>
      <c r="C142" s="155">
        <v>-3240.3699999999972</v>
      </c>
      <c r="D142" s="155">
        <v>-736632</v>
      </c>
      <c r="E142" s="155">
        <v>-51951.67</v>
      </c>
      <c r="F142" s="155">
        <v>-165020.76999999999</v>
      </c>
      <c r="G142" s="155">
        <v>2250</v>
      </c>
      <c r="H142" s="155">
        <v>36636.04</v>
      </c>
      <c r="I142" s="155"/>
      <c r="J142" s="155"/>
      <c r="K142" s="155"/>
      <c r="L142" s="155">
        <f t="shared" si="5"/>
        <v>-1064686.8799999999</v>
      </c>
    </row>
    <row r="143" spans="1:12" hidden="1" outlineLevel="1">
      <c r="A143" s="166">
        <f>'Historical NAV'!A1135</f>
        <v>45610</v>
      </c>
      <c r="B143" s="155">
        <v>-467668.19</v>
      </c>
      <c r="C143" s="155">
        <v>-276682.43</v>
      </c>
      <c r="D143" s="155">
        <v>114715.5</v>
      </c>
      <c r="E143" s="155">
        <v>-28932.85</v>
      </c>
      <c r="F143" s="155">
        <v>-79307.320000000007</v>
      </c>
      <c r="G143" s="155">
        <v>-28312.5</v>
      </c>
      <c r="H143" s="155">
        <v>-20767.12</v>
      </c>
      <c r="I143" s="155"/>
      <c r="J143" s="155"/>
      <c r="K143" s="155"/>
      <c r="L143" s="155">
        <f t="shared" si="5"/>
        <v>-786954.91</v>
      </c>
    </row>
    <row r="144" spans="1:12" hidden="1" outlineLevel="1">
      <c r="A144" s="166">
        <f>'Historical NAV'!A1136</f>
        <v>45611</v>
      </c>
      <c r="B144" s="155">
        <v>-1128280.51</v>
      </c>
      <c r="C144" s="155">
        <v>-28233.66</v>
      </c>
      <c r="D144" s="155">
        <v>-1014714</v>
      </c>
      <c r="E144" s="155">
        <v>-14771.68</v>
      </c>
      <c r="F144" s="155">
        <v>99531.97</v>
      </c>
      <c r="G144" s="155">
        <v>-315062.5</v>
      </c>
      <c r="H144" s="155">
        <v>3661.7400000000089</v>
      </c>
      <c r="I144" s="155"/>
      <c r="J144" s="155"/>
      <c r="K144" s="155"/>
      <c r="L144" s="155">
        <f t="shared" si="5"/>
        <v>-2397868.6399999997</v>
      </c>
    </row>
    <row r="145" spans="1:12" hidden="1" outlineLevel="1">
      <c r="A145" s="166">
        <f>'Historical NAV'!A1137</f>
        <v>45614</v>
      </c>
      <c r="B145" s="155">
        <v>395174.45</v>
      </c>
      <c r="C145" s="155">
        <v>203081.25</v>
      </c>
      <c r="D145" s="155">
        <v>-160337</v>
      </c>
      <c r="E145" s="155">
        <v>48550.58</v>
      </c>
      <c r="F145" s="155">
        <v>366448.5</v>
      </c>
      <c r="G145" s="155">
        <v>101475</v>
      </c>
      <c r="H145" s="155">
        <v>170181.61</v>
      </c>
      <c r="I145" s="155"/>
      <c r="J145" s="155"/>
      <c r="K145" s="155"/>
      <c r="L145" s="155">
        <f t="shared" si="5"/>
        <v>1124574.3900000001</v>
      </c>
    </row>
    <row r="146" spans="1:12" hidden="1" outlineLevel="1">
      <c r="A146" s="166">
        <f>'Historical NAV'!A1138</f>
        <v>45615</v>
      </c>
      <c r="B146" s="155">
        <v>188749.21</v>
      </c>
      <c r="C146" s="155">
        <v>116845.27</v>
      </c>
      <c r="D146" s="155">
        <v>1197781</v>
      </c>
      <c r="E146" s="155">
        <v>49992.2</v>
      </c>
      <c r="F146" s="155">
        <v>194493.96</v>
      </c>
      <c r="G146" s="155">
        <v>94612.5</v>
      </c>
      <c r="H146" s="155">
        <v>74673.279999999999</v>
      </c>
      <c r="I146" s="155"/>
      <c r="J146" s="155"/>
      <c r="K146" s="155"/>
      <c r="L146" s="155">
        <f t="shared" si="5"/>
        <v>1917147.42</v>
      </c>
    </row>
    <row r="147" spans="1:12" hidden="1" outlineLevel="1">
      <c r="A147" s="166">
        <f>'Historical NAV'!A1139</f>
        <v>45616</v>
      </c>
      <c r="B147" s="155">
        <v>111715.55</v>
      </c>
      <c r="C147" s="155">
        <v>-11882.06</v>
      </c>
      <c r="D147" s="155">
        <v>-268319</v>
      </c>
      <c r="E147" s="155">
        <v>-21526.39</v>
      </c>
      <c r="F147" s="155">
        <v>173547.97</v>
      </c>
      <c r="G147" s="155">
        <v>-12000</v>
      </c>
      <c r="H147" s="155">
        <v>-6710.15</v>
      </c>
      <c r="I147" s="155"/>
      <c r="J147" s="155"/>
      <c r="K147" s="155"/>
      <c r="L147" s="155">
        <f t="shared" si="5"/>
        <v>-35174.080000000024</v>
      </c>
    </row>
    <row r="148" spans="1:12" hidden="1" outlineLevel="1">
      <c r="A148" s="166">
        <f>'Historical NAV'!A1140</f>
        <v>45617</v>
      </c>
      <c r="B148" s="155">
        <v>586144.68999999994</v>
      </c>
      <c r="C148" s="155">
        <v>-175006.92</v>
      </c>
      <c r="D148" s="155">
        <v>405484</v>
      </c>
      <c r="E148" s="155">
        <v>-23028.16</v>
      </c>
      <c r="F148" s="155">
        <v>278601.98</v>
      </c>
      <c r="G148" s="155">
        <v>72862.5</v>
      </c>
      <c r="H148" s="155">
        <v>240234.12</v>
      </c>
      <c r="I148" s="155"/>
      <c r="J148" s="155"/>
      <c r="K148" s="155"/>
      <c r="L148" s="155">
        <f t="shared" si="5"/>
        <v>1385292.21</v>
      </c>
    </row>
    <row r="149" spans="1:12" hidden="1" outlineLevel="1">
      <c r="A149" s="166">
        <f>'Historical NAV'!A1141</f>
        <v>45618</v>
      </c>
      <c r="B149" s="155">
        <v>485310.28</v>
      </c>
      <c r="C149" s="155">
        <v>-332828.26</v>
      </c>
      <c r="D149" s="155">
        <v>-710289.49</v>
      </c>
      <c r="E149" s="155">
        <v>25682.76</v>
      </c>
      <c r="F149" s="155">
        <v>270546.58</v>
      </c>
      <c r="G149" s="155">
        <v>24525</v>
      </c>
      <c r="H149" s="155">
        <v>29506.36</v>
      </c>
      <c r="I149" s="155"/>
      <c r="J149" s="155"/>
      <c r="K149" s="155"/>
      <c r="L149" s="155">
        <f t="shared" si="5"/>
        <v>-207546.76999999996</v>
      </c>
    </row>
    <row r="150" spans="1:12" hidden="1" outlineLevel="1">
      <c r="A150" s="166">
        <f>'Historical NAV'!A1142</f>
        <v>45621</v>
      </c>
      <c r="B150" s="155">
        <v>121871.3</v>
      </c>
      <c r="C150" s="155">
        <v>-117279.45</v>
      </c>
      <c r="D150" s="155">
        <v>101238</v>
      </c>
      <c r="E150" s="155">
        <v>-57163.839999999997</v>
      </c>
      <c r="F150" s="155">
        <v>-66736.929999999993</v>
      </c>
      <c r="G150" s="155">
        <v>91762.5</v>
      </c>
      <c r="H150" s="155">
        <v>151533.59</v>
      </c>
      <c r="I150" s="155"/>
      <c r="J150" s="155"/>
      <c r="K150" s="155"/>
      <c r="L150" s="155">
        <f t="shared" si="5"/>
        <v>225225.17</v>
      </c>
    </row>
    <row r="151" spans="1:12" hidden="1" outlineLevel="1">
      <c r="A151" s="166">
        <f>'Historical NAV'!A1143</f>
        <v>45622</v>
      </c>
      <c r="B151" s="155">
        <v>-282573.7</v>
      </c>
      <c r="C151" s="155">
        <v>295273.5</v>
      </c>
      <c r="D151" s="155">
        <v>-495021</v>
      </c>
      <c r="E151" s="155">
        <v>78577.42</v>
      </c>
      <c r="F151" s="155">
        <v>217940.74</v>
      </c>
      <c r="G151" s="155">
        <v>-125737.5</v>
      </c>
      <c r="H151" s="155">
        <v>-113726.76</v>
      </c>
      <c r="I151" s="155"/>
      <c r="J151" s="155"/>
      <c r="K151" s="155"/>
      <c r="L151" s="155">
        <f t="shared" si="5"/>
        <v>-425267.30000000005</v>
      </c>
    </row>
    <row r="152" spans="1:12" hidden="1" outlineLevel="1">
      <c r="A152" s="166">
        <f>'Historical NAV'!A1144</f>
        <v>45623</v>
      </c>
      <c r="B152" s="155">
        <v>0</v>
      </c>
      <c r="C152" s="155">
        <v>-173335.89</v>
      </c>
      <c r="D152" s="155">
        <v>-598</v>
      </c>
      <c r="E152" s="155">
        <v>0</v>
      </c>
      <c r="F152" s="155">
        <v>0</v>
      </c>
      <c r="G152" s="155">
        <v>0</v>
      </c>
      <c r="H152" s="155">
        <v>35436.879999999997</v>
      </c>
      <c r="I152" s="155"/>
      <c r="J152" s="155"/>
      <c r="K152" s="155"/>
      <c r="L152" s="155">
        <f t="shared" si="5"/>
        <v>-138497.01</v>
      </c>
    </row>
    <row r="153" spans="1:12" hidden="1" outlineLevel="1">
      <c r="A153" s="166">
        <f>'Historical NAV'!A1145</f>
        <v>45624</v>
      </c>
      <c r="B153" s="155">
        <v>436490.04</v>
      </c>
      <c r="C153" s="155">
        <v>22500.33</v>
      </c>
      <c r="D153" s="155">
        <v>773893</v>
      </c>
      <c r="E153" s="155">
        <v>144649.35999999999</v>
      </c>
      <c r="F153" s="155">
        <v>166392.1</v>
      </c>
      <c r="G153" s="155">
        <v>135675</v>
      </c>
      <c r="H153" s="155">
        <v>258569.48</v>
      </c>
      <c r="I153" s="155"/>
      <c r="J153" s="155"/>
      <c r="K153" s="155"/>
      <c r="L153" s="155">
        <f t="shared" si="5"/>
        <v>1938169.31</v>
      </c>
    </row>
    <row r="154" spans="1:12" hidden="1" outlineLevel="1">
      <c r="A154" s="166">
        <f>'Historical NAV'!A1146</f>
        <v>45625</v>
      </c>
      <c r="B154" s="155">
        <v>374928.84</v>
      </c>
      <c r="C154" s="155">
        <v>426290.1</v>
      </c>
      <c r="D154" s="155">
        <v>1487424.28</v>
      </c>
      <c r="E154" s="155">
        <v>-50672.679999999993</v>
      </c>
      <c r="F154" s="155">
        <v>-451362.3</v>
      </c>
      <c r="G154" s="155">
        <v>277575</v>
      </c>
      <c r="H154" s="155">
        <v>456470.46</v>
      </c>
      <c r="I154" s="155"/>
      <c r="J154" s="155"/>
      <c r="K154" s="155"/>
      <c r="L154" s="155">
        <f t="shared" si="5"/>
        <v>2520653.6999999997</v>
      </c>
    </row>
    <row r="155" spans="1:12" hidden="1" outlineLevel="1">
      <c r="A155" s="166">
        <f>'Historical NAV'!A1147</f>
        <v>45628</v>
      </c>
      <c r="B155" s="155">
        <v>-25403.94</v>
      </c>
      <c r="C155" s="155">
        <v>213123.33</v>
      </c>
      <c r="D155" s="155">
        <v>617648</v>
      </c>
      <c r="E155" s="155">
        <v>-85231.8</v>
      </c>
      <c r="F155" s="155">
        <v>32666.69</v>
      </c>
      <c r="G155" s="155">
        <v>20225</v>
      </c>
      <c r="H155" s="155">
        <v>58987.13</v>
      </c>
      <c r="I155" s="155"/>
      <c r="J155" s="155"/>
      <c r="K155" s="155"/>
      <c r="L155" s="155">
        <f t="shared" si="5"/>
        <v>832014.40999999992</v>
      </c>
    </row>
    <row r="156" spans="1:12" hidden="1" outlineLevel="1">
      <c r="A156" s="166">
        <f>'Historical NAV'!A1148</f>
        <v>45629</v>
      </c>
      <c r="B156" s="155">
        <v>333059.57</v>
      </c>
      <c r="C156" s="155">
        <v>75954.06</v>
      </c>
      <c r="D156" s="155">
        <v>945720</v>
      </c>
      <c r="E156" s="155">
        <v>112823.32</v>
      </c>
      <c r="F156" s="155">
        <v>110027.94</v>
      </c>
      <c r="G156" s="155">
        <v>71562.5</v>
      </c>
      <c r="H156" s="155">
        <v>103438.99</v>
      </c>
      <c r="I156" s="155"/>
      <c r="J156" s="155"/>
      <c r="K156" s="155"/>
      <c r="L156" s="155">
        <f t="shared" si="5"/>
        <v>1752586.38</v>
      </c>
    </row>
    <row r="157" spans="1:12" hidden="1" outlineLevel="1">
      <c r="A157" s="166">
        <f>'Historical NAV'!A1149</f>
        <v>45630</v>
      </c>
      <c r="B157" s="155">
        <v>-245745.55</v>
      </c>
      <c r="C157" s="155">
        <v>-96163.409999999989</v>
      </c>
      <c r="D157" s="155">
        <v>289687</v>
      </c>
      <c r="E157" s="155">
        <v>40709.03</v>
      </c>
      <c r="F157" s="155">
        <v>-104088.61</v>
      </c>
      <c r="G157" s="155">
        <v>-32175</v>
      </c>
      <c r="H157" s="155">
        <v>35021.509999999987</v>
      </c>
      <c r="I157" s="155"/>
      <c r="J157" s="155"/>
      <c r="K157" s="155"/>
      <c r="L157" s="155">
        <f t="shared" si="5"/>
        <v>-112755.03</v>
      </c>
    </row>
    <row r="158" spans="1:12" hidden="1" outlineLevel="1">
      <c r="A158" s="166">
        <f>'Historical NAV'!A1150</f>
        <v>45631</v>
      </c>
      <c r="B158" s="155">
        <v>205689.37</v>
      </c>
      <c r="C158" s="155">
        <v>228803.29</v>
      </c>
      <c r="D158" s="155">
        <v>-485299</v>
      </c>
      <c r="E158" s="155">
        <v>53619.68</v>
      </c>
      <c r="F158" s="155">
        <v>28578.29</v>
      </c>
      <c r="G158" s="155">
        <v>5125</v>
      </c>
      <c r="H158" s="155">
        <v>44788.65</v>
      </c>
      <c r="I158" s="155"/>
      <c r="J158" s="155"/>
      <c r="K158" s="155"/>
      <c r="L158" s="155">
        <f t="shared" si="5"/>
        <v>81305.280000000028</v>
      </c>
    </row>
    <row r="159" spans="1:12" hidden="1" outlineLevel="1">
      <c r="A159" s="166">
        <f>'Historical NAV'!A1151</f>
        <v>45632</v>
      </c>
      <c r="B159" s="155">
        <v>-490083.47</v>
      </c>
      <c r="C159" s="155">
        <v>553091.11</v>
      </c>
      <c r="D159" s="155">
        <v>-1127929.32</v>
      </c>
      <c r="E159" s="155">
        <v>-88464.63</v>
      </c>
      <c r="F159" s="155">
        <v>28098.209999999988</v>
      </c>
      <c r="G159" s="155">
        <v>-16625</v>
      </c>
      <c r="H159" s="155">
        <v>-59564.480000000003</v>
      </c>
      <c r="I159" s="155"/>
      <c r="J159" s="155"/>
      <c r="K159" s="155"/>
      <c r="L159" s="155">
        <f t="shared" ref="L159:L160" si="6">SUM(B159:K159)</f>
        <v>-1201477.58</v>
      </c>
    </row>
    <row r="160" spans="1:12" hidden="1" outlineLevel="1">
      <c r="A160" s="166">
        <f>'Historical NAV'!A1152</f>
        <v>45635</v>
      </c>
      <c r="B160" s="155">
        <v>-337290.63</v>
      </c>
      <c r="C160" s="155">
        <v>-233620.78</v>
      </c>
      <c r="D160" s="155">
        <v>-1135305</v>
      </c>
      <c r="E160" s="155">
        <v>-59287.8</v>
      </c>
      <c r="F160" s="155">
        <v>244776.76</v>
      </c>
      <c r="G160" s="155">
        <v>-16725</v>
      </c>
      <c r="H160" s="155">
        <v>-71122.2</v>
      </c>
      <c r="I160" s="155"/>
      <c r="J160" s="155"/>
      <c r="K160" s="155"/>
      <c r="L160" s="155">
        <f t="shared" si="6"/>
        <v>-1608574.6500000001</v>
      </c>
    </row>
    <row r="161" spans="1:12" hidden="1" outlineLevel="1">
      <c r="A161" s="166">
        <f>'Historical NAV'!A1153</f>
        <v>45636</v>
      </c>
      <c r="B161" s="155">
        <v>698683.07</v>
      </c>
      <c r="C161" s="155">
        <v>-118422.8</v>
      </c>
      <c r="D161" s="155">
        <v>838510.69</v>
      </c>
      <c r="E161" s="155">
        <v>-33274.57</v>
      </c>
      <c r="F161" s="155">
        <v>306100.96999999997</v>
      </c>
      <c r="G161" s="155">
        <v>57637.5</v>
      </c>
      <c r="H161" s="155">
        <v>141534.07999999999</v>
      </c>
      <c r="I161" s="155"/>
      <c r="J161" s="155"/>
      <c r="K161" s="155"/>
      <c r="L161" s="155">
        <f t="shared" ref="L161" si="7">SUM(B161:K161)</f>
        <v>1890768.94</v>
      </c>
    </row>
    <row r="162" spans="1:12" hidden="1" outlineLevel="1">
      <c r="A162" s="166">
        <f>'Historical NAV'!A1154</f>
        <v>45637</v>
      </c>
      <c r="B162" s="155">
        <v>-546182.51</v>
      </c>
      <c r="C162" s="155">
        <v>235777.77</v>
      </c>
      <c r="D162" s="155">
        <v>-562744.23</v>
      </c>
      <c r="E162" s="155">
        <v>-102483.84</v>
      </c>
      <c r="F162" s="155">
        <v>-349786.08</v>
      </c>
      <c r="G162" s="155">
        <v>-33975</v>
      </c>
      <c r="H162" s="155">
        <v>-14275.45</v>
      </c>
      <c r="I162" s="155"/>
      <c r="J162" s="155"/>
      <c r="K162" s="155"/>
      <c r="L162" s="155">
        <f t="shared" ref="L162" si="8">SUM(B162:K162)</f>
        <v>-1373669.3399999999</v>
      </c>
    </row>
    <row r="163" spans="1:12" hidden="1" outlineLevel="1">
      <c r="A163" s="166">
        <f>'Historical NAV'!A1155</f>
        <v>45638</v>
      </c>
      <c r="B163" s="155">
        <v>132977.48000000001</v>
      </c>
      <c r="C163" s="155">
        <v>-372952.07</v>
      </c>
      <c r="D163" s="155">
        <v>276953</v>
      </c>
      <c r="E163" s="155">
        <v>-132818.16</v>
      </c>
      <c r="F163" s="155">
        <v>-191620.19</v>
      </c>
      <c r="G163" s="155">
        <v>-1862.5</v>
      </c>
      <c r="H163" s="155">
        <v>48288.79</v>
      </c>
      <c r="I163" s="155"/>
      <c r="J163" s="155"/>
      <c r="K163" s="155"/>
      <c r="L163" s="155">
        <f t="shared" ref="L163" si="9">SUM(B163:K163)</f>
        <v>-241033.65</v>
      </c>
    </row>
    <row r="164" spans="1:12" hidden="1" outlineLevel="1">
      <c r="A164" s="166">
        <f>'Historical NAV'!A1156</f>
        <v>45639</v>
      </c>
      <c r="B164" s="155">
        <v>366511.67</v>
      </c>
      <c r="C164" s="155">
        <v>-109603.07</v>
      </c>
      <c r="D164" s="155">
        <v>-293087.5</v>
      </c>
      <c r="E164" s="155">
        <v>29578</v>
      </c>
      <c r="F164" s="155">
        <v>98506.310000000012</v>
      </c>
      <c r="G164" s="155">
        <v>27800</v>
      </c>
      <c r="H164" s="155">
        <v>101731.55</v>
      </c>
      <c r="I164" s="155"/>
      <c r="J164" s="155"/>
      <c r="K164" s="155"/>
      <c r="L164" s="155">
        <f t="shared" ref="L164" si="10">SUM(B164:K164)</f>
        <v>221436.96</v>
      </c>
    </row>
    <row r="165" spans="1:12" hidden="1" outlineLevel="1">
      <c r="A165" s="166">
        <f>'Historical NAV'!A1157</f>
        <v>45642</v>
      </c>
      <c r="B165" s="155">
        <v>-544562.05000000005</v>
      </c>
      <c r="C165" s="155">
        <v>593.46999999999844</v>
      </c>
      <c r="D165" s="155">
        <v>-465404</v>
      </c>
      <c r="E165" s="155">
        <v>-12639.62</v>
      </c>
      <c r="F165" s="155">
        <v>-80507.14</v>
      </c>
      <c r="G165" s="155">
        <v>-13375</v>
      </c>
      <c r="H165" s="155">
        <v>-21253.73</v>
      </c>
      <c r="I165" s="155"/>
      <c r="J165" s="155"/>
      <c r="K165" s="155"/>
      <c r="L165" s="155">
        <f t="shared" ref="L165" si="11">SUM(B165:K165)</f>
        <v>-1137148.07</v>
      </c>
    </row>
    <row r="166" spans="1:12" hidden="1" outlineLevel="1">
      <c r="A166" s="166">
        <f>'Historical NAV'!A1158</f>
        <v>45643</v>
      </c>
      <c r="B166" s="155">
        <v>-2603117.61</v>
      </c>
      <c r="C166" s="155">
        <v>63313.13</v>
      </c>
      <c r="D166" s="155">
        <v>-969754</v>
      </c>
      <c r="E166" s="155">
        <v>-310824.3</v>
      </c>
      <c r="F166" s="155">
        <v>-616941.08000000007</v>
      </c>
      <c r="G166" s="155">
        <v>-90750</v>
      </c>
      <c r="H166" s="155">
        <v>-760483.72</v>
      </c>
      <c r="I166" s="155"/>
      <c r="J166" s="155"/>
      <c r="K166" s="155"/>
      <c r="L166" s="155">
        <f t="shared" ref="L166" si="12">SUM(B166:K166)</f>
        <v>-5288557.5799999991</v>
      </c>
    </row>
    <row r="167" spans="1:12" hidden="1" outlineLevel="1">
      <c r="A167" s="166">
        <f>'Historical NAV'!A1159</f>
        <v>45644</v>
      </c>
      <c r="B167" s="155">
        <v>-228614.29</v>
      </c>
      <c r="C167" s="155">
        <v>-54761.96</v>
      </c>
      <c r="D167" s="155">
        <v>-20065</v>
      </c>
      <c r="E167" s="155">
        <v>-140149.87</v>
      </c>
      <c r="F167" s="155">
        <v>-156773.46</v>
      </c>
      <c r="G167" s="155">
        <v>-49315</v>
      </c>
      <c r="H167" s="155">
        <v>-20060.260000000009</v>
      </c>
      <c r="I167" s="155"/>
      <c r="J167" s="155"/>
      <c r="K167" s="155"/>
      <c r="L167" s="155">
        <f t="shared" ref="L167:L168" si="13">SUM(B167:K167)</f>
        <v>-669739.84</v>
      </c>
    </row>
    <row r="168" spans="1:12" hidden="1" outlineLevel="1">
      <c r="A168" s="166">
        <f>'Historical NAV'!A1160</f>
        <v>45645</v>
      </c>
      <c r="B168" s="155">
        <v>286453.51</v>
      </c>
      <c r="C168" s="155">
        <v>-2379.4899999999998</v>
      </c>
      <c r="D168" s="155">
        <v>-1265507.6200000001</v>
      </c>
      <c r="E168" s="155">
        <v>238405.12</v>
      </c>
      <c r="F168" s="155">
        <v>-680607.27</v>
      </c>
      <c r="G168" s="155">
        <v>32925</v>
      </c>
      <c r="H168" s="155">
        <v>110985.87</v>
      </c>
      <c r="I168" s="155"/>
      <c r="J168" s="155"/>
      <c r="K168" s="155"/>
      <c r="L168" s="155">
        <f t="shared" si="13"/>
        <v>-1279724.8799999999</v>
      </c>
    </row>
    <row r="169" spans="1:12" hidden="1" outlineLevel="1">
      <c r="A169" s="166">
        <f>'Historical NAV'!A1161</f>
        <v>45646</v>
      </c>
      <c r="B169" s="155">
        <v>753570.51</v>
      </c>
      <c r="C169" s="155">
        <v>-44730.5</v>
      </c>
      <c r="D169" s="155">
        <v>935621.23</v>
      </c>
      <c r="E169" s="155">
        <v>113985.28</v>
      </c>
      <c r="F169" s="155">
        <v>198337.5</v>
      </c>
      <c r="G169" s="155">
        <v>72178.75</v>
      </c>
      <c r="H169" s="155">
        <v>373591.6</v>
      </c>
      <c r="I169" s="155"/>
      <c r="J169" s="155"/>
      <c r="K169" s="155"/>
      <c r="L169" s="155">
        <f t="shared" ref="L169" si="14">SUM(B169:K169)</f>
        <v>2402554.37</v>
      </c>
    </row>
    <row r="170" spans="1:12" hidden="1" outlineLevel="1">
      <c r="A170" s="166">
        <f>'Historical NAV'!A1162</f>
        <v>45649</v>
      </c>
      <c r="B170" s="155">
        <v>272327.33</v>
      </c>
      <c r="C170" s="155">
        <v>166794.76</v>
      </c>
      <c r="D170" s="155">
        <v>1627066.23</v>
      </c>
      <c r="E170" s="155">
        <v>-40832.97</v>
      </c>
      <c r="F170" s="155">
        <v>-236451.34</v>
      </c>
      <c r="G170" s="155">
        <v>95362.5</v>
      </c>
      <c r="H170" s="155">
        <v>182134.3</v>
      </c>
      <c r="I170" s="155"/>
      <c r="J170" s="155"/>
      <c r="K170" s="155"/>
      <c r="L170" s="155">
        <f t="shared" ref="L170" si="15">SUM(B170:K170)</f>
        <v>2066400.81</v>
      </c>
    </row>
    <row r="171" spans="1:12" hidden="1" outlineLevel="1">
      <c r="A171" s="166">
        <f>'Historical NAV'!A1163</f>
        <v>45650</v>
      </c>
      <c r="B171" s="155">
        <v>820132.91</v>
      </c>
      <c r="C171" s="155">
        <v>193094.39</v>
      </c>
      <c r="D171" s="155">
        <v>126728.28</v>
      </c>
      <c r="E171" s="155">
        <v>59143.040000000001</v>
      </c>
      <c r="F171" s="155">
        <v>236195.88</v>
      </c>
      <c r="G171" s="155">
        <v>117119.5</v>
      </c>
      <c r="H171" s="155">
        <v>207675.84</v>
      </c>
      <c r="I171" s="155"/>
      <c r="J171" s="155"/>
      <c r="K171" s="155"/>
      <c r="L171" s="155">
        <f t="shared" ref="L171" si="16">SUM(B171:K171)</f>
        <v>1760089.84</v>
      </c>
    </row>
    <row r="172" spans="1:12" hidden="1" outlineLevel="1">
      <c r="A172" s="166">
        <f>'Historical NAV'!A1164</f>
        <v>45651</v>
      </c>
      <c r="B172" s="155">
        <v>0</v>
      </c>
      <c r="C172" s="155">
        <v>0</v>
      </c>
      <c r="D172" s="155">
        <v>0</v>
      </c>
      <c r="E172" s="155">
        <v>0</v>
      </c>
      <c r="F172" s="155">
        <v>0</v>
      </c>
      <c r="G172" s="155">
        <v>0</v>
      </c>
      <c r="H172" s="155">
        <v>0</v>
      </c>
      <c r="I172" s="155"/>
      <c r="J172" s="155"/>
      <c r="K172" s="155"/>
      <c r="L172" s="155">
        <f t="shared" ref="L172" si="17">SUM(B172:K172)</f>
        <v>0</v>
      </c>
    </row>
    <row r="173" spans="1:12" hidden="1" outlineLevel="1">
      <c r="A173" s="166">
        <f>'Historical NAV'!A1165</f>
        <v>45652</v>
      </c>
      <c r="B173" s="155">
        <v>184967.9</v>
      </c>
      <c r="C173" s="155">
        <v>-13243.17</v>
      </c>
      <c r="D173" s="155">
        <v>-335959</v>
      </c>
      <c r="E173" s="155">
        <v>9434.26</v>
      </c>
      <c r="F173" s="155">
        <v>10575.91</v>
      </c>
      <c r="G173" s="155">
        <v>-6162.5</v>
      </c>
      <c r="H173" s="155">
        <v>36999.550000000003</v>
      </c>
      <c r="I173" s="155"/>
      <c r="J173" s="155"/>
      <c r="K173" s="155"/>
      <c r="L173" s="155">
        <f t="shared" ref="L173" si="18">SUM(B173:K173)</f>
        <v>-113387.05</v>
      </c>
    </row>
    <row r="174" spans="1:12" hidden="1" outlineLevel="1">
      <c r="A174" s="166">
        <f>'Historical NAV'!A1166</f>
        <v>45653</v>
      </c>
      <c r="B174" s="155">
        <v>-819207.49</v>
      </c>
      <c r="C174" s="155">
        <v>-35035.600000000013</v>
      </c>
      <c r="D174" s="155">
        <v>-690806.29</v>
      </c>
      <c r="E174" s="155">
        <v>-95858.89</v>
      </c>
      <c r="F174" s="155">
        <v>-134399.87</v>
      </c>
      <c r="G174" s="155">
        <v>-113087.5</v>
      </c>
      <c r="H174" s="155">
        <v>-93816.12</v>
      </c>
      <c r="I174" s="155"/>
      <c r="J174" s="155"/>
      <c r="K174" s="155"/>
      <c r="L174" s="155">
        <f t="shared" ref="L174" si="19">SUM(B174:K174)</f>
        <v>-1982211.7599999998</v>
      </c>
    </row>
    <row r="175" spans="1:12" hidden="1" outlineLevel="1">
      <c r="A175" s="166">
        <f>'Historical NAV'!A1167</f>
        <v>45656</v>
      </c>
      <c r="B175" s="155">
        <v>-806992.08</v>
      </c>
      <c r="C175" s="155">
        <v>-79816.400000000009</v>
      </c>
      <c r="D175" s="155">
        <v>-159451</v>
      </c>
      <c r="E175" s="155">
        <v>57340.53</v>
      </c>
      <c r="F175" s="155">
        <v>-49057.37</v>
      </c>
      <c r="G175" s="155">
        <v>-107637.5</v>
      </c>
      <c r="H175" s="155">
        <v>-146906.01999999999</v>
      </c>
      <c r="I175" s="155"/>
      <c r="J175" s="155"/>
      <c r="K175" s="155"/>
      <c r="L175" s="155">
        <f t="shared" ref="L175" si="20">SUM(B175:K175)</f>
        <v>-1292519.8399999999</v>
      </c>
    </row>
    <row r="176" spans="1:12" s="47" customFormat="1" hidden="1" outlineLevel="1">
      <c r="A176" s="167">
        <f>'Historical NAV'!A1168</f>
        <v>45657</v>
      </c>
      <c r="B176" s="157">
        <v>-172111.61</v>
      </c>
      <c r="C176" s="157">
        <v>26929.05</v>
      </c>
      <c r="D176" s="157">
        <v>-806369.73</v>
      </c>
      <c r="E176" s="157">
        <v>-27801.87</v>
      </c>
      <c r="F176" s="157">
        <v>139166.5</v>
      </c>
      <c r="G176" s="300">
        <v>1263133.29274105</v>
      </c>
      <c r="H176" s="300">
        <v>1304584.03274105</v>
      </c>
      <c r="I176" s="157"/>
      <c r="J176" s="157"/>
      <c r="K176" s="157"/>
      <c r="L176" s="157">
        <f t="shared" ref="L176" si="21">SUM(B176:K176)</f>
        <v>1727529.6654821001</v>
      </c>
    </row>
    <row r="177" spans="1:12" collapsed="1">
      <c r="A177" s="166">
        <f>'Historical NAV'!A1169</f>
        <v>45659</v>
      </c>
      <c r="B177" s="155">
        <v>-21079.34</v>
      </c>
      <c r="C177" s="155">
        <v>-360678.57</v>
      </c>
      <c r="D177" s="155">
        <v>1020611</v>
      </c>
      <c r="E177" s="155">
        <v>31358.5</v>
      </c>
      <c r="F177" s="155">
        <v>416103.49</v>
      </c>
      <c r="G177" s="155">
        <v>-38037.5</v>
      </c>
      <c r="H177" s="155">
        <v>3413.2399999999989</v>
      </c>
      <c r="I177" s="155"/>
      <c r="J177" s="155"/>
      <c r="K177" s="155"/>
      <c r="L177" s="155">
        <f t="shared" ref="L177" si="22">SUM(B177:K177)</f>
        <v>1051690.82</v>
      </c>
    </row>
    <row r="178" spans="1:12">
      <c r="A178" s="166">
        <f>'Historical NAV'!A1170</f>
        <v>45660</v>
      </c>
      <c r="B178" s="155">
        <v>1011890.72</v>
      </c>
      <c r="C178" s="155">
        <v>125627.6</v>
      </c>
      <c r="D178" s="155">
        <v>1749391.57</v>
      </c>
      <c r="E178" s="155">
        <v>27326.74</v>
      </c>
      <c r="F178" s="155">
        <v>-106806.33</v>
      </c>
      <c r="G178" s="155">
        <v>194350</v>
      </c>
      <c r="H178" s="155">
        <v>108562.39</v>
      </c>
      <c r="I178" s="155"/>
      <c r="J178" s="155"/>
      <c r="K178" s="155"/>
      <c r="L178" s="155">
        <f t="shared" ref="L178" si="23">SUM(B178:K178)</f>
        <v>3110342.6900000004</v>
      </c>
    </row>
    <row r="179" spans="1:12">
      <c r="A179" s="166">
        <f>'Historical NAV'!A1171</f>
        <v>45663</v>
      </c>
      <c r="B179" s="155">
        <v>361381.55</v>
      </c>
      <c r="C179" s="155">
        <v>-9348.8399999999983</v>
      </c>
      <c r="D179" s="155">
        <v>1690488.71</v>
      </c>
      <c r="E179" s="155">
        <v>-6656.630000000001</v>
      </c>
      <c r="F179" s="155">
        <v>95813.7</v>
      </c>
      <c r="G179" s="155">
        <v>114450</v>
      </c>
      <c r="H179" s="155">
        <v>-96725.440000000002</v>
      </c>
      <c r="I179" s="155"/>
      <c r="J179" s="155"/>
      <c r="K179" s="155"/>
      <c r="L179" s="155">
        <f t="shared" ref="L179" si="24">SUM(B179:K179)</f>
        <v>2149403.0500000003</v>
      </c>
    </row>
    <row r="180" spans="1:12">
      <c r="A180" s="166">
        <f>'Historical NAV'!A1172</f>
        <v>45664</v>
      </c>
      <c r="B180" s="155">
        <v>-789425.92999999993</v>
      </c>
      <c r="C180" s="155">
        <v>-272194.38</v>
      </c>
      <c r="D180" s="155">
        <v>-2269288</v>
      </c>
      <c r="E180" s="155">
        <v>-128776.13</v>
      </c>
      <c r="F180" s="155">
        <v>-54108.450000000012</v>
      </c>
      <c r="G180" s="155">
        <v>-203587.5</v>
      </c>
      <c r="H180" s="155">
        <v>75191.570000000007</v>
      </c>
      <c r="I180" s="155"/>
      <c r="J180" s="155"/>
      <c r="K180" s="155"/>
      <c r="L180" s="155">
        <f t="shared" ref="L180" si="25">SUM(B180:K180)</f>
        <v>-3642188.8200000003</v>
      </c>
    </row>
    <row r="181" spans="1:12">
      <c r="A181" s="166">
        <f>'Historical NAV'!A1173</f>
        <v>45665</v>
      </c>
      <c r="B181" s="155">
        <v>34995.08</v>
      </c>
      <c r="C181" s="155">
        <v>-141260.85</v>
      </c>
      <c r="D181" s="155">
        <v>-339750</v>
      </c>
      <c r="E181" s="155">
        <v>3413.76</v>
      </c>
      <c r="F181" s="155">
        <v>19055.3</v>
      </c>
      <c r="G181" s="155">
        <v>4150</v>
      </c>
      <c r="H181" s="155">
        <v>32633.85</v>
      </c>
      <c r="I181" s="155"/>
      <c r="J181" s="155"/>
      <c r="K181" s="155"/>
      <c r="L181" s="155">
        <f t="shared" ref="L181" si="26">SUM(B181:K181)</f>
        <v>-386762.86000000004</v>
      </c>
    </row>
    <row r="182" spans="1:12">
      <c r="A182" s="166">
        <f>'Historical NAV'!A1174</f>
        <v>45666</v>
      </c>
      <c r="B182" s="155">
        <v>0</v>
      </c>
      <c r="C182" s="155">
        <v>-19800.86</v>
      </c>
      <c r="D182" s="155">
        <v>-3207.77</v>
      </c>
      <c r="E182" s="155">
        <v>0</v>
      </c>
      <c r="F182" s="155">
        <v>0</v>
      </c>
      <c r="G182" s="155">
        <v>0</v>
      </c>
      <c r="H182" s="155">
        <v>5024.53</v>
      </c>
      <c r="I182" s="155"/>
      <c r="J182" s="155"/>
      <c r="K182" s="155"/>
      <c r="L182" s="155">
        <f t="shared" ref="L182" si="27">SUM(B182:K182)</f>
        <v>-17984.100000000002</v>
      </c>
    </row>
    <row r="183" spans="1:12">
      <c r="A183" s="166">
        <f>'Historical NAV'!A1175</f>
        <v>45667</v>
      </c>
      <c r="B183" s="155">
        <v>-1236187.71</v>
      </c>
      <c r="C183" s="155">
        <v>-306776.56</v>
      </c>
      <c r="D183" s="155">
        <v>-779219.46</v>
      </c>
      <c r="E183" s="155">
        <v>-113847.32</v>
      </c>
      <c r="F183" s="155">
        <v>223660.35</v>
      </c>
      <c r="G183" s="155">
        <v>-304450</v>
      </c>
      <c r="H183" s="155">
        <v>5086.0900000000047</v>
      </c>
      <c r="I183" s="155"/>
      <c r="J183" s="155"/>
      <c r="K183" s="155"/>
      <c r="L183" s="155">
        <f t="shared" ref="L183" si="28">SUM(B183:K183)</f>
        <v>-2511734.61</v>
      </c>
    </row>
    <row r="184" spans="1:12">
      <c r="A184" s="166">
        <f>'Historical NAV'!A1176</f>
        <v>45670</v>
      </c>
      <c r="B184" s="155">
        <v>123447.38</v>
      </c>
      <c r="C184" s="155">
        <v>-76042.03</v>
      </c>
      <c r="D184" s="155">
        <v>-1298384.46</v>
      </c>
      <c r="E184" s="155">
        <v>-37861.120000000003</v>
      </c>
      <c r="F184" s="155">
        <v>-165546.07</v>
      </c>
      <c r="G184" s="155">
        <v>-35062.5</v>
      </c>
      <c r="H184" s="155">
        <v>200153.05</v>
      </c>
      <c r="I184" s="155"/>
      <c r="J184" s="155"/>
      <c r="K184" s="155"/>
      <c r="L184" s="155">
        <f t="shared" ref="L184" si="29">SUM(B184:K184)</f>
        <v>-1289295.75</v>
      </c>
    </row>
    <row r="185" spans="1:12">
      <c r="A185" s="166">
        <f>'Historical NAV'!A1177</f>
        <v>45671</v>
      </c>
      <c r="B185" s="155">
        <v>313247.17</v>
      </c>
      <c r="C185" s="155">
        <v>296040.19</v>
      </c>
      <c r="D185" s="155">
        <v>-189569.1</v>
      </c>
      <c r="E185" s="155">
        <v>23961.02</v>
      </c>
      <c r="F185" s="155">
        <v>212715.49</v>
      </c>
      <c r="G185" s="155">
        <v>-10837.5</v>
      </c>
      <c r="H185" s="155">
        <v>-18519.38</v>
      </c>
      <c r="I185" s="155"/>
      <c r="J185" s="155"/>
      <c r="K185" s="155"/>
      <c r="L185" s="155">
        <f t="shared" ref="L185" si="30">SUM(B185:K185)</f>
        <v>627037.89</v>
      </c>
    </row>
    <row r="186" spans="1:12">
      <c r="A186" s="166">
        <f>'Historical NAV'!A1178</f>
        <v>45672</v>
      </c>
      <c r="B186" s="155">
        <v>1466634.49</v>
      </c>
      <c r="C186" s="155">
        <v>88334.34</v>
      </c>
      <c r="D186" s="155">
        <v>1517090</v>
      </c>
      <c r="E186" s="155">
        <v>207809.21</v>
      </c>
      <c r="F186" s="155">
        <v>288923.84999999998</v>
      </c>
      <c r="G186" s="155">
        <v>368512.5</v>
      </c>
      <c r="H186" s="155">
        <v>137817.85</v>
      </c>
      <c r="I186" s="155"/>
      <c r="J186" s="155"/>
      <c r="K186" s="155"/>
      <c r="L186" s="155">
        <f t="shared" ref="L186" si="31">SUM(B186:K186)</f>
        <v>4075122.24</v>
      </c>
    </row>
    <row r="187" spans="1:12">
      <c r="A187" s="166">
        <f>'Historical NAV'!A1179</f>
        <v>45673</v>
      </c>
      <c r="B187" s="155">
        <v>-88345.21</v>
      </c>
      <c r="C187" s="155">
        <v>180618.94</v>
      </c>
      <c r="D187" s="155">
        <v>360015</v>
      </c>
      <c r="E187" s="155">
        <v>46490.28</v>
      </c>
      <c r="F187" s="155">
        <v>152603.32</v>
      </c>
      <c r="G187" s="155">
        <v>-100425</v>
      </c>
      <c r="H187" s="155">
        <v>-21715.06</v>
      </c>
      <c r="I187" s="155"/>
      <c r="J187" s="155"/>
      <c r="K187" s="155"/>
      <c r="L187" s="155">
        <f t="shared" ref="L187:L189" si="32">SUM(B187:K187)</f>
        <v>529242.27</v>
      </c>
    </row>
    <row r="188" spans="1:12">
      <c r="A188" s="166">
        <f>'Historical NAV'!A1180</f>
        <v>45674</v>
      </c>
      <c r="B188" s="155">
        <v>801373.58</v>
      </c>
      <c r="C188" s="155">
        <v>62549.440000000002</v>
      </c>
      <c r="D188" s="155">
        <v>515321</v>
      </c>
      <c r="E188" s="155">
        <v>41605.5</v>
      </c>
      <c r="F188" s="155">
        <v>84477.27</v>
      </c>
      <c r="G188" s="155">
        <v>244450</v>
      </c>
      <c r="H188" s="155">
        <v>156856.21</v>
      </c>
      <c r="I188" s="155"/>
      <c r="J188" s="155"/>
      <c r="K188" s="155"/>
      <c r="L188" s="155">
        <f t="shared" si="32"/>
        <v>1906633</v>
      </c>
    </row>
    <row r="189" spans="1:12">
      <c r="A189" s="166">
        <f>'Historical NAV'!A1181</f>
        <v>45677</v>
      </c>
      <c r="B189" s="155">
        <v>0</v>
      </c>
      <c r="C189" s="155">
        <v>253516.58</v>
      </c>
      <c r="D189" s="155">
        <v>0</v>
      </c>
      <c r="E189" s="155">
        <v>0</v>
      </c>
      <c r="F189" s="155">
        <v>0</v>
      </c>
      <c r="G189" s="155">
        <v>0</v>
      </c>
      <c r="H189" s="155">
        <v>3106.79</v>
      </c>
      <c r="I189" s="155"/>
      <c r="J189" s="155"/>
      <c r="K189" s="155"/>
      <c r="L189" s="155">
        <f t="shared" si="32"/>
        <v>256623.37</v>
      </c>
    </row>
    <row r="190" spans="1:12">
      <c r="A190" s="166">
        <f>'Historical NAV'!A1182</f>
        <v>45678</v>
      </c>
      <c r="B190" s="155">
        <v>626834.46</v>
      </c>
      <c r="C190" s="155">
        <v>121341.4</v>
      </c>
      <c r="D190" s="155">
        <v>1397479</v>
      </c>
      <c r="E190" s="155">
        <v>97732.89</v>
      </c>
      <c r="F190" s="155">
        <v>345487.66</v>
      </c>
      <c r="G190" s="155">
        <v>107890</v>
      </c>
      <c r="H190" s="155">
        <v>40399.22</v>
      </c>
      <c r="I190" s="155"/>
      <c r="J190" s="155"/>
      <c r="K190" s="155"/>
      <c r="L190" s="155">
        <f t="shared" ref="L190" si="33">SUM(B190:K190)</f>
        <v>2737164.6300000004</v>
      </c>
    </row>
    <row r="191" spans="1:12">
      <c r="A191" s="166">
        <f>'Historical NAV'!A1183</f>
        <v>45679</v>
      </c>
      <c r="B191" s="155">
        <v>302728.36</v>
      </c>
      <c r="C191" s="155">
        <v>-307273.86</v>
      </c>
      <c r="D191" s="155">
        <v>1559659</v>
      </c>
      <c r="E191" s="155">
        <v>-59662.26</v>
      </c>
      <c r="F191" s="155">
        <v>7723.3000000000029</v>
      </c>
      <c r="G191" s="155">
        <v>143587.5</v>
      </c>
      <c r="H191" s="155">
        <v>-12188.08</v>
      </c>
      <c r="I191" s="155"/>
      <c r="J191" s="155"/>
      <c r="K191" s="155"/>
      <c r="L191" s="155">
        <f t="shared" ref="L191" si="34">SUM(B191:K191)</f>
        <v>1634573.96</v>
      </c>
    </row>
    <row r="192" spans="1:12">
      <c r="A192" s="166">
        <f>'Historical NAV'!A1184</f>
        <v>45680</v>
      </c>
      <c r="B192" s="155">
        <v>289313.27</v>
      </c>
      <c r="C192" s="155">
        <v>-15939.95</v>
      </c>
      <c r="D192" s="155">
        <v>218192</v>
      </c>
      <c r="E192" s="155">
        <v>-30181</v>
      </c>
      <c r="F192" s="155">
        <v>-56451.16</v>
      </c>
      <c r="G192" s="155">
        <v>38725</v>
      </c>
      <c r="H192" s="155">
        <v>13887.61</v>
      </c>
      <c r="I192" s="155"/>
      <c r="J192" s="155"/>
      <c r="K192" s="155"/>
      <c r="L192" s="155">
        <f t="shared" ref="L192" si="35">SUM(B192:K192)</f>
        <v>457545.77</v>
      </c>
    </row>
    <row r="193" spans="1:12">
      <c r="A193" s="166">
        <f>'Historical NAV'!A1185</f>
        <v>45681</v>
      </c>
      <c r="B193" s="155">
        <v>-316705.55</v>
      </c>
      <c r="C193" s="155">
        <v>407885.56</v>
      </c>
      <c r="D193" s="155">
        <v>-1067177</v>
      </c>
      <c r="E193" s="155">
        <v>31370.02</v>
      </c>
      <c r="F193" s="155">
        <v>171583.98</v>
      </c>
      <c r="G193" s="155">
        <v>-64862.5</v>
      </c>
      <c r="H193" s="155">
        <v>151653.93</v>
      </c>
      <c r="I193" s="155"/>
      <c r="J193" s="155"/>
      <c r="K193" s="155"/>
      <c r="L193" s="155">
        <f t="shared" ref="L193" si="36">SUM(B193:K193)</f>
        <v>-686251.56</v>
      </c>
    </row>
    <row r="194" spans="1:12">
      <c r="A194" s="166">
        <f>'Historical NAV'!A1186</f>
        <v>45684</v>
      </c>
      <c r="B194" s="155">
        <v>-1263422.55</v>
      </c>
      <c r="C194" s="155">
        <v>147984.6</v>
      </c>
      <c r="D194" s="155">
        <v>-3851363.55</v>
      </c>
      <c r="E194" s="155">
        <v>6126.9099999999989</v>
      </c>
      <c r="F194" s="155">
        <v>-328144.12</v>
      </c>
      <c r="G194" s="155">
        <v>-188323.75</v>
      </c>
      <c r="H194" s="155">
        <v>102307.87</v>
      </c>
      <c r="I194" s="155"/>
      <c r="J194" s="155"/>
      <c r="K194" s="155"/>
      <c r="L194" s="155">
        <f t="shared" ref="L194" si="37">SUM(B194:K194)</f>
        <v>-5374834.5899999999</v>
      </c>
    </row>
    <row r="195" spans="1:12">
      <c r="A195" s="166">
        <f>'Historical NAV'!A1187</f>
        <v>45685</v>
      </c>
      <c r="B195" s="155">
        <v>0</v>
      </c>
      <c r="C195" s="155">
        <v>0</v>
      </c>
      <c r="D195" s="155">
        <v>0</v>
      </c>
      <c r="E195" s="155">
        <v>0</v>
      </c>
      <c r="F195" s="155">
        <v>0</v>
      </c>
      <c r="G195" s="155">
        <v>0</v>
      </c>
      <c r="H195" s="155">
        <v>10161.86</v>
      </c>
      <c r="I195" s="155"/>
      <c r="J195" s="155"/>
      <c r="K195" s="155"/>
      <c r="L195" s="155">
        <f t="shared" ref="L195" si="38">SUM(B195:K195)</f>
        <v>10161.86</v>
      </c>
    </row>
    <row r="196" spans="1:12">
      <c r="A196" s="166">
        <f>'Historical NAV'!A1188</f>
        <v>45686</v>
      </c>
      <c r="B196" s="155">
        <v>0.02</v>
      </c>
      <c r="C196" s="155">
        <v>0</v>
      </c>
      <c r="D196" s="155">
        <v>-1444.28</v>
      </c>
      <c r="E196" s="155">
        <v>1180.26</v>
      </c>
      <c r="F196" s="155">
        <v>0</v>
      </c>
      <c r="G196" s="155">
        <v>0</v>
      </c>
      <c r="H196" s="155">
        <v>-8486.49</v>
      </c>
      <c r="I196" s="155"/>
      <c r="J196" s="155"/>
      <c r="K196" s="155"/>
      <c r="L196" s="155">
        <f t="shared" ref="L196" si="39">SUM(B196:K196)</f>
        <v>-8750.49</v>
      </c>
    </row>
    <row r="197" spans="1:12">
      <c r="A197" s="166">
        <f>'Historical NAV'!A1189</f>
        <v>45687</v>
      </c>
      <c r="B197" s="155">
        <v>0</v>
      </c>
      <c r="C197" s="155">
        <v>0</v>
      </c>
      <c r="D197" s="155">
        <v>950</v>
      </c>
      <c r="E197" s="155">
        <v>0</v>
      </c>
      <c r="F197" s="155">
        <v>0</v>
      </c>
      <c r="G197" s="155">
        <v>0</v>
      </c>
      <c r="H197" s="155">
        <v>8138.8</v>
      </c>
      <c r="I197" s="155"/>
      <c r="J197" s="155"/>
      <c r="K197" s="155"/>
      <c r="L197" s="155">
        <f t="shared" ref="L197" si="40">SUM(B197:K197)</f>
        <v>9088.7999999999993</v>
      </c>
    </row>
    <row r="198" spans="1:12" s="47" customFormat="1">
      <c r="A198" s="167">
        <f>'Historical NAV'!A1190</f>
        <v>45688</v>
      </c>
      <c r="B198" s="157">
        <v>0</v>
      </c>
      <c r="C198" s="157">
        <v>0</v>
      </c>
      <c r="D198" s="157">
        <v>-1955</v>
      </c>
      <c r="E198" s="157">
        <v>7854</v>
      </c>
      <c r="F198" s="157">
        <v>0</v>
      </c>
      <c r="G198" s="157">
        <v>0</v>
      </c>
      <c r="H198" s="157">
        <v>-2633.1</v>
      </c>
      <c r="I198" s="157"/>
      <c r="J198" s="157"/>
      <c r="K198" s="157"/>
      <c r="L198" s="157">
        <f t="shared" ref="L198" si="41">SUM(B198:K198)</f>
        <v>3265.9</v>
      </c>
    </row>
    <row r="199" spans="1:12">
      <c r="A199" s="166">
        <f>'Historical NAV'!A1191</f>
        <v>45691</v>
      </c>
      <c r="B199" s="155">
        <v>0</v>
      </c>
      <c r="C199" s="155">
        <v>0</v>
      </c>
      <c r="D199" s="155">
        <v>-3410</v>
      </c>
      <c r="E199" s="155">
        <v>-3266.1</v>
      </c>
      <c r="F199" s="155">
        <v>0</v>
      </c>
      <c r="G199" s="155">
        <v>0</v>
      </c>
      <c r="H199" s="155">
        <v>-4527.5999999999995</v>
      </c>
      <c r="I199" s="155"/>
      <c r="J199" s="155"/>
      <c r="K199" s="155"/>
      <c r="L199" s="155">
        <f t="shared" ref="L199" si="42">SUM(B199:K199)</f>
        <v>-11203.7</v>
      </c>
    </row>
    <row r="200" spans="1:12">
      <c r="A200" s="166">
        <f>'Historical NAV'!A1192</f>
        <v>45692</v>
      </c>
      <c r="B200" s="155">
        <v>0</v>
      </c>
      <c r="C200" s="155">
        <v>0</v>
      </c>
      <c r="D200" s="155">
        <v>1990</v>
      </c>
      <c r="E200" s="155">
        <v>12636</v>
      </c>
      <c r="F200" s="155">
        <v>0</v>
      </c>
      <c r="G200" s="155">
        <v>0</v>
      </c>
      <c r="H200" s="155">
        <v>3623.6</v>
      </c>
      <c r="I200" s="155"/>
      <c r="J200" s="155"/>
      <c r="K200" s="155"/>
      <c r="L200" s="155">
        <f t="shared" ref="L200" si="43">SUM(B200:K200)</f>
        <v>18249.599999999999</v>
      </c>
    </row>
    <row r="201" spans="1:12">
      <c r="A201" s="166">
        <f>'Historical NAV'!A1193</f>
        <v>45693</v>
      </c>
      <c r="B201" s="155">
        <v>0</v>
      </c>
      <c r="C201" s="155">
        <v>0</v>
      </c>
      <c r="D201" s="155">
        <v>6180</v>
      </c>
      <c r="E201" s="155">
        <v>31861.93</v>
      </c>
      <c r="F201" s="155">
        <v>0</v>
      </c>
      <c r="G201" s="155">
        <v>0</v>
      </c>
      <c r="H201" s="155">
        <v>7914.84</v>
      </c>
      <c r="I201" s="155"/>
      <c r="J201" s="155"/>
      <c r="K201" s="155"/>
      <c r="L201" s="155">
        <f t="shared" ref="L201" si="44">SUM(B201:K201)</f>
        <v>45956.770000000004</v>
      </c>
    </row>
    <row r="202" spans="1:12">
      <c r="A202" s="166">
        <f>'Historical NAV'!A1194</f>
        <v>45694</v>
      </c>
      <c r="B202" s="155">
        <v>0</v>
      </c>
      <c r="C202" s="155">
        <v>0</v>
      </c>
      <c r="D202" s="155">
        <v>3850</v>
      </c>
      <c r="E202" s="155">
        <v>12636</v>
      </c>
      <c r="F202" s="155">
        <v>0</v>
      </c>
      <c r="G202" s="155">
        <v>0</v>
      </c>
      <c r="H202" s="155">
        <v>1626.5</v>
      </c>
      <c r="I202" s="155"/>
      <c r="J202" s="155"/>
      <c r="K202" s="155"/>
      <c r="L202" s="155">
        <f t="shared" ref="L202" si="45">SUM(B202:K202)</f>
        <v>18112.5</v>
      </c>
    </row>
    <row r="203" spans="1:12">
      <c r="A203" s="166">
        <f>'Historical NAV'!A1195</f>
        <v>45695</v>
      </c>
      <c r="B203" s="155">
        <v>0</v>
      </c>
      <c r="C203" s="155">
        <v>0</v>
      </c>
      <c r="D203" s="155">
        <v>1160</v>
      </c>
      <c r="E203" s="155">
        <v>18954</v>
      </c>
      <c r="F203" s="155">
        <v>0</v>
      </c>
      <c r="G203" s="155">
        <v>0</v>
      </c>
      <c r="H203" s="155">
        <v>607.60000000000014</v>
      </c>
      <c r="I203" s="155"/>
      <c r="J203" s="155"/>
      <c r="K203" s="155"/>
      <c r="L203" s="155">
        <f t="shared" ref="L203" si="46">SUM(B203:K203)</f>
        <v>20721.599999999999</v>
      </c>
    </row>
    <row r="204" spans="1:12">
      <c r="A204" s="166">
        <f>'Historical NAV'!A1196</f>
        <v>45698</v>
      </c>
      <c r="B204" s="155">
        <v>0</v>
      </c>
      <c r="C204" s="155">
        <v>0</v>
      </c>
      <c r="D204" s="155">
        <v>-3843.67</v>
      </c>
      <c r="E204" s="155">
        <v>12543.56</v>
      </c>
      <c r="F204" s="155">
        <v>0</v>
      </c>
      <c r="G204" s="155">
        <v>0</v>
      </c>
      <c r="H204" s="155">
        <v>6675.5</v>
      </c>
      <c r="I204" s="155"/>
      <c r="J204" s="155"/>
      <c r="K204" s="155"/>
      <c r="L204" s="155">
        <f t="shared" ref="L204" si="47">SUM(B204:K204)</f>
        <v>15375.39</v>
      </c>
    </row>
    <row r="205" spans="1:12">
      <c r="A205" s="166">
        <f>'Historical NAV'!A1197</f>
        <v>45699</v>
      </c>
      <c r="B205" s="155">
        <v>0</v>
      </c>
      <c r="C205" s="155">
        <v>0</v>
      </c>
      <c r="D205" s="155">
        <v>0</v>
      </c>
      <c r="E205" s="155">
        <v>0</v>
      </c>
      <c r="F205" s="155">
        <v>0</v>
      </c>
      <c r="G205" s="155">
        <v>0</v>
      </c>
      <c r="H205" s="155">
        <v>-520.79999999999995</v>
      </c>
      <c r="I205" s="155"/>
      <c r="J205" s="155"/>
      <c r="K205" s="155"/>
      <c r="L205" s="155">
        <f t="shared" ref="L205" si="48">SUM(B205:K205)</f>
        <v>-520.79999999999995</v>
      </c>
    </row>
    <row r="206" spans="1:12">
      <c r="A206" s="166">
        <f>'Historical NAV'!A1198</f>
        <v>45700</v>
      </c>
      <c r="B206" s="155">
        <v>0</v>
      </c>
      <c r="C206" s="155">
        <v>0</v>
      </c>
      <c r="D206" s="155">
        <v>0</v>
      </c>
      <c r="E206" s="155">
        <v>6250</v>
      </c>
      <c r="F206" s="155">
        <v>0</v>
      </c>
      <c r="G206" s="155">
        <v>0</v>
      </c>
      <c r="H206" s="155">
        <v>-1289</v>
      </c>
      <c r="I206" s="155"/>
      <c r="J206" s="155"/>
      <c r="K206" s="155"/>
      <c r="L206" s="155">
        <f t="shared" ref="L206" si="49">SUM(B206:K206)</f>
        <v>4961</v>
      </c>
    </row>
    <row r="207" spans="1:12">
      <c r="A207" s="166">
        <f>'Historical NAV'!A1199</f>
        <v>45701</v>
      </c>
      <c r="B207" s="155">
        <v>0</v>
      </c>
      <c r="C207" s="155">
        <v>0</v>
      </c>
      <c r="D207" s="155">
        <v>0</v>
      </c>
      <c r="E207" s="155">
        <v>145241.37</v>
      </c>
      <c r="F207" s="155">
        <v>0</v>
      </c>
      <c r="G207" s="155">
        <v>0</v>
      </c>
      <c r="H207" s="155">
        <v>3058.3</v>
      </c>
      <c r="I207" s="155"/>
      <c r="J207" s="155"/>
      <c r="K207" s="155"/>
      <c r="L207" s="155">
        <f t="shared" ref="L207" si="50">SUM(B207:K207)</f>
        <v>148299.66999999998</v>
      </c>
    </row>
    <row r="208" spans="1:12">
      <c r="A208" s="166">
        <f>'Historical NAV'!A1200</f>
        <v>45702</v>
      </c>
      <c r="B208" s="155">
        <v>0</v>
      </c>
      <c r="C208" s="155">
        <v>0</v>
      </c>
      <c r="D208" s="155">
        <v>0</v>
      </c>
      <c r="E208" s="155">
        <v>25000</v>
      </c>
      <c r="F208" s="155">
        <v>0</v>
      </c>
      <c r="G208" s="155">
        <v>0</v>
      </c>
      <c r="H208" s="155">
        <v>2407.6</v>
      </c>
      <c r="I208" s="155"/>
      <c r="J208" s="155"/>
      <c r="K208" s="155"/>
      <c r="L208" s="155">
        <f t="shared" ref="L208" si="51">SUM(B208:K208)</f>
        <v>27407.599999999999</v>
      </c>
    </row>
    <row r="209" spans="1:12">
      <c r="A209" s="166">
        <f>'Historical NAV'!A1201</f>
        <v>45705</v>
      </c>
      <c r="B209" s="155">
        <v>0</v>
      </c>
      <c r="C209" s="155">
        <v>0</v>
      </c>
      <c r="D209" s="155">
        <v>0</v>
      </c>
      <c r="E209" s="155">
        <v>0</v>
      </c>
      <c r="F209" s="155">
        <v>0</v>
      </c>
      <c r="G209" s="155">
        <v>0</v>
      </c>
      <c r="H209" s="155">
        <v>0</v>
      </c>
      <c r="I209" s="155"/>
      <c r="J209" s="155"/>
      <c r="K209" s="155"/>
      <c r="L209" s="155">
        <f t="shared" ref="L209" si="52">SUM(B209:K209)</f>
        <v>0</v>
      </c>
    </row>
    <row r="210" spans="1:12">
      <c r="A210" s="166">
        <f>'Historical NAV'!A1202</f>
        <v>45706</v>
      </c>
      <c r="B210" s="155">
        <v>227.37</v>
      </c>
      <c r="C210" s="155">
        <v>0</v>
      </c>
      <c r="D210" s="155">
        <v>0</v>
      </c>
      <c r="E210" s="155">
        <v>12500</v>
      </c>
      <c r="F210" s="155">
        <v>0</v>
      </c>
      <c r="G210" s="155">
        <v>0</v>
      </c>
      <c r="H210" s="155">
        <v>465</v>
      </c>
      <c r="I210" s="155"/>
      <c r="J210" s="155"/>
      <c r="K210" s="155"/>
      <c r="L210" s="155">
        <f t="shared" ref="L210" si="53">SUM(B210:K210)</f>
        <v>13192.37</v>
      </c>
    </row>
    <row r="211" spans="1:12">
      <c r="A211" s="166">
        <f>'Historical NAV'!A1203</f>
        <v>45707</v>
      </c>
      <c r="B211" s="155">
        <v>0</v>
      </c>
      <c r="C211" s="155">
        <v>0</v>
      </c>
      <c r="D211" s="155">
        <v>0</v>
      </c>
      <c r="E211" s="155">
        <v>0</v>
      </c>
      <c r="F211" s="155">
        <v>0</v>
      </c>
      <c r="G211" s="155">
        <v>0</v>
      </c>
      <c r="H211" s="155">
        <v>-374.5</v>
      </c>
      <c r="I211" s="155"/>
      <c r="J211" s="155"/>
      <c r="K211" s="155"/>
      <c r="L211" s="155">
        <f t="shared" ref="L211" si="54">SUM(B211:K211)</f>
        <v>-374.5</v>
      </c>
    </row>
    <row r="212" spans="1:12">
      <c r="A212" s="166">
        <f>'Historical NAV'!A1204</f>
        <v>45708</v>
      </c>
      <c r="B212" s="155">
        <v>0</v>
      </c>
      <c r="C212" s="155">
        <v>0</v>
      </c>
      <c r="D212" s="155">
        <v>789.6</v>
      </c>
      <c r="E212" s="155">
        <v>12500</v>
      </c>
      <c r="F212" s="155">
        <v>0</v>
      </c>
      <c r="G212" s="155">
        <v>0</v>
      </c>
      <c r="H212" s="155">
        <v>636.1</v>
      </c>
      <c r="I212" s="155"/>
      <c r="J212" s="155"/>
      <c r="K212" s="155"/>
      <c r="L212" s="155">
        <f t="shared" ref="L212" si="55">SUM(B212:K212)</f>
        <v>13925.7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D17" sqref="D17"/>
    </sheetView>
  </sheetViews>
  <sheetFormatPr defaultRowHeight="14.4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69" t="s">
        <v>92</v>
      </c>
      <c r="C2" s="269"/>
      <c r="D2" s="269"/>
      <c r="E2" s="269"/>
      <c r="F2" s="269"/>
      <c r="G2" s="269"/>
      <c r="H2" s="269"/>
      <c r="I2" s="269"/>
      <c r="J2" s="269"/>
      <c r="K2" s="269"/>
      <c r="L2" s="269"/>
      <c r="N2" s="269" t="s">
        <v>93</v>
      </c>
      <c r="O2" s="269"/>
      <c r="P2" s="269"/>
      <c r="Q2" s="269"/>
      <c r="S2" s="269" t="s">
        <v>94</v>
      </c>
      <c r="T2" s="275"/>
      <c r="U2" s="269"/>
    </row>
    <row r="3" spans="2:22">
      <c r="B3" s="106" t="s">
        <v>95</v>
      </c>
      <c r="C3" s="106" t="s">
        <v>96</v>
      </c>
      <c r="D3" s="106" t="s">
        <v>97</v>
      </c>
      <c r="E3" s="106" t="s">
        <v>98</v>
      </c>
      <c r="F3" s="106" t="s">
        <v>99</v>
      </c>
      <c r="G3" s="106" t="s">
        <v>100</v>
      </c>
      <c r="H3" s="106" t="s">
        <v>101</v>
      </c>
      <c r="I3" s="106" t="s">
        <v>102</v>
      </c>
      <c r="J3" s="106" t="s">
        <v>4</v>
      </c>
      <c r="K3" s="106" t="s">
        <v>4</v>
      </c>
      <c r="L3" s="106" t="s">
        <v>5</v>
      </c>
      <c r="M3" s="288"/>
      <c r="N3" s="106"/>
      <c r="O3" s="106" t="s">
        <v>103</v>
      </c>
      <c r="P3" s="106" t="s">
        <v>104</v>
      </c>
      <c r="Q3" s="106" t="s">
        <v>34</v>
      </c>
      <c r="S3" t="s">
        <v>105</v>
      </c>
      <c r="T3" s="276">
        <f>ROUND(VLOOKUP("Starting Value", 'Email input'!C:D, 2, FALSE),2)</f>
        <v>66302018.380000003</v>
      </c>
    </row>
    <row r="4" spans="2:22">
      <c r="B4" t="s">
        <v>103</v>
      </c>
      <c r="C4" t="s">
        <v>106</v>
      </c>
      <c r="D4" s="8">
        <f>IF(D18=0, "", D18)</f>
        <v>1.6999999999999999E-3</v>
      </c>
      <c r="E4" s="8">
        <f t="shared" ref="E4:L5" si="0">IF(E18=0, "", E18)</f>
        <v>3.0108225232103156E-3</v>
      </c>
      <c r="F4" s="8">
        <f t="shared" ca="1" si="0"/>
        <v>-0.68513280482617611</v>
      </c>
      <c r="G4" s="8" t="str">
        <f t="shared" si="0"/>
        <v/>
      </c>
      <c r="H4" s="8" t="str">
        <f t="shared" si="0"/>
        <v/>
      </c>
      <c r="I4" s="8">
        <f t="shared" ca="1" si="0"/>
        <v>-0.68513280482617611</v>
      </c>
      <c r="J4" s="8">
        <f t="shared" ca="1" si="0"/>
        <v>-0.68349275646356755</v>
      </c>
      <c r="K4" s="8">
        <f ca="1">J4</f>
        <v>-0.68349275646356755</v>
      </c>
      <c r="L4" s="8">
        <f t="shared" ca="1" si="0"/>
        <v>-0.66335390619791479</v>
      </c>
      <c r="N4" t="s">
        <v>105</v>
      </c>
      <c r="O4" s="276">
        <f>T3</f>
        <v>66302018.380000003</v>
      </c>
      <c r="P4" s="289">
        <f>P16</f>
        <v>2307179.61</v>
      </c>
      <c r="Q4" s="276">
        <f>SUM(O4:P4)</f>
        <v>68609197.99000001</v>
      </c>
      <c r="S4" t="s">
        <v>107</v>
      </c>
      <c r="T4" s="282">
        <v>0</v>
      </c>
      <c r="V4" s="41" t="e">
        <f>ROUND(VLOOKUP("Deposits &amp; Withdrawals", 'Email input'!C:D, 2, FALSE),2)</f>
        <v>#N/A</v>
      </c>
    </row>
    <row r="5" spans="2:22">
      <c r="B5" t="s">
        <v>104</v>
      </c>
      <c r="C5" t="s">
        <v>108</v>
      </c>
      <c r="D5" s="8">
        <f>D19</f>
        <v>0</v>
      </c>
      <c r="E5" s="8">
        <f t="shared" si="0"/>
        <v>0.01</v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2" t="s">
        <v>109</v>
      </c>
      <c r="J5" s="8">
        <f>SUM(D5:H5)</f>
        <v>0.01</v>
      </c>
      <c r="K5" s="8">
        <f>J5</f>
        <v>0.01</v>
      </c>
      <c r="L5" s="8">
        <f>L19+J5</f>
        <v>8.299999999999999E-2</v>
      </c>
      <c r="N5" t="s">
        <v>107</v>
      </c>
      <c r="O5" s="276">
        <f>T4</f>
        <v>0</v>
      </c>
      <c r="P5" s="270"/>
      <c r="Q5" s="276">
        <f>SUM(O5:P5)</f>
        <v>0</v>
      </c>
      <c r="S5" t="s">
        <v>29</v>
      </c>
      <c r="T5" s="282">
        <v>0</v>
      </c>
      <c r="U5" s="8" t="e">
        <f>VLOOKUP("Commodities", 'Email input'!F:G, 2, FALSE)/100</f>
        <v>#N/A</v>
      </c>
      <c r="V5" s="282"/>
    </row>
    <row r="6" spans="2:22">
      <c r="B6" t="s">
        <v>110</v>
      </c>
      <c r="C6" t="s">
        <v>111</v>
      </c>
      <c r="D6" s="8" t="str">
        <f t="array" aca="1" ref="D6" ca="1">IFERROR(_xll.BDP($B6,"INTERVAL_PERCENT_CHANGE", "END_DATE_OVERRIDE="&amp;TEXT(D$17,"yyyymmdd"), "START_DATE_OVERRIDE="&amp;TEXT(D$16,"yyyymmdd"))/100, "")</f>
        <v/>
      </c>
      <c r="E6" s="8" t="str">
        <f t="array" aca="1" ref="E6" ca="1">IFERROR(_xll.BDP($B6,"INTERVAL_PERCENT_CHANGE", "END_DATE_OVERRIDE="&amp;TEXT(E$17,"yyyymmdd"), "START_DATE_OVERRIDE="&amp;TEXT(E$16,"yyyymmdd"))/100, "")</f>
        <v/>
      </c>
      <c r="F6" s="8" t="str">
        <f t="array" aca="1" ref="F6" ca="1">IFERROR(_xll.BDP($B6,"INTERVAL_PERCENT_CHANGE", "END_DATE_OVERRIDE="&amp;TEXT(F$17,"yyyymmdd"), "START_DATE_OVERRIDE="&amp;TEXT(F$16,"yyyymmdd"))/100, "")</f>
        <v/>
      </c>
      <c r="G6" s="8" t="str">
        <f t="array" aca="1" ref="G6" ca="1">IFERROR(_xll.BDP($B6,"INTERVAL_PERCENT_CHANGE", "END_DATE_OVERRIDE="&amp;TEXT(G$17,"yyyymmdd"), "START_DATE_OVERRIDE="&amp;TEXT(G$16,"yyyymmdd"))/100, "")</f>
        <v/>
      </c>
      <c r="H6" s="8" t="str">
        <f t="array" aca="1" ref="H6" ca="1">IFERROR(_xll.BDP($B6,"INTERVAL_PERCENT_CHANGE", "END_DATE_OVERRIDE="&amp;TEXT(H$17,"yyyymmdd"), "START_DATE_OVERRIDE="&amp;TEXT(H$16,"yyyymmdd"))/100, "")</f>
        <v/>
      </c>
      <c r="I6" s="8" t="e">
        <f ca="1">_xll.BDP(B6,"CHG_PCT_1D")/100</f>
        <v>#NAME?</v>
      </c>
      <c r="J6" s="8" t="e">
        <f ca="1">_xll.BDP($B6,"CURRENT_TRR_MTD")/100</f>
        <v>#NAME?</v>
      </c>
      <c r="K6" s="8" t="e">
        <f ca="1">_xll.BDP(B6,"CHG_PCT_1M")/100</f>
        <v>#NAME?</v>
      </c>
      <c r="L6" s="8" t="e">
        <f t="array" aca="1" ref="L6" ca="1">_xll.BDP($B6,"CHG_PCT_YTD")/100</f>
        <v>#NAME?</v>
      </c>
      <c r="N6" t="s">
        <v>112</v>
      </c>
      <c r="O6" s="274">
        <f>SUM(O4:O5)/SUM(O4:P5)</f>
        <v>0.96637215304081703</v>
      </c>
      <c r="P6" s="274">
        <f>SUM(P4:P5)/SUM(O4:P5)</f>
        <v>3.362784695918291E-2</v>
      </c>
      <c r="Q6" s="274">
        <f>SUM(O6:P6)</f>
        <v>0.99999999999999989</v>
      </c>
      <c r="S6" t="s">
        <v>113</v>
      </c>
      <c r="T6" s="282">
        <f>($T$3+T$4)*U6</f>
        <v>25562.790260842055</v>
      </c>
      <c r="U6" s="8">
        <f>VLOOKUP("new_equity", 'Email input'!F:G, 2, FALSE)/100</f>
        <v>3.8555071000000006E-4</v>
      </c>
    </row>
    <row r="7" spans="2:22">
      <c r="B7" t="s">
        <v>114</v>
      </c>
      <c r="C7" t="s">
        <v>115</v>
      </c>
      <c r="D7" s="8" t="str">
        <f t="array" aca="1" ref="D7" ca="1">IFERROR(_xll.BDP($B7,"INTERVAL_PERCENT_CHANGE", "END_DATE_OVERRIDE="&amp;TEXT(D$17,"yyyymmdd"), "START_DATE_OVERRIDE="&amp;TEXT(D$16,"yyyymmdd"))/100, "")</f>
        <v/>
      </c>
      <c r="E7" s="8" t="str">
        <f t="array" aca="1" ref="E7" ca="1">IFERROR(_xll.BDP($B7,"INTERVAL_PERCENT_CHANGE", "END_DATE_OVERRIDE="&amp;TEXT(E$17,"yyyymmdd"), "START_DATE_OVERRIDE="&amp;TEXT(E$16,"yyyymmdd"))/100, "")</f>
        <v/>
      </c>
      <c r="F7" s="8" t="str">
        <f t="array" aca="1" ref="F7" ca="1">IFERROR(_xll.BDP($B7,"INTERVAL_PERCENT_CHANGE", "END_DATE_OVERRIDE="&amp;TEXT(F$17,"yyyymmdd"), "START_DATE_OVERRIDE="&amp;TEXT(F$16,"yyyymmdd"))/100, "")</f>
        <v/>
      </c>
      <c r="G7" s="8" t="str">
        <f t="array" aca="1" ref="G7" ca="1">IFERROR(_xll.BDP($B7,"INTERVAL_PERCENT_CHANGE", "END_DATE_OVERRIDE="&amp;TEXT(G$17,"yyyymmdd"), "START_DATE_OVERRIDE="&amp;TEXT(G$16,"yyyymmdd"))/100, "")</f>
        <v/>
      </c>
      <c r="H7" s="8" t="str">
        <f t="array" aca="1" ref="H7" ca="1">IFERROR(_xll.BDP($B7,"INTERVAL_PERCENT_CHANGE", "END_DATE_OVERRIDE="&amp;TEXT(H$17,"yyyymmdd"), "START_DATE_OVERRIDE="&amp;TEXT(H$16,"yyyymmdd"))/100, "")</f>
        <v/>
      </c>
      <c r="I7" s="8" t="e">
        <f t="array" aca="1" ref="I7" ca="1">_xll.BDP(B7,"CHG_PCT_1D")/100</f>
        <v>#NAME?</v>
      </c>
      <c r="J7" s="8" t="e">
        <f t="array" aca="1" ref="J7" ca="1">_xll.BDP($B7,"CURRENT_TRR_MTD")/100</f>
        <v>#NAME?</v>
      </c>
      <c r="K7" s="8" t="e">
        <f ca="1">_xll.BDP(B7,"CHG_PCT_1M")/100</f>
        <v>#NAME?</v>
      </c>
      <c r="L7" s="8" t="e">
        <f t="array" aca="1" ref="L7" ca="1">_xll.BDP($B7,"CHG_PCT_YTD")/100</f>
        <v>#NAME?</v>
      </c>
      <c r="N7" s="47" t="s">
        <v>116</v>
      </c>
      <c r="O7" s="291">
        <f ca="1">OFFSET('Historical NAV'!F1,COUNT('Historical NAV'!A:A),,,)</f>
        <v>-45662296.544518098</v>
      </c>
      <c r="P7" s="292" t="s">
        <v>109</v>
      </c>
      <c r="Q7" s="293">
        <f ca="1">SUM(O7:P7)</f>
        <v>-45662296.544518098</v>
      </c>
      <c r="S7" t="s">
        <v>117</v>
      </c>
      <c r="T7" s="282">
        <f>($T$3+T$4)*U7</f>
        <v>109564.51036888783</v>
      </c>
      <c r="U7" s="8">
        <f>VLOOKUP("Fixed Income", 'Email input'!F:G, 2, FALSE)/100</f>
        <v>1.6525064100000001E-3</v>
      </c>
    </row>
    <row r="8" spans="2:22">
      <c r="B8" t="s">
        <v>118</v>
      </c>
      <c r="C8" s="8" t="s">
        <v>119</v>
      </c>
      <c r="D8" s="8" t="str">
        <f t="array" aca="1" ref="D8" ca="1">IFERROR(_xll.BDP($B8,"INTERVAL_PERCENT_CHANGE", "END_DATE_OVERRIDE="&amp;TEXT(D$17,"yyyymmdd"), "START_DATE_OVERRIDE="&amp;TEXT(D$16,"yyyymmdd"))/100, "")</f>
        <v/>
      </c>
      <c r="E8" s="8" t="str">
        <f t="array" aca="1" ref="E8" ca="1">IFERROR(_xll.BDP($B8,"INTERVAL_PERCENT_CHANGE", "END_DATE_OVERRIDE="&amp;TEXT(E$17,"yyyymmdd"), "START_DATE_OVERRIDE="&amp;TEXT(E$16,"yyyymmdd"))/100, "")</f>
        <v/>
      </c>
      <c r="F8" s="8" t="str">
        <f t="array" aca="1" ref="F8" ca="1">IFERROR(_xll.BDP($B8,"INTERVAL_PERCENT_CHANGE", "END_DATE_OVERRIDE="&amp;TEXT(F$17,"yyyymmdd"), "START_DATE_OVERRIDE="&amp;TEXT(F$16,"yyyymmdd"))/100, "")</f>
        <v/>
      </c>
      <c r="G8" s="8" t="str">
        <f t="array" aca="1" ref="G8" ca="1">IFERROR(_xll.BDP($B8,"INTERVAL_PERCENT_CHANGE", "END_DATE_OVERRIDE="&amp;TEXT(G$17,"yyyymmdd"), "START_DATE_OVERRIDE="&amp;TEXT(G$16,"yyyymmdd"))/100, "")</f>
        <v/>
      </c>
      <c r="H8" s="8" t="str">
        <f t="array" aca="1" ref="H8" ca="1">IFERROR(_xll.BDP($B8,"INTERVAL_PERCENT_CHANGE", "END_DATE_OVERRIDE="&amp;TEXT(H$17,"yyyymmdd"), "START_DATE_OVERRIDE="&amp;TEXT(H$16,"yyyymmdd"))/100, "")</f>
        <v/>
      </c>
      <c r="I8" s="8" t="e">
        <f t="array" aca="1" ref="I8" ca="1">_xll.BDP(B8,"CHG_PCT_1D")/100</f>
        <v>#NAME?</v>
      </c>
      <c r="J8" s="8" t="e">
        <f t="array" aca="1" ref="J8" ca="1">_xll.BDP($B8,"CURRENT_TRR_MTD")/100</f>
        <v>#NAME?</v>
      </c>
      <c r="K8" s="8" t="e">
        <f ca="1">_xll.BDP(B8,"CHG_PCT_1M")/100</f>
        <v>#NAME?</v>
      </c>
      <c r="L8" s="8" t="e">
        <f t="array" aca="1" ref="L8" ca="1">_xll.BDP($B8,"CHG_PCT_YTD")/100</f>
        <v>#NAME?</v>
      </c>
      <c r="N8" t="s">
        <v>120</v>
      </c>
      <c r="O8" s="69">
        <f ca="1">OFFSET('Historical NAV'!J1,COUNT('Historical NAV'!A:A),,,)</f>
        <v>-45662296.544518098</v>
      </c>
      <c r="P8" s="276">
        <f>SUM(P4:P5)*P9</f>
        <v>23071.7961</v>
      </c>
      <c r="Q8" s="276">
        <f ca="1">SUM(O8:P8)</f>
        <v>-45639224.7484181</v>
      </c>
      <c r="S8" s="47" t="s">
        <v>121</v>
      </c>
      <c r="T8" s="283">
        <f>($T$3+T$4)*U8</f>
        <v>194892.03083122702</v>
      </c>
      <c r="U8" s="203">
        <f>VLOOKUP("Cash", 'Email input'!F:G, 2, FALSE)/100</f>
        <v>2.9394584899999996E-3</v>
      </c>
    </row>
    <row r="9" spans="2:22">
      <c r="B9" t="s">
        <v>122</v>
      </c>
      <c r="C9" s="8" t="s">
        <v>123</v>
      </c>
      <c r="D9" s="8" t="str">
        <f t="array" aca="1" ref="D9" ca="1">IFERROR(_xll.BDP($B9,"INTERVAL_PERCENT_CHANGE", "END_DATE_OVERRIDE="&amp;TEXT(D$17,"yyyymmdd"), "START_DATE_OVERRIDE="&amp;TEXT(D$16,"yyyymmdd"))/100, "")</f>
        <v/>
      </c>
      <c r="E9" s="8" t="str">
        <f t="array" aca="1" ref="E9" ca="1">IFERROR(_xll.BDP($B9,"INTERVAL_PERCENT_CHANGE", "END_DATE_OVERRIDE="&amp;TEXT(E$17,"yyyymmdd"), "START_DATE_OVERRIDE="&amp;TEXT(E$16,"yyyymmdd"))/100, "")</f>
        <v/>
      </c>
      <c r="F9" s="8" t="str">
        <f t="array" aca="1" ref="F9" ca="1">IFERROR(_xll.BDP($B9,"INTERVAL_PERCENT_CHANGE", "END_DATE_OVERRIDE="&amp;TEXT(F$17,"yyyymmdd"), "START_DATE_OVERRIDE="&amp;TEXT(F$16,"yyyymmdd"))/100, "")</f>
        <v/>
      </c>
      <c r="G9" s="8" t="str">
        <f t="array" aca="1" ref="G9" ca="1">IFERROR(_xll.BDP($B9,"INTERVAL_PERCENT_CHANGE", "END_DATE_OVERRIDE="&amp;TEXT(G$17,"yyyymmdd"), "START_DATE_OVERRIDE="&amp;TEXT(G$16,"yyyymmdd"))/100, "")</f>
        <v/>
      </c>
      <c r="H9" s="8" t="str">
        <f t="array" aca="1" ref="H9" ca="1">IFERROR(_xll.BDP($B9,"INTERVAL_PERCENT_CHANGE", "END_DATE_OVERRIDE="&amp;TEXT(H$17,"yyyymmdd"), "START_DATE_OVERRIDE="&amp;TEXT(H$16,"yyyymmdd"))/100, "")</f>
        <v/>
      </c>
      <c r="I9" s="8" t="e">
        <f t="array" aca="1" ref="I9" ca="1">_xll.BDP(B9,"CHG_PCT_1D")/100</f>
        <v>#NAME?</v>
      </c>
      <c r="J9" s="8" t="e">
        <f t="array" aca="1" ref="J9" ca="1">_xll.BDP($B9,"CURRENT_TRR_MTD")/100</f>
        <v>#NAME?</v>
      </c>
      <c r="K9" s="8" t="e">
        <f ca="1">_xll.BDP(B9,"CHG_PCT_1M")/100</f>
        <v>#NAME?</v>
      </c>
      <c r="L9" s="8" t="e">
        <f t="array" aca="1" ref="L9" ca="1">_xll.BDP($B9,"CHG_PCT_YTD")/100</f>
        <v>#NAME?</v>
      </c>
      <c r="N9" t="s">
        <v>124</v>
      </c>
      <c r="O9" s="8">
        <f ca="1">OFFSET('Historical NAV'!K1,COUNT('Historical NAV'!A:A),,,)</f>
        <v>-0.68349275646356755</v>
      </c>
      <c r="P9" s="281">
        <f>J5</f>
        <v>0.01</v>
      </c>
      <c r="S9" t="s">
        <v>125</v>
      </c>
      <c r="T9" s="284">
        <f>SUM(T5:T8)</f>
        <v>330019.33146095689</v>
      </c>
      <c r="V9" s="306">
        <f>T9/(T3+T4)</f>
        <v>4.9775156099999994E-3</v>
      </c>
    </row>
    <row r="10" spans="2:22" ht="15" thickBot="1">
      <c r="B10" t="s">
        <v>126</v>
      </c>
      <c r="C10" s="8" t="s">
        <v>127</v>
      </c>
      <c r="D10" s="8" t="str">
        <f t="array" aca="1" ref="D10" ca="1">IFERROR(_xll.BDP($B10,"INTERVAL_PERCENT_CHANGE", "END_DATE_OVERRIDE="&amp;TEXT(D$17,"yyyymmdd"), "START_DATE_OVERRIDE="&amp;TEXT(D$16,"yyyymmdd"))/100, "")</f>
        <v/>
      </c>
      <c r="E10" s="8" t="str">
        <f t="array" aca="1" ref="E10" ca="1">IFERROR(_xll.BDP($B10,"INTERVAL_PERCENT_CHANGE", "END_DATE_OVERRIDE="&amp;TEXT(E$17,"yyyymmdd"), "START_DATE_OVERRIDE="&amp;TEXT(E$16,"yyyymmdd"))/100, "")</f>
        <v/>
      </c>
      <c r="F10" s="8" t="str">
        <f t="array" aca="1" ref="F10" ca="1">IFERROR(_xll.BDP($B10,"INTERVAL_PERCENT_CHANGE", "END_DATE_OVERRIDE="&amp;TEXT(F$17,"yyyymmdd"), "START_DATE_OVERRIDE="&amp;TEXT(F$16,"yyyymmdd"))/100, "")</f>
        <v/>
      </c>
      <c r="G10" s="8" t="str">
        <f t="array" aca="1" ref="G10" ca="1">IFERROR(_xll.BDP($B10,"INTERVAL_PERCENT_CHANGE", "END_DATE_OVERRIDE="&amp;TEXT(G$17,"yyyymmdd"), "START_DATE_OVERRIDE="&amp;TEXT(G$16,"yyyymmdd"))/100, "")</f>
        <v/>
      </c>
      <c r="H10" s="8" t="str">
        <f t="array" aca="1" ref="H10" ca="1">IFERROR(_xll.BDP($B10,"INTERVAL_PERCENT_CHANGE", "END_DATE_OVERRIDE="&amp;TEXT(H$17,"yyyymmdd"), "START_DATE_OVERRIDE="&amp;TEXT(H$16,"yyyymmdd"))/100, "")</f>
        <v/>
      </c>
      <c r="I10" s="8" t="e">
        <f ca="1">_xll.BDP(B10,"CHG_PCT_1D")/100</f>
        <v>#NAME?</v>
      </c>
      <c r="J10" s="8" t="e">
        <f t="array" aca="1" ref="J10" ca="1">_xll.BDP($B10,"CURRENT_TRR_MTD")/100</f>
        <v>#NAME?</v>
      </c>
      <c r="K10" s="8" t="e">
        <f ca="1">_xll.BDP(B10,"CHG_PCT_1M")/100</f>
        <v>#NAME?</v>
      </c>
      <c r="L10" s="8" t="e">
        <f t="array" aca="1" ref="L10" ca="1">_xll.BDP($B10,"CHG_PCT_YTD")/100</f>
        <v>#NAME?</v>
      </c>
      <c r="N10" s="271" t="s">
        <v>128</v>
      </c>
      <c r="O10" s="277">
        <f ca="1">O4+O5+O8</f>
        <v>20639721.835481904</v>
      </c>
      <c r="P10" s="272">
        <f>P4+P5+P8</f>
        <v>2330251.4060999998</v>
      </c>
      <c r="Q10" s="277">
        <f ca="1">SUM(O10:P10)</f>
        <v>22969973.241581906</v>
      </c>
      <c r="S10" t="s">
        <v>129</v>
      </c>
      <c r="T10" s="282">
        <f>SUM('Email input'!D5:D6)</f>
        <v>163158.58000000002</v>
      </c>
      <c r="U10" s="8"/>
    </row>
    <row r="11" spans="2:22" ht="15" hidden="1" outlineLevel="1" thickTop="1">
      <c r="O11" s="279"/>
      <c r="P11" s="279"/>
      <c r="Q11" s="279"/>
      <c r="S11" t="s">
        <v>130</v>
      </c>
      <c r="T11" s="290">
        <v>-170897.33043396473</v>
      </c>
      <c r="U11" s="8"/>
    </row>
    <row r="12" spans="2:22" ht="15" collapsed="1" thickTop="1">
      <c r="S12" t="s">
        <v>131</v>
      </c>
      <c r="T12" s="276">
        <f>SUM('Email input'!D7:D9)</f>
        <v>23066.66336900002</v>
      </c>
      <c r="U12" s="8"/>
      <c r="V12" s="41"/>
    </row>
    <row r="13" spans="2:22" ht="15" thickBot="1">
      <c r="S13" s="271" t="s">
        <v>128</v>
      </c>
      <c r="T13" s="277">
        <f>T3+T4+T9+T10+T12+T11</f>
        <v>66647365.624395996</v>
      </c>
      <c r="U13" s="273"/>
    </row>
    <row r="14" spans="2:22" ht="15" thickTop="1"/>
    <row r="15" spans="2:22" s="285" customFormat="1">
      <c r="T15" s="286"/>
    </row>
    <row r="16" spans="2:22">
      <c r="B16" t="s">
        <v>132</v>
      </c>
      <c r="D16" s="287">
        <v>44594</v>
      </c>
      <c r="E16" s="287">
        <f>D16+7</f>
        <v>44601</v>
      </c>
      <c r="F16" s="287">
        <f>E16+7</f>
        <v>44608</v>
      </c>
      <c r="G16" s="287">
        <f t="shared" ref="E16:H17" si="1">F16+7</f>
        <v>44615</v>
      </c>
      <c r="H16" s="287">
        <f t="shared" si="1"/>
        <v>44622</v>
      </c>
      <c r="N16" t="s">
        <v>133</v>
      </c>
      <c r="P16" s="305">
        <v>2307179.61</v>
      </c>
      <c r="S16" t="s">
        <v>134</v>
      </c>
      <c r="T16" s="278">
        <f ca="1">OFFSET('Historical NAV'!B1,COUNT('Historical NAV'!A:A),,,)</f>
        <v>20985069.079877902</v>
      </c>
    </row>
    <row r="17" spans="2:21">
      <c r="B17" t="s">
        <v>135</v>
      </c>
      <c r="D17" s="287">
        <v>45657</v>
      </c>
      <c r="E17" s="287">
        <f t="shared" si="1"/>
        <v>45664</v>
      </c>
      <c r="F17" s="287">
        <f t="shared" si="1"/>
        <v>45671</v>
      </c>
      <c r="G17" s="287">
        <f t="shared" si="1"/>
        <v>45678</v>
      </c>
      <c r="H17" s="287">
        <f t="shared" si="1"/>
        <v>45685</v>
      </c>
      <c r="P17" s="309">
        <v>45688</v>
      </c>
      <c r="T17" s="69">
        <f>T13</f>
        <v>66647365.624395996</v>
      </c>
    </row>
    <row r="18" spans="2:21">
      <c r="B18" t="s">
        <v>136</v>
      </c>
      <c r="D18" s="294">
        <v>1.6999999999999999E-3</v>
      </c>
      <c r="E18" s="294">
        <v>3.0108225232103156E-3</v>
      </c>
      <c r="F18" s="294">
        <f ca="1">Dashboard!$B$4</f>
        <v>-0.68513280482617611</v>
      </c>
      <c r="G18" s="294"/>
      <c r="H18" s="294"/>
      <c r="I18" s="8">
        <f ca="1">Dashboard!B9</f>
        <v>-0.68513280482617611</v>
      </c>
      <c r="J18" s="8">
        <f ca="1">Dashboard!B5</f>
        <v>-0.68349275646356755</v>
      </c>
      <c r="K18" s="8"/>
      <c r="L18" s="69">
        <f ca="1">Dashboard!B6</f>
        <v>-0.66335390619791479</v>
      </c>
      <c r="O18" s="69"/>
      <c r="T18" s="280">
        <f ca="1">T16-T17</f>
        <v>-45662296.544518098</v>
      </c>
    </row>
    <row r="19" spans="2:21">
      <c r="B19" t="s">
        <v>137</v>
      </c>
      <c r="D19" s="294">
        <v>0</v>
      </c>
      <c r="E19" s="294">
        <v>0.01</v>
      </c>
      <c r="F19" s="294"/>
      <c r="G19" s="294"/>
      <c r="H19" s="294"/>
      <c r="J19">
        <f>SUM(D19:H19)</f>
        <v>0.01</v>
      </c>
      <c r="L19" s="41">
        <v>7.2999999999999995E-2</v>
      </c>
      <c r="M19" s="309">
        <f>P17</f>
        <v>45688</v>
      </c>
    </row>
    <row r="25" spans="2:21">
      <c r="T25" s="276"/>
      <c r="U25" s="270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2"/>
  <sheetViews>
    <sheetView workbookViewId="0">
      <selection activeCell="C29" sqref="C29"/>
    </sheetView>
  </sheetViews>
  <sheetFormatPr defaultRowHeight="14.45"/>
  <cols>
    <col min="1" max="1" width="26.42578125" bestFit="1" customWidth="1"/>
    <col min="2" max="2" width="17.85546875" style="278" bestFit="1" customWidth="1"/>
    <col min="3" max="3" width="26.42578125" bestFit="1" customWidth="1"/>
    <col min="4" max="4" width="25.7109375" style="278" bestFit="1" customWidth="1"/>
    <col min="5" max="5" width="25.7109375" style="69" bestFit="1" customWidth="1"/>
    <col min="6" max="7" width="25.7109375" bestFit="1" customWidth="1"/>
  </cols>
  <sheetData>
    <row r="1" spans="1:7">
      <c r="A1" t="s">
        <v>138</v>
      </c>
      <c r="B1" s="278" t="s">
        <v>139</v>
      </c>
      <c r="C1" t="s">
        <v>140</v>
      </c>
      <c r="D1" s="278" t="s">
        <v>141</v>
      </c>
      <c r="F1" t="s">
        <v>23</v>
      </c>
      <c r="G1" t="s">
        <v>23</v>
      </c>
    </row>
    <row r="2" spans="1:7">
      <c r="A2" t="s">
        <v>138</v>
      </c>
      <c r="B2" s="278" t="s">
        <v>142</v>
      </c>
      <c r="C2" t="s">
        <v>143</v>
      </c>
      <c r="D2" s="278">
        <v>66302018.384809397</v>
      </c>
      <c r="F2" t="s">
        <v>139</v>
      </c>
      <c r="G2" t="s">
        <v>142</v>
      </c>
    </row>
    <row r="3" spans="1:7">
      <c r="A3" t="s">
        <v>138</v>
      </c>
      <c r="B3" s="278" t="s">
        <v>142</v>
      </c>
      <c r="C3" t="s">
        <v>144</v>
      </c>
      <c r="D3" s="278">
        <v>161243.99889779001</v>
      </c>
      <c r="F3" t="s">
        <v>90</v>
      </c>
      <c r="G3" t="s">
        <v>34</v>
      </c>
    </row>
    <row r="4" spans="1:7">
      <c r="A4" t="s">
        <v>138</v>
      </c>
      <c r="B4" s="278" t="s">
        <v>142</v>
      </c>
      <c r="C4" t="s">
        <v>145</v>
      </c>
      <c r="D4" s="278">
        <v>1452.82</v>
      </c>
      <c r="F4" t="s">
        <v>117</v>
      </c>
      <c r="G4">
        <v>0.165250641</v>
      </c>
    </row>
    <row r="5" spans="1:7">
      <c r="A5" t="s">
        <v>138</v>
      </c>
      <c r="B5" s="278" t="s">
        <v>142</v>
      </c>
      <c r="C5" t="s">
        <v>146</v>
      </c>
      <c r="D5" s="278">
        <v>164167.45000000001</v>
      </c>
      <c r="F5" t="s">
        <v>121</v>
      </c>
      <c r="G5">
        <v>0.29394584899999998</v>
      </c>
    </row>
    <row r="6" spans="1:7">
      <c r="A6" t="s">
        <v>138</v>
      </c>
      <c r="B6" s="278" t="s">
        <v>142</v>
      </c>
      <c r="C6" t="s">
        <v>147</v>
      </c>
      <c r="D6" s="278">
        <v>-1008.87</v>
      </c>
    </row>
    <row r="7" spans="1:7">
      <c r="A7" t="s">
        <v>138</v>
      </c>
      <c r="B7" s="278" t="s">
        <v>142</v>
      </c>
      <c r="C7" t="s">
        <v>148</v>
      </c>
      <c r="D7" s="278">
        <v>-472182.14569440001</v>
      </c>
    </row>
    <row r="8" spans="1:7">
      <c r="A8" t="s">
        <v>138</v>
      </c>
      <c r="B8" s="278" t="s">
        <v>142</v>
      </c>
      <c r="C8" t="s">
        <v>149</v>
      </c>
      <c r="D8" s="278">
        <v>495445.24906340003</v>
      </c>
    </row>
    <row r="9" spans="1:7">
      <c r="A9" t="s">
        <v>138</v>
      </c>
      <c r="B9" s="278" t="s">
        <v>142</v>
      </c>
      <c r="C9" t="s">
        <v>150</v>
      </c>
      <c r="D9" s="278">
        <v>-196.44</v>
      </c>
      <c r="F9" t="s">
        <v>151</v>
      </c>
      <c r="G9">
        <v>3.8555071000000003E-2</v>
      </c>
    </row>
    <row r="10" spans="1:7">
      <c r="A10" t="s">
        <v>138</v>
      </c>
      <c r="B10" s="278" t="s">
        <v>142</v>
      </c>
      <c r="C10" t="s">
        <v>152</v>
      </c>
      <c r="D10" s="278">
        <v>-3444.8210347999998</v>
      </c>
    </row>
    <row r="11" spans="1:7">
      <c r="A11" t="s">
        <v>138</v>
      </c>
      <c r="B11" s="278" t="s">
        <v>142</v>
      </c>
      <c r="C11" t="s">
        <v>153</v>
      </c>
      <c r="D11" s="278">
        <v>-130.0016454</v>
      </c>
    </row>
    <row r="12" spans="1:7">
      <c r="A12" t="s">
        <v>138</v>
      </c>
      <c r="B12" s="278" t="s">
        <v>142</v>
      </c>
      <c r="C12" t="s">
        <v>128</v>
      </c>
      <c r="D12" s="278">
        <v>66647365.624395996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4.45"/>
  <cols>
    <col min="1" max="1" width="10.7109375" bestFit="1" customWidth="1"/>
  </cols>
  <sheetData>
    <row r="1" spans="1:2">
      <c r="A1" t="s">
        <v>154</v>
      </c>
      <c r="B1" t="s">
        <v>4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4.4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155</v>
      </c>
      <c r="C1">
        <v>202406</v>
      </c>
    </row>
    <row r="2" spans="1:11">
      <c r="B2" s="200" t="s">
        <v>156</v>
      </c>
      <c r="C2" s="199">
        <v>3.333541397550599E-2</v>
      </c>
    </row>
    <row r="3" spans="1:11">
      <c r="B3" s="200" t="s">
        <v>157</v>
      </c>
      <c r="C3" s="201">
        <v>4.6278035356416503E-2</v>
      </c>
    </row>
    <row r="4" spans="1:11">
      <c r="B4" s="200" t="s">
        <v>158</v>
      </c>
      <c r="C4" s="201">
        <v>0.16827199999999998</v>
      </c>
    </row>
    <row r="5" spans="1:11">
      <c r="A5" t="s">
        <v>77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58"/>
      <c r="C6" s="257" t="s">
        <v>159</v>
      </c>
      <c r="D6" s="196" t="s">
        <v>160</v>
      </c>
      <c r="E6" s="196" t="s">
        <v>161</v>
      </c>
      <c r="F6" s="197" t="s">
        <v>162</v>
      </c>
    </row>
    <row r="7" spans="1:11">
      <c r="B7" s="259" t="s">
        <v>163</v>
      </c>
      <c r="C7" s="245">
        <f ca="1">SUM(D7:F7)+D8</f>
        <v>68579960.72439599</v>
      </c>
      <c r="D7" s="246">
        <f ca="1">OFFSET('Historical NAV'!E1, COUNT('Historical NAV'!B:B),,,)</f>
        <v>66647365.624395996</v>
      </c>
      <c r="E7" s="246">
        <v>1932595.1</v>
      </c>
      <c r="F7" s="246">
        <v>0</v>
      </c>
    </row>
    <row r="8" spans="1:11">
      <c r="B8" s="260" t="s">
        <v>164</v>
      </c>
      <c r="C8" s="195"/>
      <c r="D8" s="45"/>
      <c r="E8" s="45"/>
      <c r="F8" s="198"/>
    </row>
    <row r="9" spans="1:11">
      <c r="B9" s="261" t="s">
        <v>165</v>
      </c>
      <c r="C9" s="220">
        <f ca="1">SUM(D9:F9)</f>
        <v>1</v>
      </c>
      <c r="D9" s="221">
        <f ca="1">(D7+D8)/(D7+D8+E7)</f>
        <v>0.97181982783911813</v>
      </c>
      <c r="E9" s="221">
        <f ca="1">E7/(D7+D8+E7)</f>
        <v>2.8180172160881929E-2</v>
      </c>
      <c r="F9" s="221">
        <v>0</v>
      </c>
    </row>
    <row r="10" spans="1:11">
      <c r="B10" s="262" t="s">
        <v>166</v>
      </c>
      <c r="C10" s="247" t="e">
        <f ca="1">SUM(D10:F10)</f>
        <v>#REF!</v>
      </c>
      <c r="D10" s="248">
        <f ca="1">OFFSET('Historical NAV'!B1, COUNT('Historical NAV'!B:B),,,)</f>
        <v>20985069.079877902</v>
      </c>
      <c r="E10" s="248" t="e">
        <f ca="1">E7+E11</f>
        <v>#REF!</v>
      </c>
      <c r="F10" s="248">
        <f>F7+F11</f>
        <v>0</v>
      </c>
    </row>
    <row r="11" spans="1:11">
      <c r="B11" s="261" t="s">
        <v>167</v>
      </c>
      <c r="C11" s="249" t="e">
        <f ca="1">SUM(D11:F11)</f>
        <v>#REF!</v>
      </c>
      <c r="D11" s="250">
        <f ca="1">OFFSET('Historical NAV'!J1, COUNT('Historical NAV'!B:B),,,)</f>
        <v>-45662296.544518098</v>
      </c>
      <c r="E11" s="250" t="e">
        <f ca="1">E12*E7</f>
        <v>#REF!</v>
      </c>
      <c r="F11" s="250">
        <f>F12*F7</f>
        <v>0</v>
      </c>
    </row>
    <row r="12" spans="1:11">
      <c r="B12" s="262" t="s">
        <v>168</v>
      </c>
      <c r="C12" s="222" t="e">
        <f ca="1">D12*D9+E12*E9</f>
        <v>#REF!</v>
      </c>
      <c r="D12" s="223">
        <f ca="1">OFFSET('Historical NAV'!K1, COUNT('Historical NAV'!B:B),,,)</f>
        <v>-0.68349275646356755</v>
      </c>
      <c r="E12" s="223" t="e">
        <f ca="1">OFFSET(#REF!, COUNT(#REF!),,,)</f>
        <v>#REF!</v>
      </c>
      <c r="F12" s="224">
        <v>0</v>
      </c>
    </row>
    <row r="13" spans="1:11">
      <c r="B13" s="262" t="s">
        <v>169</v>
      </c>
      <c r="C13" s="225" t="e">
        <f ca="1">(1+C2)*(1+C12)-1</f>
        <v>#REF!</v>
      </c>
      <c r="D13" s="224">
        <f ca="1">(1+C3)*(1+D12)-1</f>
        <v>-0.66884542305662653</v>
      </c>
      <c r="E13" s="224" t="e">
        <f ca="1">(1+C4)*(1+E12)-1</f>
        <v>#REF!</v>
      </c>
      <c r="F13" s="226"/>
      <c r="K13" s="2"/>
    </row>
    <row r="14" spans="1:11">
      <c r="B14" s="263" t="s">
        <v>170</v>
      </c>
      <c r="C14" s="227"/>
      <c r="D14" s="219">
        <f ca="1">OFFSET('Historical NAV'!G1, COUNT('Historical NAV'!B:B),,,)</f>
        <v>-0.68513280482617611</v>
      </c>
      <c r="E14" s="219" t="s">
        <v>109</v>
      </c>
      <c r="F14" s="228"/>
    </row>
    <row r="15" spans="1:11">
      <c r="B15" s="200"/>
      <c r="C15" s="16"/>
      <c r="D15" s="201"/>
      <c r="E15" s="201"/>
      <c r="F15" s="256"/>
    </row>
    <row r="16" spans="1:11" s="254" customFormat="1" ht="16.5" customHeight="1">
      <c r="A16"/>
      <c r="B16" s="252"/>
      <c r="C16" s="253"/>
      <c r="D16" s="253"/>
      <c r="E16" s="253"/>
      <c r="F16" s="253"/>
      <c r="G16" s="253"/>
      <c r="H16" s="253"/>
      <c r="I16" s="253"/>
      <c r="J16"/>
      <c r="K16"/>
    </row>
    <row r="17" spans="1:11">
      <c r="B17" s="31"/>
      <c r="C17" s="251"/>
      <c r="D17" s="251"/>
      <c r="E17" s="251"/>
      <c r="F17" s="251"/>
      <c r="G17" s="251"/>
      <c r="H17" s="251"/>
      <c r="I17" s="251"/>
    </row>
    <row r="18" spans="1:11">
      <c r="A18" s="254"/>
      <c r="B18" s="31"/>
      <c r="C18" s="251"/>
      <c r="D18" s="251"/>
      <c r="E18" s="251"/>
      <c r="F18" s="251"/>
      <c r="G18" s="251"/>
      <c r="H18" s="251"/>
      <c r="I18" s="251"/>
      <c r="J18" s="254"/>
      <c r="K18" s="254"/>
    </row>
    <row r="19" spans="1:11">
      <c r="B19" s="31"/>
      <c r="C19" s="251"/>
      <c r="D19" s="251"/>
      <c r="E19" s="251"/>
      <c r="F19" s="251"/>
      <c r="G19" s="251"/>
      <c r="H19" s="251"/>
      <c r="I19" s="251"/>
    </row>
    <row r="20" spans="1:11" ht="15" customHeight="1">
      <c r="H20" s="38"/>
      <c r="I20" s="38"/>
      <c r="J20" s="38"/>
    </row>
    <row r="21" spans="1:11" ht="15" customHeight="1">
      <c r="B21" s="254"/>
      <c r="C21" s="255"/>
      <c r="D21" s="254"/>
      <c r="E21" s="254"/>
      <c r="F21" s="254"/>
      <c r="G21" s="254"/>
      <c r="H21" s="254"/>
      <c r="I21" s="254"/>
      <c r="J21" s="254"/>
    </row>
    <row r="22" spans="1:11" ht="15.6">
      <c r="J22" s="117"/>
    </row>
    <row r="24" spans="1:11" s="230" customFormat="1" ht="15.6">
      <c r="A24"/>
      <c r="B24" s="241"/>
      <c r="C24"/>
      <c r="E24"/>
      <c r="F24"/>
      <c r="G24"/>
      <c r="H24"/>
      <c r="I24"/>
      <c r="J24" s="241"/>
      <c r="K24"/>
    </row>
    <row r="25" spans="1:11" s="230" customFormat="1">
      <c r="A25"/>
      <c r="B25"/>
      <c r="C25"/>
      <c r="D25"/>
      <c r="E25"/>
      <c r="F25"/>
      <c r="G25"/>
      <c r="H25" s="229"/>
      <c r="I25"/>
      <c r="J25"/>
      <c r="K25"/>
    </row>
    <row r="26" spans="1:11" s="230" customFormat="1">
      <c r="B26"/>
      <c r="C26" s="3"/>
      <c r="E26"/>
      <c r="F26"/>
      <c r="G26"/>
      <c r="H26"/>
      <c r="I26" s="231"/>
      <c r="J26" s="232"/>
    </row>
    <row r="27" spans="1:11" s="230" customFormat="1">
      <c r="B27"/>
      <c r="C27" s="3"/>
      <c r="E27"/>
      <c r="F27"/>
      <c r="G27"/>
      <c r="H27"/>
      <c r="I27" s="231"/>
      <c r="J27"/>
    </row>
    <row r="28" spans="1:11" s="230" customFormat="1">
      <c r="B28"/>
      <c r="C28" s="3"/>
      <c r="E28"/>
      <c r="F28"/>
      <c r="G28"/>
      <c r="H28"/>
      <c r="I28" s="231"/>
      <c r="J28"/>
    </row>
    <row r="29" spans="1:11">
      <c r="A29" s="230"/>
      <c r="C29" s="3"/>
      <c r="D29" s="230"/>
      <c r="I29" s="231"/>
      <c r="J29" s="232"/>
      <c r="K29" s="230"/>
    </row>
    <row r="30" spans="1:11" s="230" customFormat="1" ht="17.25" customHeight="1">
      <c r="A30" s="238"/>
      <c r="B30" s="48"/>
      <c r="C30" s="242"/>
      <c r="D30" s="242"/>
      <c r="E30" s="242"/>
      <c r="F30" s="242"/>
      <c r="G30" s="242"/>
      <c r="H30" s="242"/>
      <c r="I30" s="242"/>
      <c r="J30" s="242"/>
    </row>
    <row r="31" spans="1:11">
      <c r="A31" s="48"/>
      <c r="B31" s="48"/>
      <c r="C31" s="237"/>
      <c r="D31" s="238"/>
      <c r="E31" s="48"/>
      <c r="F31" s="48"/>
      <c r="G31" s="48"/>
      <c r="H31" s="48"/>
      <c r="I31" s="239"/>
      <c r="J31" s="233"/>
    </row>
    <row r="32" spans="1:11">
      <c r="A32" s="48"/>
      <c r="B32" s="243"/>
      <c r="C32" s="244"/>
      <c r="D32" s="239"/>
      <c r="E32" s="243"/>
      <c r="F32" s="243"/>
      <c r="G32" s="243"/>
      <c r="H32" s="243"/>
      <c r="I32" s="239"/>
      <c r="J32" s="234"/>
      <c r="K32" s="230"/>
    </row>
    <row r="33" spans="2:10">
      <c r="B33" s="237"/>
      <c r="C33" s="48"/>
      <c r="D33" s="238"/>
      <c r="E33" s="48"/>
      <c r="F33" s="48"/>
      <c r="G33" s="48"/>
      <c r="H33" s="48"/>
      <c r="I33" s="239"/>
      <c r="J33" s="235"/>
    </row>
    <row r="34" spans="2:10">
      <c r="B34" s="243"/>
      <c r="C34" s="244"/>
      <c r="D34" s="239"/>
      <c r="E34" s="243"/>
      <c r="F34" s="243"/>
      <c r="G34" s="243"/>
      <c r="H34" s="243"/>
      <c r="I34" s="239"/>
      <c r="J34" s="235"/>
    </row>
    <row r="35" spans="2:10">
      <c r="B35" s="237"/>
      <c r="C35" s="48"/>
      <c r="D35" s="238"/>
      <c r="E35" s="48"/>
      <c r="F35" s="48"/>
      <c r="G35" s="48"/>
      <c r="H35" s="48"/>
      <c r="I35" s="239"/>
      <c r="J35" s="235"/>
    </row>
    <row r="36" spans="2:10">
      <c r="B36" s="243"/>
      <c r="C36" s="244"/>
      <c r="D36" s="239"/>
      <c r="E36" s="243"/>
      <c r="F36" s="243"/>
      <c r="G36" s="243"/>
      <c r="H36" s="243"/>
      <c r="I36" s="239"/>
      <c r="J36" s="235"/>
    </row>
    <row r="37" spans="2:10">
      <c r="B37" s="237"/>
      <c r="C37" s="48"/>
      <c r="D37" s="238"/>
      <c r="E37" s="48"/>
      <c r="F37" s="48"/>
      <c r="G37" s="48"/>
      <c r="H37" s="48"/>
      <c r="I37" s="239"/>
      <c r="J37" s="236"/>
    </row>
    <row r="38" spans="2:10">
      <c r="B38" s="243"/>
      <c r="C38" s="244"/>
      <c r="D38" s="239"/>
      <c r="E38" s="243"/>
      <c r="F38" s="243"/>
      <c r="G38" s="243"/>
      <c r="H38" s="243"/>
      <c r="I38" s="239"/>
      <c r="J38" s="235"/>
    </row>
    <row r="39" spans="2:10">
      <c r="B39" s="237"/>
      <c r="C39" s="48"/>
      <c r="D39" s="238"/>
      <c r="E39" s="48"/>
      <c r="F39" s="48"/>
      <c r="G39" s="48"/>
      <c r="H39" s="48"/>
      <c r="I39" s="239"/>
      <c r="J39" s="51"/>
    </row>
    <row r="42" spans="2:10">
      <c r="B42" s="48"/>
      <c r="C42" s="237"/>
      <c r="D42" s="238"/>
      <c r="E42" s="48"/>
      <c r="F42" s="48"/>
      <c r="G42" s="48"/>
      <c r="H42" s="48"/>
      <c r="I42" s="239"/>
    </row>
    <row r="43" spans="2:10">
      <c r="B43" s="237"/>
      <c r="C43" s="237"/>
      <c r="D43" s="238"/>
      <c r="E43" s="48"/>
      <c r="F43" s="48"/>
      <c r="G43" s="48"/>
      <c r="H43" s="48"/>
      <c r="I43" s="239"/>
    </row>
    <row r="44" spans="2:10">
      <c r="B44" s="48"/>
      <c r="C44" s="237"/>
      <c r="D44" s="238"/>
      <c r="E44" s="48"/>
      <c r="F44" s="48"/>
      <c r="G44" s="48"/>
      <c r="H44" s="48"/>
      <c r="I44" s="239"/>
      <c r="J44" s="51"/>
    </row>
    <row r="45" spans="2:10">
      <c r="B45" s="237"/>
      <c r="C45" s="237"/>
      <c r="D45" s="238"/>
      <c r="E45" s="48"/>
      <c r="F45" s="48"/>
      <c r="G45" s="48"/>
      <c r="H45" s="48"/>
      <c r="I45" s="239"/>
      <c r="J45" s="240"/>
    </row>
    <row r="46" spans="2:10">
      <c r="B46" s="48"/>
      <c r="C46" s="237"/>
      <c r="D46" s="238"/>
      <c r="E46" s="48"/>
      <c r="F46" s="48"/>
      <c r="G46" s="48"/>
      <c r="H46" s="48"/>
      <c r="I46" s="239"/>
    </row>
    <row r="47" spans="2:10">
      <c r="B47" s="48"/>
      <c r="C47" s="237"/>
      <c r="D47" s="238"/>
      <c r="E47" s="48"/>
      <c r="F47" s="48"/>
      <c r="G47" s="48"/>
      <c r="H47" s="48"/>
      <c r="I47" s="239"/>
    </row>
    <row r="48" spans="2:10">
      <c r="B48" s="48"/>
      <c r="C48" s="237"/>
      <c r="D48" s="238"/>
      <c r="E48" s="48"/>
      <c r="F48" s="48"/>
      <c r="G48" s="48"/>
      <c r="H48" s="48"/>
      <c r="I48" s="239"/>
    </row>
    <row r="49" spans="2:9">
      <c r="B49" s="48"/>
      <c r="C49" s="237"/>
      <c r="D49" s="238"/>
      <c r="E49" s="48"/>
      <c r="F49" s="48"/>
      <c r="G49" s="48"/>
      <c r="H49" s="48"/>
      <c r="I49" s="239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pane="bottomLeft" activeCell="G202" sqref="G202"/>
      <selection activeCell="I544" sqref="I544"/>
    </sheetView>
  </sheetViews>
  <sheetFormatPr defaultRowHeight="14.4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5" t="s">
        <v>90</v>
      </c>
      <c r="B1" s="103" t="s">
        <v>171</v>
      </c>
      <c r="C1" s="103" t="s">
        <v>172</v>
      </c>
      <c r="D1" s="103" t="s">
        <v>11</v>
      </c>
      <c r="E1" s="106" t="s">
        <v>173</v>
      </c>
      <c r="F1" s="106" t="s">
        <v>174</v>
      </c>
      <c r="G1" s="106" t="s">
        <v>175</v>
      </c>
      <c r="H1" s="107" t="s">
        <v>13</v>
      </c>
    </row>
    <row r="2" spans="1:8">
      <c r="A2" s="104">
        <v>45170</v>
      </c>
      <c r="B2" s="108">
        <v>37374971.640000001</v>
      </c>
      <c r="C2" s="108">
        <v>10706569.08</v>
      </c>
      <c r="D2" s="109">
        <f>B2-C2</f>
        <v>26668402.560000002</v>
      </c>
      <c r="E2" s="110">
        <f>B2*0.25</f>
        <v>9343742.9100000001</v>
      </c>
      <c r="F2" s="110">
        <f>B2*0.1</f>
        <v>3737497.1640000003</v>
      </c>
      <c r="G2" s="110">
        <f>B2*0.15</f>
        <v>5606245.7460000003</v>
      </c>
      <c r="H2" s="111">
        <f>D2/B2</f>
        <v>0.71353639587671414</v>
      </c>
    </row>
    <row r="3" spans="1:8">
      <c r="A3" s="104">
        <v>45171</v>
      </c>
      <c r="B3" s="108">
        <v>37374971.640000001</v>
      </c>
      <c r="C3" s="108">
        <v>10706569.08</v>
      </c>
      <c r="D3" s="109">
        <f>B3-C3</f>
        <v>26668402.560000002</v>
      </c>
      <c r="E3" s="110">
        <f t="shared" ref="E3:E90" si="0">B3*0.25</f>
        <v>9343742.9100000001</v>
      </c>
      <c r="F3" s="110">
        <f t="shared" ref="F3:F66" si="1">B3*0.1</f>
        <v>3737497.1640000003</v>
      </c>
      <c r="G3" s="110">
        <f t="shared" ref="G3:G66" si="2">B3*0.15</f>
        <v>5606245.7460000003</v>
      </c>
      <c r="H3" s="111">
        <f t="shared" ref="H3:H66" si="3">D3/B3</f>
        <v>0.71353639587671414</v>
      </c>
    </row>
    <row r="4" spans="1:8">
      <c r="A4" s="104">
        <v>45173</v>
      </c>
      <c r="B4" s="108">
        <v>37375362.380000003</v>
      </c>
      <c r="C4" s="108">
        <v>10705819.310000001</v>
      </c>
      <c r="D4" s="109">
        <f>B4-C4</f>
        <v>26669543.07</v>
      </c>
      <c r="E4" s="110">
        <f t="shared" si="0"/>
        <v>9343840.5950000007</v>
      </c>
      <c r="F4" s="110">
        <f t="shared" si="1"/>
        <v>3737536.2380000004</v>
      </c>
      <c r="G4" s="110">
        <f t="shared" si="2"/>
        <v>5606304.3569999998</v>
      </c>
      <c r="H4" s="111">
        <f t="shared" si="3"/>
        <v>0.71355945124618214</v>
      </c>
    </row>
    <row r="5" spans="1:8">
      <c r="A5" s="104">
        <v>45174</v>
      </c>
      <c r="B5" s="108">
        <v>37340919.420000002</v>
      </c>
      <c r="C5" s="108">
        <v>10703346.619999999</v>
      </c>
      <c r="D5" s="109">
        <f>B5-C5</f>
        <v>26637572.800000004</v>
      </c>
      <c r="E5" s="110">
        <f t="shared" si="0"/>
        <v>9335229.8550000004</v>
      </c>
      <c r="F5" s="110">
        <f t="shared" si="1"/>
        <v>3734091.9420000003</v>
      </c>
      <c r="G5" s="110">
        <f t="shared" si="2"/>
        <v>5601137.9129999997</v>
      </c>
      <c r="H5" s="111">
        <f t="shared" si="3"/>
        <v>0.71336146012871804</v>
      </c>
    </row>
    <row r="6" spans="1:8">
      <c r="A6" s="104">
        <v>45175</v>
      </c>
      <c r="B6" s="108">
        <v>37244792.479999997</v>
      </c>
      <c r="C6" s="108">
        <v>12600903.039999999</v>
      </c>
      <c r="D6" s="109">
        <f t="shared" ref="D6:D140" si="4">B6-C6</f>
        <v>24643889.439999998</v>
      </c>
      <c r="E6" s="110">
        <f t="shared" si="0"/>
        <v>9311198.1199999992</v>
      </c>
      <c r="F6" s="110">
        <f t="shared" si="1"/>
        <v>3724479.2479999997</v>
      </c>
      <c r="G6" s="110">
        <f t="shared" si="2"/>
        <v>5586718.8719999995</v>
      </c>
      <c r="H6" s="111">
        <f t="shared" si="3"/>
        <v>0.66167342597581846</v>
      </c>
    </row>
    <row r="7" spans="1:8">
      <c r="A7" s="104">
        <v>45177</v>
      </c>
      <c r="B7" s="108">
        <v>36440412.600000001</v>
      </c>
      <c r="C7" s="108">
        <v>12955999.51</v>
      </c>
      <c r="D7" s="109">
        <f>B7-C7</f>
        <v>23484413.090000004</v>
      </c>
      <c r="E7" s="110">
        <f t="shared" si="0"/>
        <v>9110103.1500000004</v>
      </c>
      <c r="F7" s="110">
        <f t="shared" si="1"/>
        <v>3644041.2600000002</v>
      </c>
      <c r="G7" s="110">
        <f t="shared" si="2"/>
        <v>5466061.8899999997</v>
      </c>
      <c r="H7" s="111">
        <f>D7/B7</f>
        <v>0.64446068017352809</v>
      </c>
    </row>
    <row r="8" spans="1:8">
      <c r="A8" s="104">
        <v>45178</v>
      </c>
      <c r="B8" s="108">
        <v>36613715</v>
      </c>
      <c r="C8" s="108">
        <v>12904681</v>
      </c>
      <c r="D8" s="109">
        <f t="shared" si="4"/>
        <v>23709034</v>
      </c>
      <c r="E8" s="110">
        <f t="shared" si="0"/>
        <v>9153428.75</v>
      </c>
      <c r="F8" s="110">
        <f t="shared" si="1"/>
        <v>3661371.5</v>
      </c>
      <c r="G8" s="110">
        <f t="shared" si="2"/>
        <v>5492057.25</v>
      </c>
      <c r="H8" s="111">
        <f t="shared" si="3"/>
        <v>0.64754516169692145</v>
      </c>
    </row>
    <row r="9" spans="1:8">
      <c r="A9" s="104">
        <v>45180</v>
      </c>
      <c r="B9" s="108">
        <v>36586859.640000001</v>
      </c>
      <c r="C9" s="108">
        <v>12904101.560000001</v>
      </c>
      <c r="D9" s="109">
        <f t="shared" si="4"/>
        <v>23682758.079999998</v>
      </c>
      <c r="E9" s="110">
        <f t="shared" si="0"/>
        <v>9146714.9100000001</v>
      </c>
      <c r="F9" s="110">
        <f t="shared" si="1"/>
        <v>3658685.9640000002</v>
      </c>
      <c r="G9" s="110">
        <f t="shared" si="2"/>
        <v>5488028.9459999995</v>
      </c>
      <c r="H9" s="111">
        <f t="shared" si="3"/>
        <v>0.64730229139720719</v>
      </c>
    </row>
    <row r="10" spans="1:8">
      <c r="A10" s="104">
        <v>45181</v>
      </c>
      <c r="B10" s="108">
        <v>37262903.789999999</v>
      </c>
      <c r="C10" s="108">
        <v>14578535.23</v>
      </c>
      <c r="D10" s="109">
        <f t="shared" si="4"/>
        <v>22684368.559999999</v>
      </c>
      <c r="E10" s="110">
        <f t="shared" si="0"/>
        <v>9315725.9474999998</v>
      </c>
      <c r="F10" s="110">
        <f t="shared" si="1"/>
        <v>3726290.3790000002</v>
      </c>
      <c r="G10" s="110">
        <f t="shared" si="2"/>
        <v>5589435.5685000001</v>
      </c>
      <c r="H10" s="111">
        <f t="shared" si="3"/>
        <v>0.60876545445413344</v>
      </c>
    </row>
    <row r="11" spans="1:8">
      <c r="A11" s="104">
        <v>45182</v>
      </c>
      <c r="B11" s="108">
        <v>36597913</v>
      </c>
      <c r="C11" s="108">
        <v>14489723</v>
      </c>
      <c r="D11" s="109">
        <f t="shared" si="4"/>
        <v>22108190</v>
      </c>
      <c r="E11" s="110">
        <f t="shared" si="0"/>
        <v>9149478.25</v>
      </c>
      <c r="F11" s="110">
        <f t="shared" si="1"/>
        <v>3659791.3000000003</v>
      </c>
      <c r="G11" s="110">
        <f t="shared" si="2"/>
        <v>5489686.9500000002</v>
      </c>
      <c r="H11" s="111">
        <f t="shared" si="3"/>
        <v>0.60408335305895722</v>
      </c>
    </row>
    <row r="12" spans="1:8">
      <c r="A12" s="104">
        <v>45183</v>
      </c>
      <c r="B12" s="108">
        <v>36912497</v>
      </c>
      <c r="C12" s="108">
        <v>14552983</v>
      </c>
      <c r="D12" s="109">
        <f t="shared" si="4"/>
        <v>22359514</v>
      </c>
      <c r="E12" s="110">
        <f t="shared" si="0"/>
        <v>9228124.25</v>
      </c>
      <c r="F12" s="110">
        <f t="shared" si="1"/>
        <v>3691249.7</v>
      </c>
      <c r="G12" s="110">
        <f t="shared" si="2"/>
        <v>5536874.5499999998</v>
      </c>
      <c r="H12" s="111">
        <f t="shared" si="3"/>
        <v>0.60574374039231216</v>
      </c>
    </row>
    <row r="13" spans="1:8">
      <c r="A13" s="104">
        <v>45184</v>
      </c>
      <c r="B13" s="108">
        <v>37474543</v>
      </c>
      <c r="C13" s="108">
        <v>14681211</v>
      </c>
      <c r="D13" s="109">
        <f t="shared" si="4"/>
        <v>22793332</v>
      </c>
      <c r="E13" s="110">
        <f t="shared" si="0"/>
        <v>9368635.75</v>
      </c>
      <c r="F13" s="110">
        <f t="shared" si="1"/>
        <v>3747454.3000000003</v>
      </c>
      <c r="G13" s="110">
        <f t="shared" si="2"/>
        <v>5621181.4500000002</v>
      </c>
      <c r="H13" s="111">
        <f t="shared" si="3"/>
        <v>0.60823508908434187</v>
      </c>
    </row>
    <row r="14" spans="1:8">
      <c r="A14" s="104">
        <v>45185</v>
      </c>
      <c r="B14" s="108">
        <v>36196456</v>
      </c>
      <c r="C14" s="108">
        <v>14590374</v>
      </c>
      <c r="D14" s="109">
        <f t="shared" si="4"/>
        <v>21606082</v>
      </c>
      <c r="E14" s="110">
        <f t="shared" si="0"/>
        <v>9049114</v>
      </c>
      <c r="F14" s="110">
        <f t="shared" si="1"/>
        <v>3619645.6</v>
      </c>
      <c r="G14" s="110">
        <f t="shared" si="2"/>
        <v>5429468.3999999994</v>
      </c>
      <c r="H14" s="111">
        <f t="shared" si="3"/>
        <v>0.59691153189140944</v>
      </c>
    </row>
    <row r="15" spans="1:8">
      <c r="A15" s="104">
        <v>45188</v>
      </c>
      <c r="B15" s="108">
        <v>36198292</v>
      </c>
      <c r="C15" s="108">
        <v>11902773</v>
      </c>
      <c r="D15" s="109">
        <f t="shared" si="4"/>
        <v>24295519</v>
      </c>
      <c r="E15" s="110">
        <f t="shared" si="0"/>
        <v>9049573</v>
      </c>
      <c r="F15" s="110">
        <f t="shared" si="1"/>
        <v>3619829.2</v>
      </c>
      <c r="G15" s="110">
        <f t="shared" si="2"/>
        <v>5429743.7999999998</v>
      </c>
      <c r="H15" s="111">
        <f t="shared" si="3"/>
        <v>0.67117860146550556</v>
      </c>
    </row>
    <row r="16" spans="1:8">
      <c r="A16" s="104">
        <v>45189</v>
      </c>
      <c r="B16" s="108">
        <v>35968146</v>
      </c>
      <c r="C16" s="108">
        <v>12527597</v>
      </c>
      <c r="D16" s="109">
        <f t="shared" si="4"/>
        <v>23440549</v>
      </c>
      <c r="E16" s="110">
        <f t="shared" si="0"/>
        <v>8992036.5</v>
      </c>
      <c r="F16" s="110">
        <f t="shared" si="1"/>
        <v>3596814.6</v>
      </c>
      <c r="G16" s="110">
        <f t="shared" si="2"/>
        <v>5395221.8999999994</v>
      </c>
      <c r="H16" s="111">
        <f t="shared" si="3"/>
        <v>0.65170300965748973</v>
      </c>
    </row>
    <row r="17" spans="1:8">
      <c r="A17" s="104">
        <v>45190</v>
      </c>
      <c r="B17" s="108">
        <v>34830614</v>
      </c>
      <c r="C17" s="108">
        <v>12524929</v>
      </c>
      <c r="D17" s="109">
        <f t="shared" si="4"/>
        <v>22305685</v>
      </c>
      <c r="E17" s="110">
        <f t="shared" si="0"/>
        <v>8707653.5</v>
      </c>
      <c r="F17" s="110">
        <f t="shared" si="1"/>
        <v>3483061.4000000004</v>
      </c>
      <c r="G17" s="110">
        <f t="shared" si="2"/>
        <v>5224592.0999999996</v>
      </c>
      <c r="H17" s="111">
        <f t="shared" si="3"/>
        <v>0.64040458775719544</v>
      </c>
    </row>
    <row r="18" spans="1:8">
      <c r="A18" s="104">
        <v>45195</v>
      </c>
      <c r="B18" s="108">
        <v>33933502</v>
      </c>
      <c r="C18" s="108">
        <v>9777001</v>
      </c>
      <c r="D18" s="109">
        <f t="shared" si="4"/>
        <v>24156501</v>
      </c>
      <c r="E18" s="110">
        <f t="shared" si="0"/>
        <v>8483375.5</v>
      </c>
      <c r="F18" s="110">
        <f t="shared" si="1"/>
        <v>3393350.2</v>
      </c>
      <c r="G18" s="110">
        <f t="shared" si="2"/>
        <v>5090025.3</v>
      </c>
      <c r="H18" s="111">
        <f t="shared" si="3"/>
        <v>0.71187763054930198</v>
      </c>
    </row>
    <row r="19" spans="1:8">
      <c r="A19" s="104">
        <v>45196</v>
      </c>
      <c r="B19" s="108">
        <v>33191024</v>
      </c>
      <c r="C19" s="108">
        <v>9707036</v>
      </c>
      <c r="D19" s="109">
        <f t="shared" si="4"/>
        <v>23483988</v>
      </c>
      <c r="E19" s="110">
        <f t="shared" si="0"/>
        <v>8297756</v>
      </c>
      <c r="F19" s="110">
        <f t="shared" si="1"/>
        <v>3319102.4000000004</v>
      </c>
      <c r="G19" s="110">
        <f t="shared" si="2"/>
        <v>4978653.5999999996</v>
      </c>
      <c r="H19" s="111">
        <f t="shared" si="3"/>
        <v>0.70754032777054421</v>
      </c>
    </row>
    <row r="20" spans="1:8">
      <c r="A20" s="104">
        <v>45197</v>
      </c>
      <c r="B20" s="108">
        <v>33398553</v>
      </c>
      <c r="C20" s="108">
        <v>9697920</v>
      </c>
      <c r="D20" s="109">
        <f t="shared" si="4"/>
        <v>23700633</v>
      </c>
      <c r="E20" s="110">
        <f t="shared" si="0"/>
        <v>8349638.25</v>
      </c>
      <c r="F20" s="110">
        <f t="shared" si="1"/>
        <v>3339855.3000000003</v>
      </c>
      <c r="G20" s="110">
        <f t="shared" si="2"/>
        <v>5009782.95</v>
      </c>
      <c r="H20" s="111">
        <f t="shared" si="3"/>
        <v>0.70963053399349363</v>
      </c>
    </row>
    <row r="21" spans="1:8">
      <c r="A21" s="104">
        <v>45198</v>
      </c>
      <c r="B21" s="108">
        <v>33660793</v>
      </c>
      <c r="C21" s="108">
        <v>10213444</v>
      </c>
      <c r="D21" s="109">
        <f t="shared" si="4"/>
        <v>23447349</v>
      </c>
      <c r="E21" s="110">
        <f t="shared" si="0"/>
        <v>8415198.25</v>
      </c>
      <c r="F21" s="110">
        <f t="shared" si="1"/>
        <v>3366079.3000000003</v>
      </c>
      <c r="G21" s="110">
        <f t="shared" si="2"/>
        <v>5049118.95</v>
      </c>
      <c r="H21" s="111">
        <f t="shared" si="3"/>
        <v>0.69657743951546236</v>
      </c>
    </row>
    <row r="22" spans="1:8">
      <c r="A22" s="104">
        <v>45199</v>
      </c>
      <c r="B22" s="108">
        <v>33478935</v>
      </c>
      <c r="C22" s="108">
        <v>10600790</v>
      </c>
      <c r="D22" s="109">
        <f t="shared" si="4"/>
        <v>22878145</v>
      </c>
      <c r="E22" s="110">
        <f t="shared" si="0"/>
        <v>8369733.75</v>
      </c>
      <c r="F22" s="110">
        <f t="shared" si="1"/>
        <v>3347893.5</v>
      </c>
      <c r="G22" s="110">
        <f t="shared" si="2"/>
        <v>5021840.25</v>
      </c>
      <c r="H22" s="111">
        <f t="shared" si="3"/>
        <v>0.68335940196425005</v>
      </c>
    </row>
    <row r="23" spans="1:8">
      <c r="A23" s="104">
        <v>45200</v>
      </c>
      <c r="B23" s="108">
        <v>33478993</v>
      </c>
      <c r="C23" s="108">
        <v>10596137</v>
      </c>
      <c r="D23" s="109">
        <f t="shared" si="4"/>
        <v>22882856</v>
      </c>
      <c r="E23" s="110">
        <f t="shared" si="0"/>
        <v>8369748.25</v>
      </c>
      <c r="F23" s="110">
        <f t="shared" si="1"/>
        <v>3347899.3000000003</v>
      </c>
      <c r="G23" s="110">
        <f t="shared" si="2"/>
        <v>5021848.95</v>
      </c>
      <c r="H23" s="111">
        <f t="shared" si="3"/>
        <v>0.6834989331967064</v>
      </c>
    </row>
    <row r="24" spans="1:8">
      <c r="A24" s="104">
        <v>45202</v>
      </c>
      <c r="B24" s="108">
        <v>33638348</v>
      </c>
      <c r="C24" s="108">
        <v>10906634</v>
      </c>
      <c r="D24" s="109">
        <f t="shared" si="4"/>
        <v>22731714</v>
      </c>
      <c r="E24" s="110">
        <f t="shared" si="0"/>
        <v>8409587</v>
      </c>
      <c r="F24" s="110">
        <f t="shared" si="1"/>
        <v>3363834.8000000003</v>
      </c>
      <c r="G24" s="110">
        <f t="shared" si="2"/>
        <v>5045752.2</v>
      </c>
      <c r="H24" s="111">
        <f t="shared" si="3"/>
        <v>0.67576784686334779</v>
      </c>
    </row>
    <row r="25" spans="1:8">
      <c r="A25" s="104">
        <v>45203</v>
      </c>
      <c r="B25" s="108">
        <v>32405828</v>
      </c>
      <c r="C25" s="108">
        <v>11013112</v>
      </c>
      <c r="D25" s="109">
        <f t="shared" si="4"/>
        <v>21392716</v>
      </c>
      <c r="E25" s="110">
        <f t="shared" si="0"/>
        <v>8101457</v>
      </c>
      <c r="F25" s="110">
        <f t="shared" si="1"/>
        <v>3240582.8000000003</v>
      </c>
      <c r="G25" s="110">
        <f t="shared" si="2"/>
        <v>4860874.2</v>
      </c>
      <c r="H25" s="111">
        <f t="shared" si="3"/>
        <v>0.6601502667976884</v>
      </c>
    </row>
    <row r="26" spans="1:8">
      <c r="A26" s="104">
        <v>45204</v>
      </c>
      <c r="B26" s="108">
        <v>33205559</v>
      </c>
      <c r="C26" s="108">
        <v>9819190</v>
      </c>
      <c r="D26" s="109">
        <f t="shared" si="4"/>
        <v>23386369</v>
      </c>
      <c r="E26" s="110">
        <f t="shared" si="0"/>
        <v>8301389.75</v>
      </c>
      <c r="F26" s="110">
        <f t="shared" si="1"/>
        <v>3320555.9000000004</v>
      </c>
      <c r="G26" s="110">
        <f t="shared" si="2"/>
        <v>4980833.8499999996</v>
      </c>
      <c r="H26" s="111">
        <f t="shared" si="3"/>
        <v>0.70429077854102684</v>
      </c>
    </row>
    <row r="27" spans="1:8">
      <c r="A27" s="104">
        <v>45205</v>
      </c>
      <c r="B27" s="108">
        <v>32870272</v>
      </c>
      <c r="C27" s="108">
        <v>9571930</v>
      </c>
      <c r="D27" s="109">
        <f t="shared" si="4"/>
        <v>23298342</v>
      </c>
      <c r="E27" s="110">
        <f t="shared" si="0"/>
        <v>8217568</v>
      </c>
      <c r="F27" s="110">
        <f t="shared" si="1"/>
        <v>3287027.2</v>
      </c>
      <c r="G27" s="110">
        <f t="shared" si="2"/>
        <v>4930540.8</v>
      </c>
      <c r="H27" s="111">
        <f t="shared" si="3"/>
        <v>0.7087967510582206</v>
      </c>
    </row>
    <row r="28" spans="1:8">
      <c r="A28" s="104">
        <v>45206</v>
      </c>
      <c r="B28" s="108">
        <v>34351829</v>
      </c>
      <c r="C28" s="108">
        <v>9732305</v>
      </c>
      <c r="D28" s="109">
        <f t="shared" si="4"/>
        <v>24619524</v>
      </c>
      <c r="E28" s="110">
        <f t="shared" si="0"/>
        <v>8587957.25</v>
      </c>
      <c r="F28" s="110">
        <f t="shared" si="1"/>
        <v>3435182.9000000004</v>
      </c>
      <c r="G28" s="110">
        <f t="shared" si="2"/>
        <v>5152774.3499999996</v>
      </c>
      <c r="H28" s="111">
        <f t="shared" si="3"/>
        <v>0.71668742878290415</v>
      </c>
    </row>
    <row r="29" spans="1:8">
      <c r="A29" s="104">
        <v>45208</v>
      </c>
      <c r="B29" s="108">
        <v>34366044</v>
      </c>
      <c r="C29" s="108">
        <v>9733520</v>
      </c>
      <c r="D29" s="109">
        <f t="shared" si="4"/>
        <v>24632524</v>
      </c>
      <c r="E29" s="110">
        <f t="shared" si="0"/>
        <v>8591511</v>
      </c>
      <c r="F29" s="110">
        <f t="shared" si="1"/>
        <v>3436604.4000000004</v>
      </c>
      <c r="G29" s="110">
        <f t="shared" si="2"/>
        <v>5154906.5999999996</v>
      </c>
      <c r="H29" s="111">
        <f t="shared" si="3"/>
        <v>0.71676926212397329</v>
      </c>
    </row>
    <row r="30" spans="1:8">
      <c r="A30" s="104">
        <v>45209</v>
      </c>
      <c r="B30" s="108">
        <v>34395265</v>
      </c>
      <c r="C30" s="108">
        <v>8169776</v>
      </c>
      <c r="D30" s="109">
        <f t="shared" si="4"/>
        <v>26225489</v>
      </c>
      <c r="E30" s="110">
        <f t="shared" si="0"/>
        <v>8598816.25</v>
      </c>
      <c r="F30" s="110">
        <f t="shared" si="1"/>
        <v>3439526.5</v>
      </c>
      <c r="G30" s="110">
        <f t="shared" si="2"/>
        <v>5159289.75</v>
      </c>
      <c r="H30" s="111">
        <f t="shared" si="3"/>
        <v>0.76247381725362484</v>
      </c>
    </row>
    <row r="31" spans="1:8">
      <c r="A31" s="104">
        <v>45210</v>
      </c>
      <c r="B31" s="108">
        <v>34744001</v>
      </c>
      <c r="C31" s="108">
        <v>8396282</v>
      </c>
      <c r="D31" s="109">
        <f t="shared" si="4"/>
        <v>26347719</v>
      </c>
      <c r="E31" s="110">
        <f t="shared" si="0"/>
        <v>8686000.25</v>
      </c>
      <c r="F31" s="110">
        <f t="shared" si="1"/>
        <v>3474400.1</v>
      </c>
      <c r="G31" s="110">
        <f t="shared" si="2"/>
        <v>5211600.1499999994</v>
      </c>
      <c r="H31" s="111">
        <f>D31/B31</f>
        <v>0.75833865535520795</v>
      </c>
    </row>
    <row r="32" spans="1:8">
      <c r="A32" s="104">
        <v>45211</v>
      </c>
      <c r="B32" s="108">
        <v>35170566</v>
      </c>
      <c r="C32" s="108">
        <v>9808882</v>
      </c>
      <c r="D32" s="109">
        <f t="shared" si="4"/>
        <v>25361684</v>
      </c>
      <c r="E32" s="110">
        <f t="shared" si="0"/>
        <v>8792641.5</v>
      </c>
      <c r="F32" s="110">
        <f t="shared" si="1"/>
        <v>3517056.6</v>
      </c>
      <c r="G32" s="110">
        <f t="shared" si="2"/>
        <v>5275584.8999999994</v>
      </c>
      <c r="H32" s="111">
        <f t="shared" si="3"/>
        <v>0.72110536975719985</v>
      </c>
    </row>
    <row r="33" spans="1:8">
      <c r="A33" s="104">
        <v>45212</v>
      </c>
      <c r="B33" s="108">
        <v>34855912</v>
      </c>
      <c r="C33" s="108">
        <v>8731556</v>
      </c>
      <c r="D33" s="109">
        <f t="shared" si="4"/>
        <v>26124356</v>
      </c>
      <c r="E33" s="110">
        <f t="shared" si="0"/>
        <v>8713978</v>
      </c>
      <c r="F33" s="110">
        <f t="shared" si="1"/>
        <v>3485591.2</v>
      </c>
      <c r="G33" s="110">
        <f t="shared" si="2"/>
        <v>5228386.8</v>
      </c>
      <c r="H33" s="111">
        <f t="shared" si="3"/>
        <v>0.74949569530701132</v>
      </c>
    </row>
    <row r="34" spans="1:8">
      <c r="A34" s="104">
        <v>45216</v>
      </c>
      <c r="B34" s="108">
        <v>34715830</v>
      </c>
      <c r="C34" s="108">
        <v>8072381</v>
      </c>
      <c r="D34" s="109">
        <f t="shared" si="4"/>
        <v>26643449</v>
      </c>
      <c r="E34" s="110">
        <f t="shared" si="0"/>
        <v>8678957.5</v>
      </c>
      <c r="F34" s="110">
        <f t="shared" si="1"/>
        <v>3471583</v>
      </c>
      <c r="G34" s="110">
        <f t="shared" si="2"/>
        <v>5207374.5</v>
      </c>
      <c r="H34" s="111">
        <f t="shared" si="3"/>
        <v>0.76747261983942194</v>
      </c>
    </row>
    <row r="35" spans="1:8">
      <c r="A35" s="104">
        <v>45217</v>
      </c>
      <c r="B35" s="108">
        <v>34360868</v>
      </c>
      <c r="C35" s="108">
        <v>8074556</v>
      </c>
      <c r="D35" s="109">
        <f t="shared" si="4"/>
        <v>26286312</v>
      </c>
      <c r="E35" s="110">
        <f t="shared" si="0"/>
        <v>8590217</v>
      </c>
      <c r="F35" s="110">
        <f t="shared" si="1"/>
        <v>3436086.8000000003</v>
      </c>
      <c r="G35" s="110">
        <f t="shared" si="2"/>
        <v>5154130.2</v>
      </c>
      <c r="H35" s="111">
        <f t="shared" si="3"/>
        <v>0.76500721693060836</v>
      </c>
    </row>
    <row r="36" spans="1:8">
      <c r="A36" s="104">
        <v>45218</v>
      </c>
      <c r="B36" s="108">
        <v>33661484</v>
      </c>
      <c r="C36" s="108">
        <v>8029668</v>
      </c>
      <c r="D36" s="109">
        <f t="shared" si="4"/>
        <v>25631816</v>
      </c>
      <c r="E36" s="110">
        <f t="shared" si="0"/>
        <v>8415371</v>
      </c>
      <c r="F36" s="110">
        <f t="shared" si="1"/>
        <v>3366148.4000000004</v>
      </c>
      <c r="G36" s="110">
        <f t="shared" si="2"/>
        <v>5049222.5999999996</v>
      </c>
      <c r="H36" s="111">
        <f t="shared" si="3"/>
        <v>0.76145828864823661</v>
      </c>
    </row>
    <row r="37" spans="1:8">
      <c r="A37" s="104">
        <v>45219</v>
      </c>
      <c r="B37" s="108">
        <v>32851878</v>
      </c>
      <c r="C37" s="108">
        <v>7946643</v>
      </c>
      <c r="D37" s="109">
        <f t="shared" si="4"/>
        <v>24905235</v>
      </c>
      <c r="E37" s="110">
        <f t="shared" si="0"/>
        <v>8212969.5</v>
      </c>
      <c r="F37" s="110">
        <f t="shared" si="1"/>
        <v>3285187.8000000003</v>
      </c>
      <c r="G37" s="110">
        <f t="shared" si="2"/>
        <v>4927781.7</v>
      </c>
      <c r="H37" s="111">
        <f t="shared" si="3"/>
        <v>0.75810688813589289</v>
      </c>
    </row>
    <row r="38" spans="1:8">
      <c r="A38" s="104">
        <v>45220</v>
      </c>
      <c r="B38" s="108">
        <v>31929385</v>
      </c>
      <c r="C38" s="108">
        <v>7953467</v>
      </c>
      <c r="D38" s="109">
        <f t="shared" si="4"/>
        <v>23975918</v>
      </c>
      <c r="E38" s="110">
        <f t="shared" si="0"/>
        <v>7982346.25</v>
      </c>
      <c r="F38" s="110">
        <f t="shared" si="1"/>
        <v>3192938.5</v>
      </c>
      <c r="G38" s="110">
        <f t="shared" si="2"/>
        <v>4789407.75</v>
      </c>
      <c r="H38" s="111">
        <f t="shared" si="3"/>
        <v>0.75090447247887804</v>
      </c>
    </row>
    <row r="39" spans="1:8">
      <c r="A39" s="104">
        <v>45223</v>
      </c>
      <c r="B39" s="108">
        <v>32363531</v>
      </c>
      <c r="C39" s="108">
        <v>7310235</v>
      </c>
      <c r="D39" s="109">
        <f t="shared" si="4"/>
        <v>25053296</v>
      </c>
      <c r="E39" s="110">
        <f t="shared" si="0"/>
        <v>8090882.75</v>
      </c>
      <c r="F39" s="110">
        <f t="shared" si="1"/>
        <v>3236353.1</v>
      </c>
      <c r="G39" s="110">
        <f t="shared" si="2"/>
        <v>4854529.6499999994</v>
      </c>
      <c r="H39" s="111">
        <f t="shared" si="3"/>
        <v>0.77412121687216395</v>
      </c>
    </row>
    <row r="40" spans="1:8">
      <c r="A40" s="104">
        <v>45224</v>
      </c>
      <c r="B40" s="108">
        <v>32619728</v>
      </c>
      <c r="C40" s="108">
        <v>7769904</v>
      </c>
      <c r="D40" s="109">
        <f t="shared" si="4"/>
        <v>24849824</v>
      </c>
      <c r="E40" s="110">
        <f t="shared" si="0"/>
        <v>8154932</v>
      </c>
      <c r="F40" s="110">
        <f t="shared" si="1"/>
        <v>3261972.8000000003</v>
      </c>
      <c r="G40" s="110">
        <f t="shared" si="2"/>
        <v>4892959.2</v>
      </c>
      <c r="H40" s="111">
        <f t="shared" si="3"/>
        <v>0.76180353189946892</v>
      </c>
    </row>
    <row r="41" spans="1:8">
      <c r="A41" s="104">
        <v>45225</v>
      </c>
      <c r="B41" s="108">
        <v>30732183</v>
      </c>
      <c r="C41" s="108">
        <v>9512789</v>
      </c>
      <c r="D41" s="109">
        <f t="shared" si="4"/>
        <v>21219394</v>
      </c>
      <c r="E41" s="110">
        <f t="shared" si="0"/>
        <v>7683045.75</v>
      </c>
      <c r="F41" s="110">
        <f t="shared" si="1"/>
        <v>3073218.3000000003</v>
      </c>
      <c r="G41" s="110">
        <f t="shared" si="2"/>
        <v>4609827.45</v>
      </c>
      <c r="H41" s="111">
        <f t="shared" si="3"/>
        <v>0.69046165708436658</v>
      </c>
    </row>
    <row r="42" spans="1:8">
      <c r="A42" s="104">
        <v>45227</v>
      </c>
      <c r="B42" s="108">
        <v>30337351</v>
      </c>
      <c r="C42" s="108">
        <v>7580644</v>
      </c>
      <c r="D42" s="109">
        <f t="shared" si="4"/>
        <v>22756707</v>
      </c>
      <c r="E42" s="110">
        <f t="shared" si="0"/>
        <v>7584337.75</v>
      </c>
      <c r="F42" s="110">
        <f t="shared" si="1"/>
        <v>3033735.1</v>
      </c>
      <c r="G42" s="110">
        <f t="shared" si="2"/>
        <v>4550602.6499999994</v>
      </c>
      <c r="H42" s="111">
        <f t="shared" si="3"/>
        <v>0.75012175585139251</v>
      </c>
    </row>
    <row r="43" spans="1:8">
      <c r="A43" s="104">
        <v>45230</v>
      </c>
      <c r="B43" s="108">
        <v>30912412</v>
      </c>
      <c r="C43" s="108">
        <v>7609191</v>
      </c>
      <c r="D43" s="109">
        <f t="shared" si="4"/>
        <v>23303221</v>
      </c>
      <c r="E43" s="110">
        <f t="shared" si="0"/>
        <v>7728103</v>
      </c>
      <c r="F43" s="110">
        <f t="shared" si="1"/>
        <v>3091241.2</v>
      </c>
      <c r="G43" s="110">
        <f t="shared" si="2"/>
        <v>4636861.8</v>
      </c>
      <c r="H43" s="111">
        <f t="shared" si="3"/>
        <v>0.75384673962031823</v>
      </c>
    </row>
    <row r="44" spans="1:8">
      <c r="A44" s="104">
        <v>45231</v>
      </c>
      <c r="B44" s="108">
        <v>31196683</v>
      </c>
      <c r="C44" s="108">
        <v>7642399</v>
      </c>
      <c r="D44" s="109">
        <f t="shared" si="4"/>
        <v>23554284</v>
      </c>
      <c r="E44" s="110">
        <f t="shared" si="0"/>
        <v>7799170.75</v>
      </c>
      <c r="F44" s="110">
        <f t="shared" si="1"/>
        <v>3119668.3000000003</v>
      </c>
      <c r="G44" s="110">
        <f t="shared" si="2"/>
        <v>4679502.45</v>
      </c>
      <c r="H44" s="111">
        <f t="shared" si="3"/>
        <v>0.75502526983397567</v>
      </c>
    </row>
    <row r="45" spans="1:8">
      <c r="A45" s="104">
        <v>45232</v>
      </c>
      <c r="B45" s="108">
        <v>32671057</v>
      </c>
      <c r="C45" s="108">
        <v>7806127</v>
      </c>
      <c r="D45" s="109">
        <f t="shared" si="4"/>
        <v>24864930</v>
      </c>
      <c r="E45" s="110">
        <f t="shared" si="0"/>
        <v>8167764.25</v>
      </c>
      <c r="F45" s="110">
        <f t="shared" si="1"/>
        <v>3267105.7</v>
      </c>
      <c r="G45" s="110">
        <f t="shared" si="2"/>
        <v>4900658.55</v>
      </c>
      <c r="H45" s="111">
        <f t="shared" si="3"/>
        <v>0.76106904040478396</v>
      </c>
    </row>
    <row r="46" spans="1:8">
      <c r="A46" s="104">
        <v>45233</v>
      </c>
      <c r="B46" s="108">
        <v>33313359</v>
      </c>
      <c r="C46" s="108">
        <v>7874742</v>
      </c>
      <c r="D46" s="109">
        <f t="shared" si="4"/>
        <v>25438617</v>
      </c>
      <c r="E46" s="110">
        <f t="shared" si="0"/>
        <v>8328339.75</v>
      </c>
      <c r="F46" s="110">
        <f t="shared" si="1"/>
        <v>3331335.9000000004</v>
      </c>
      <c r="G46" s="110">
        <f t="shared" si="2"/>
        <v>4997003.8499999996</v>
      </c>
      <c r="H46" s="111">
        <f t="shared" si="3"/>
        <v>0.76361609167061173</v>
      </c>
    </row>
    <row r="47" spans="1:8">
      <c r="A47" s="104">
        <v>45234</v>
      </c>
      <c r="B47" s="108">
        <v>34295148</v>
      </c>
      <c r="C47" s="108">
        <v>8358671</v>
      </c>
      <c r="D47" s="109">
        <f t="shared" si="4"/>
        <v>25936477</v>
      </c>
      <c r="E47" s="110">
        <f t="shared" si="0"/>
        <v>8573787</v>
      </c>
      <c r="F47" s="110">
        <f t="shared" si="1"/>
        <v>3429514.8000000003</v>
      </c>
      <c r="G47" s="110">
        <f t="shared" si="2"/>
        <v>5144272.2</v>
      </c>
      <c r="H47" s="111">
        <f t="shared" si="3"/>
        <v>0.75627249079082559</v>
      </c>
    </row>
    <row r="48" spans="1:8">
      <c r="A48" s="104">
        <v>45237</v>
      </c>
      <c r="B48" s="108">
        <v>34377736</v>
      </c>
      <c r="C48" s="108">
        <v>8292355</v>
      </c>
      <c r="D48" s="109">
        <f t="shared" si="4"/>
        <v>26085381</v>
      </c>
      <c r="E48" s="110">
        <f t="shared" si="0"/>
        <v>8594434</v>
      </c>
      <c r="F48" s="110">
        <f t="shared" si="1"/>
        <v>3437773.6</v>
      </c>
      <c r="G48" s="110">
        <f t="shared" si="2"/>
        <v>5156660.3999999994</v>
      </c>
      <c r="H48" s="111">
        <f t="shared" si="3"/>
        <v>0.75878705334173258</v>
      </c>
    </row>
    <row r="49" spans="1:8">
      <c r="A49" s="104">
        <v>45238</v>
      </c>
      <c r="B49" s="108">
        <v>35072936</v>
      </c>
      <c r="C49" s="108">
        <v>8474970</v>
      </c>
      <c r="D49" s="109">
        <f t="shared" si="4"/>
        <v>26597966</v>
      </c>
      <c r="E49" s="110">
        <f t="shared" si="0"/>
        <v>8768234</v>
      </c>
      <c r="F49" s="110">
        <f t="shared" si="1"/>
        <v>3507293.6</v>
      </c>
      <c r="G49" s="110">
        <f t="shared" si="2"/>
        <v>5260940.3999999994</v>
      </c>
      <c r="H49" s="111">
        <f t="shared" si="3"/>
        <v>0.7583615469203947</v>
      </c>
    </row>
    <row r="50" spans="1:8">
      <c r="A50" s="104">
        <v>45239</v>
      </c>
      <c r="B50" s="108">
        <v>35104529</v>
      </c>
      <c r="C50" s="108">
        <v>8905342</v>
      </c>
      <c r="D50" s="109">
        <f t="shared" si="4"/>
        <v>26199187</v>
      </c>
      <c r="E50" s="110">
        <f t="shared" si="0"/>
        <v>8776132.25</v>
      </c>
      <c r="F50" s="110">
        <f t="shared" si="1"/>
        <v>3510452.9000000004</v>
      </c>
      <c r="G50" s="110">
        <f t="shared" si="2"/>
        <v>5265679.3499999996</v>
      </c>
      <c r="H50" s="111">
        <f t="shared" si="3"/>
        <v>0.74631928546883508</v>
      </c>
    </row>
    <row r="51" spans="1:8">
      <c r="A51" s="104">
        <v>45240</v>
      </c>
      <c r="B51" s="108">
        <v>34461997</v>
      </c>
      <c r="C51" s="108">
        <v>8968859</v>
      </c>
      <c r="D51" s="109">
        <f t="shared" si="4"/>
        <v>25493138</v>
      </c>
      <c r="E51" s="110">
        <f t="shared" si="0"/>
        <v>8615499.25</v>
      </c>
      <c r="F51" s="110">
        <f t="shared" si="1"/>
        <v>3446199.7</v>
      </c>
      <c r="G51" s="110">
        <f t="shared" si="2"/>
        <v>5169299.55</v>
      </c>
      <c r="H51" s="111">
        <f t="shared" si="3"/>
        <v>0.73974639368693573</v>
      </c>
    </row>
    <row r="52" spans="1:8">
      <c r="A52" s="104">
        <v>45241</v>
      </c>
      <c r="B52" s="108">
        <v>35970854</v>
      </c>
      <c r="C52" s="108">
        <v>9093267</v>
      </c>
      <c r="D52" s="109">
        <f t="shared" si="4"/>
        <v>26877587</v>
      </c>
      <c r="E52" s="110">
        <f t="shared" si="0"/>
        <v>8992713.5</v>
      </c>
      <c r="F52" s="110">
        <f t="shared" si="1"/>
        <v>3597085.4000000004</v>
      </c>
      <c r="G52" s="110">
        <f t="shared" si="2"/>
        <v>5395628.0999999996</v>
      </c>
      <c r="H52" s="111">
        <f t="shared" si="3"/>
        <v>0.74720458402238654</v>
      </c>
    </row>
    <row r="53" spans="1:8">
      <c r="A53" s="104">
        <v>45244</v>
      </c>
      <c r="B53" s="108">
        <v>35966001</v>
      </c>
      <c r="C53" s="108">
        <v>9102711</v>
      </c>
      <c r="D53" s="109">
        <f t="shared" si="4"/>
        <v>26863290</v>
      </c>
      <c r="E53" s="110">
        <f t="shared" si="0"/>
        <v>8991500.25</v>
      </c>
      <c r="F53" s="110">
        <f t="shared" si="1"/>
        <v>3596600.1</v>
      </c>
      <c r="G53" s="110">
        <f t="shared" si="2"/>
        <v>5394900.1499999994</v>
      </c>
      <c r="H53" s="111">
        <f t="shared" si="3"/>
        <v>0.74690789226191701</v>
      </c>
    </row>
    <row r="54" spans="1:8">
      <c r="A54" s="104">
        <v>45246</v>
      </c>
      <c r="B54" s="108">
        <v>36013182</v>
      </c>
      <c r="C54" s="108">
        <v>4005742</v>
      </c>
      <c r="D54" s="109">
        <f t="shared" si="4"/>
        <v>32007440</v>
      </c>
      <c r="E54" s="110">
        <f t="shared" si="0"/>
        <v>9003295.5</v>
      </c>
      <c r="F54" s="110">
        <f t="shared" si="1"/>
        <v>3601318.2</v>
      </c>
      <c r="G54" s="110">
        <f t="shared" si="2"/>
        <v>5401977.2999999998</v>
      </c>
      <c r="H54" s="111">
        <f t="shared" si="3"/>
        <v>0.88877011756417412</v>
      </c>
    </row>
    <row r="55" spans="1:8">
      <c r="A55" s="104">
        <v>45250</v>
      </c>
      <c r="B55" s="108">
        <v>36732437</v>
      </c>
      <c r="C55" s="108">
        <v>8626001</v>
      </c>
      <c r="D55" s="109">
        <f t="shared" si="4"/>
        <v>28106436</v>
      </c>
      <c r="E55" s="110">
        <f t="shared" si="0"/>
        <v>9183109.25</v>
      </c>
      <c r="F55" s="110">
        <f t="shared" si="1"/>
        <v>3673243.7</v>
      </c>
      <c r="G55" s="110">
        <f t="shared" si="2"/>
        <v>5509865.5499999998</v>
      </c>
      <c r="H55" s="111">
        <f t="shared" si="3"/>
        <v>0.7651666563805718</v>
      </c>
    </row>
    <row r="56" spans="1:8">
      <c r="A56" s="104">
        <v>45251</v>
      </c>
      <c r="B56" s="108">
        <v>36550256</v>
      </c>
      <c r="C56" s="108">
        <v>10903086</v>
      </c>
      <c r="D56" s="109">
        <f t="shared" si="4"/>
        <v>25647170</v>
      </c>
      <c r="E56" s="110">
        <f t="shared" si="0"/>
        <v>9137564</v>
      </c>
      <c r="F56" s="110">
        <f t="shared" si="1"/>
        <v>3655025.6</v>
      </c>
      <c r="G56" s="110">
        <f t="shared" si="2"/>
        <v>5482538.3999999994</v>
      </c>
      <c r="H56" s="111">
        <f t="shared" si="3"/>
        <v>0.70169604284030185</v>
      </c>
    </row>
    <row r="57" spans="1:8">
      <c r="A57" s="104">
        <v>45252</v>
      </c>
      <c r="B57" s="108">
        <v>36968473</v>
      </c>
      <c r="C57" s="108">
        <v>11977718</v>
      </c>
      <c r="D57" s="109">
        <f t="shared" si="4"/>
        <v>24990755</v>
      </c>
      <c r="E57" s="110">
        <f t="shared" si="0"/>
        <v>9242118.25</v>
      </c>
      <c r="F57" s="110">
        <f t="shared" si="1"/>
        <v>3696847.3000000003</v>
      </c>
      <c r="G57" s="110">
        <f t="shared" si="2"/>
        <v>5545270.9500000002</v>
      </c>
      <c r="H57" s="111">
        <f t="shared" si="3"/>
        <v>0.67600181917170343</v>
      </c>
    </row>
    <row r="58" spans="1:8">
      <c r="A58" s="104">
        <v>45255</v>
      </c>
      <c r="B58" s="108">
        <v>36882787</v>
      </c>
      <c r="C58" s="108">
        <v>12562375</v>
      </c>
      <c r="D58" s="109">
        <f t="shared" si="4"/>
        <v>24320412</v>
      </c>
      <c r="E58" s="110">
        <f t="shared" si="0"/>
        <v>9220696.75</v>
      </c>
      <c r="F58" s="110">
        <f t="shared" si="1"/>
        <v>3688278.7</v>
      </c>
      <c r="G58" s="110">
        <f t="shared" si="2"/>
        <v>5532418.0499999998</v>
      </c>
      <c r="H58" s="111">
        <f t="shared" si="3"/>
        <v>0.65939734977185971</v>
      </c>
    </row>
    <row r="59" spans="1:8">
      <c r="A59" s="104">
        <v>45259</v>
      </c>
      <c r="B59" s="108">
        <v>37446853</v>
      </c>
      <c r="C59" s="108">
        <v>16376002</v>
      </c>
      <c r="D59" s="109">
        <f t="shared" si="4"/>
        <v>21070851</v>
      </c>
      <c r="E59" s="110">
        <f t="shared" si="0"/>
        <v>9361713.25</v>
      </c>
      <c r="F59" s="110">
        <f t="shared" si="1"/>
        <v>3744685.3000000003</v>
      </c>
      <c r="G59" s="110">
        <f t="shared" si="2"/>
        <v>5617027.9500000002</v>
      </c>
      <c r="H59" s="111">
        <f t="shared" si="3"/>
        <v>0.56268682978513573</v>
      </c>
    </row>
    <row r="60" spans="1:8">
      <c r="A60" s="104">
        <v>45260</v>
      </c>
      <c r="B60" s="108">
        <v>37237231</v>
      </c>
      <c r="C60" s="108">
        <v>19252438</v>
      </c>
      <c r="D60" s="109">
        <f t="shared" si="4"/>
        <v>17984793</v>
      </c>
      <c r="E60" s="110">
        <f t="shared" si="0"/>
        <v>9309307.75</v>
      </c>
      <c r="F60" s="110">
        <f t="shared" si="1"/>
        <v>3723723.1</v>
      </c>
      <c r="G60" s="110">
        <f t="shared" si="2"/>
        <v>5585584.6499999994</v>
      </c>
      <c r="H60" s="111">
        <f t="shared" si="3"/>
        <v>0.48297879614088385</v>
      </c>
    </row>
    <row r="61" spans="1:8">
      <c r="A61" s="104">
        <v>45261</v>
      </c>
      <c r="B61" s="108">
        <v>37010489</v>
      </c>
      <c r="C61" s="108">
        <v>20622941</v>
      </c>
      <c r="D61" s="109">
        <f t="shared" si="4"/>
        <v>16387548</v>
      </c>
      <c r="E61" s="110">
        <f t="shared" si="0"/>
        <v>9252622.25</v>
      </c>
      <c r="F61" s="110">
        <f t="shared" si="1"/>
        <v>3701048.9000000004</v>
      </c>
      <c r="G61" s="110">
        <f t="shared" si="2"/>
        <v>5551573.3499999996</v>
      </c>
      <c r="H61" s="111">
        <f t="shared" si="3"/>
        <v>0.44278118022163931</v>
      </c>
    </row>
    <row r="62" spans="1:8">
      <c r="A62" s="104">
        <v>45262</v>
      </c>
      <c r="B62" s="108">
        <v>38778138</v>
      </c>
      <c r="C62" s="108">
        <v>23398550</v>
      </c>
      <c r="D62" s="109">
        <f t="shared" si="4"/>
        <v>15379588</v>
      </c>
      <c r="E62" s="110">
        <f t="shared" si="0"/>
        <v>9694534.5</v>
      </c>
      <c r="F62" s="110">
        <f t="shared" si="1"/>
        <v>3877813.8000000003</v>
      </c>
      <c r="G62" s="110">
        <f t="shared" si="2"/>
        <v>5816720.7000000002</v>
      </c>
      <c r="H62" s="111">
        <f t="shared" si="3"/>
        <v>0.3966046023148404</v>
      </c>
    </row>
    <row r="63" spans="1:8">
      <c r="A63" s="104">
        <v>45265</v>
      </c>
      <c r="B63" s="108">
        <v>37459625</v>
      </c>
      <c r="C63" s="108">
        <v>24111317</v>
      </c>
      <c r="D63" s="109">
        <f t="shared" si="4"/>
        <v>13348308</v>
      </c>
      <c r="E63" s="110">
        <f t="shared" si="0"/>
        <v>9364906.25</v>
      </c>
      <c r="F63" s="110">
        <f t="shared" si="1"/>
        <v>3745962.5</v>
      </c>
      <c r="G63" s="110">
        <f t="shared" si="2"/>
        <v>5618943.75</v>
      </c>
      <c r="H63" s="111">
        <f t="shared" si="3"/>
        <v>0.35633853782572572</v>
      </c>
    </row>
    <row r="64" spans="1:8">
      <c r="A64" s="104">
        <v>45266</v>
      </c>
      <c r="B64" s="108">
        <v>38589651</v>
      </c>
      <c r="C64" s="108">
        <v>25174792</v>
      </c>
      <c r="D64" s="109">
        <f t="shared" si="4"/>
        <v>13414859</v>
      </c>
      <c r="E64" s="110">
        <f t="shared" si="0"/>
        <v>9647412.75</v>
      </c>
      <c r="F64" s="110">
        <f t="shared" si="1"/>
        <v>3858965.1</v>
      </c>
      <c r="G64" s="110">
        <f t="shared" si="2"/>
        <v>5788447.6499999994</v>
      </c>
      <c r="H64" s="111">
        <f t="shared" si="3"/>
        <v>0.34762840949248286</v>
      </c>
    </row>
    <row r="65" spans="1:8">
      <c r="A65" s="104">
        <v>45267</v>
      </c>
      <c r="B65" s="108">
        <v>37497995</v>
      </c>
      <c r="C65" s="108">
        <v>26991884</v>
      </c>
      <c r="D65" s="109">
        <f t="shared" si="4"/>
        <v>10506111</v>
      </c>
      <c r="E65" s="110">
        <f t="shared" si="0"/>
        <v>9374498.75</v>
      </c>
      <c r="F65" s="110">
        <f t="shared" si="1"/>
        <v>3749799.5</v>
      </c>
      <c r="G65" s="110">
        <f t="shared" si="2"/>
        <v>5624699.25</v>
      </c>
      <c r="H65" s="111">
        <f t="shared" si="3"/>
        <v>0.28017794018053499</v>
      </c>
    </row>
    <row r="66" spans="1:8">
      <c r="A66" s="104">
        <v>45268</v>
      </c>
      <c r="B66" s="108">
        <v>38779965</v>
      </c>
      <c r="C66" s="108">
        <v>27145146</v>
      </c>
      <c r="D66" s="109">
        <f t="shared" si="4"/>
        <v>11634819</v>
      </c>
      <c r="E66" s="110">
        <f t="shared" si="0"/>
        <v>9694991.25</v>
      </c>
      <c r="F66" s="110">
        <f t="shared" si="1"/>
        <v>3877996.5</v>
      </c>
      <c r="G66" s="110">
        <f t="shared" si="2"/>
        <v>5816994.75</v>
      </c>
      <c r="H66" s="111">
        <f t="shared" si="3"/>
        <v>0.30002138991100175</v>
      </c>
    </row>
    <row r="67" spans="1:8">
      <c r="A67" s="104">
        <v>45269</v>
      </c>
      <c r="B67" s="108">
        <v>39221199</v>
      </c>
      <c r="C67" s="108">
        <v>30601172</v>
      </c>
      <c r="D67" s="109">
        <f t="shared" si="4"/>
        <v>8620027</v>
      </c>
      <c r="E67" s="110">
        <f t="shared" si="0"/>
        <v>9805299.75</v>
      </c>
      <c r="F67" s="110">
        <f t="shared" ref="F67:F130" si="5">B67*0.1</f>
        <v>3922119.9000000004</v>
      </c>
      <c r="G67" s="110">
        <f t="shared" ref="G67:G130" si="6">B67*0.15</f>
        <v>5883179.8499999996</v>
      </c>
      <c r="H67" s="111">
        <f t="shared" ref="H67:H130" si="7">D67/B67</f>
        <v>0.21977979306547971</v>
      </c>
    </row>
    <row r="68" spans="1:8">
      <c r="A68" s="104">
        <v>45270</v>
      </c>
      <c r="B68" s="44">
        <v>40046733</v>
      </c>
      <c r="C68" s="44">
        <v>31099879</v>
      </c>
      <c r="D68" s="110">
        <f t="shared" si="4"/>
        <v>8946854</v>
      </c>
      <c r="E68" s="110">
        <f t="shared" si="0"/>
        <v>10011683.25</v>
      </c>
      <c r="F68" s="110">
        <f t="shared" si="5"/>
        <v>4004673.3000000003</v>
      </c>
      <c r="G68" s="110">
        <f t="shared" si="6"/>
        <v>6007009.9500000002</v>
      </c>
      <c r="H68" s="111">
        <f t="shared" si="7"/>
        <v>0.22341033412138764</v>
      </c>
    </row>
    <row r="69" spans="1:8">
      <c r="A69" s="104">
        <v>45273</v>
      </c>
      <c r="B69" s="108">
        <v>41433877</v>
      </c>
      <c r="C69" s="108">
        <v>36235305</v>
      </c>
      <c r="D69" s="109">
        <f t="shared" si="4"/>
        <v>5198572</v>
      </c>
      <c r="E69" s="110">
        <f t="shared" si="0"/>
        <v>10358469.25</v>
      </c>
      <c r="F69" s="110">
        <f t="shared" si="5"/>
        <v>4143387.7</v>
      </c>
      <c r="G69" s="110">
        <f t="shared" si="6"/>
        <v>6215081.5499999998</v>
      </c>
      <c r="H69" s="111">
        <f t="shared" si="7"/>
        <v>0.12546670445539046</v>
      </c>
    </row>
    <row r="70" spans="1:8">
      <c r="A70" s="104">
        <v>45274</v>
      </c>
      <c r="B70" s="108">
        <v>48412700</v>
      </c>
      <c r="C70" s="108">
        <v>39159989</v>
      </c>
      <c r="D70" s="109">
        <f t="shared" si="4"/>
        <v>9252711</v>
      </c>
      <c r="E70" s="110">
        <f t="shared" si="0"/>
        <v>12103175</v>
      </c>
      <c r="F70" s="110">
        <f t="shared" si="5"/>
        <v>4841270</v>
      </c>
      <c r="G70" s="110">
        <f t="shared" si="6"/>
        <v>7261905</v>
      </c>
      <c r="H70" s="111">
        <f t="shared" si="7"/>
        <v>0.19112156520912901</v>
      </c>
    </row>
    <row r="71" spans="1:8">
      <c r="A71" s="104">
        <v>45275</v>
      </c>
      <c r="B71" s="108">
        <v>48982899</v>
      </c>
      <c r="C71" s="108">
        <v>41699794</v>
      </c>
      <c r="D71" s="109">
        <f t="shared" si="4"/>
        <v>7283105</v>
      </c>
      <c r="E71" s="110">
        <f t="shared" si="0"/>
        <v>12245724.75</v>
      </c>
      <c r="F71" s="110">
        <f t="shared" si="5"/>
        <v>4898289.9000000004</v>
      </c>
      <c r="G71" s="110">
        <f t="shared" si="6"/>
        <v>7347434.8499999996</v>
      </c>
      <c r="H71" s="111">
        <f t="shared" si="7"/>
        <v>0.14868668757233008</v>
      </c>
    </row>
    <row r="72" spans="1:8">
      <c r="A72" s="104">
        <v>45279</v>
      </c>
      <c r="B72" s="108">
        <v>49253294</v>
      </c>
      <c r="C72" s="108">
        <v>43217397</v>
      </c>
      <c r="D72" s="109">
        <f t="shared" si="4"/>
        <v>6035897</v>
      </c>
      <c r="E72" s="110">
        <f t="shared" si="0"/>
        <v>12313323.5</v>
      </c>
      <c r="F72" s="110">
        <f t="shared" si="5"/>
        <v>4925329.4000000004</v>
      </c>
      <c r="G72" s="110">
        <f t="shared" si="6"/>
        <v>7387994.0999999996</v>
      </c>
      <c r="H72" s="111">
        <f t="shared" si="7"/>
        <v>0.12254808784971824</v>
      </c>
    </row>
    <row r="73" spans="1:8">
      <c r="A73" s="104">
        <v>45280</v>
      </c>
      <c r="B73" s="108">
        <v>52101783</v>
      </c>
      <c r="C73" s="108">
        <v>43891598</v>
      </c>
      <c r="D73" s="109">
        <f t="shared" si="4"/>
        <v>8210185</v>
      </c>
      <c r="E73" s="110">
        <f t="shared" si="0"/>
        <v>13025445.75</v>
      </c>
      <c r="F73" s="110">
        <f t="shared" si="5"/>
        <v>5210178.3000000007</v>
      </c>
      <c r="G73" s="110">
        <f t="shared" si="6"/>
        <v>7815267.4499999993</v>
      </c>
      <c r="H73" s="111">
        <f t="shared" si="7"/>
        <v>0.15757973196425926</v>
      </c>
    </row>
    <row r="74" spans="1:8">
      <c r="A74" s="104">
        <v>45281</v>
      </c>
      <c r="B74" s="108">
        <v>48364202</v>
      </c>
      <c r="C74" s="108">
        <v>43682723</v>
      </c>
      <c r="D74" s="109">
        <f t="shared" si="4"/>
        <v>4681479</v>
      </c>
      <c r="E74" s="110">
        <f t="shared" si="0"/>
        <v>12091050.5</v>
      </c>
      <c r="F74" s="110">
        <f t="shared" si="5"/>
        <v>4836420.2</v>
      </c>
      <c r="G74" s="110">
        <f t="shared" si="6"/>
        <v>7254630.2999999998</v>
      </c>
      <c r="H74" s="111">
        <f t="shared" si="7"/>
        <v>9.6796366039493431E-2</v>
      </c>
    </row>
    <row r="75" spans="1:8">
      <c r="A75" s="104">
        <v>45282</v>
      </c>
      <c r="B75" s="108">
        <v>50482833</v>
      </c>
      <c r="C75" s="108">
        <v>43226650</v>
      </c>
      <c r="D75" s="109">
        <f t="shared" si="4"/>
        <v>7256183</v>
      </c>
      <c r="E75" s="110">
        <f t="shared" si="0"/>
        <v>12620708.25</v>
      </c>
      <c r="F75" s="110">
        <f t="shared" si="5"/>
        <v>5048283.3000000007</v>
      </c>
      <c r="G75" s="110">
        <f t="shared" si="6"/>
        <v>7572424.9499999993</v>
      </c>
      <c r="H75" s="111">
        <f t="shared" si="7"/>
        <v>0.14373565366270152</v>
      </c>
    </row>
    <row r="76" spans="1:8">
      <c r="A76" s="104">
        <v>45283</v>
      </c>
      <c r="B76" s="108">
        <v>50993131</v>
      </c>
      <c r="C76" s="108">
        <v>43678462</v>
      </c>
      <c r="D76" s="109">
        <f t="shared" si="4"/>
        <v>7314669</v>
      </c>
      <c r="E76" s="110">
        <f t="shared" si="0"/>
        <v>12748282.75</v>
      </c>
      <c r="F76" s="110">
        <f t="shared" si="5"/>
        <v>5099313.1000000006</v>
      </c>
      <c r="G76" s="110">
        <f t="shared" si="6"/>
        <v>7648969.6499999994</v>
      </c>
      <c r="H76" s="111">
        <f t="shared" si="7"/>
        <v>0.14344420231815144</v>
      </c>
    </row>
    <row r="77" spans="1:8">
      <c r="A77" s="104">
        <v>45287</v>
      </c>
      <c r="B77" s="108">
        <v>53623357</v>
      </c>
      <c r="C77" s="108">
        <v>44389817</v>
      </c>
      <c r="D77" s="109">
        <f t="shared" si="4"/>
        <v>9233540</v>
      </c>
      <c r="E77" s="110">
        <f t="shared" si="0"/>
        <v>13405839.25</v>
      </c>
      <c r="F77" s="110">
        <f t="shared" si="5"/>
        <v>5362335.7</v>
      </c>
      <c r="G77" s="110">
        <f t="shared" si="6"/>
        <v>8043503.5499999998</v>
      </c>
      <c r="H77" s="111">
        <f t="shared" si="7"/>
        <v>0.1721925018607097</v>
      </c>
    </row>
    <row r="78" spans="1:8">
      <c r="A78" s="104">
        <v>45288</v>
      </c>
      <c r="B78" s="108">
        <v>55498567</v>
      </c>
      <c r="C78" s="108">
        <v>44897601</v>
      </c>
      <c r="D78" s="109">
        <f t="shared" si="4"/>
        <v>10600966</v>
      </c>
      <c r="E78" s="110">
        <f t="shared" si="0"/>
        <v>13874641.75</v>
      </c>
      <c r="F78" s="110">
        <f t="shared" si="5"/>
        <v>5549856.7000000002</v>
      </c>
      <c r="G78" s="110">
        <f t="shared" si="6"/>
        <v>8324785.0499999998</v>
      </c>
      <c r="H78" s="111">
        <f t="shared" si="7"/>
        <v>0.19101332832611695</v>
      </c>
    </row>
    <row r="79" spans="1:8">
      <c r="A79" s="104">
        <v>45289</v>
      </c>
      <c r="B79" s="108">
        <v>54989549</v>
      </c>
      <c r="C79" s="108">
        <v>44630845</v>
      </c>
      <c r="D79" s="109">
        <f t="shared" si="4"/>
        <v>10358704</v>
      </c>
      <c r="E79" s="110">
        <f t="shared" si="0"/>
        <v>13747387.25</v>
      </c>
      <c r="F79" s="110">
        <f t="shared" si="5"/>
        <v>5498954.9000000004</v>
      </c>
      <c r="G79" s="110">
        <f t="shared" si="6"/>
        <v>8248432.3499999996</v>
      </c>
      <c r="H79" s="111">
        <f t="shared" si="7"/>
        <v>0.18837586756712627</v>
      </c>
    </row>
    <row r="80" spans="1:8">
      <c r="A80" s="104">
        <v>45290</v>
      </c>
      <c r="B80" s="108">
        <v>51945592</v>
      </c>
      <c r="C80" s="108">
        <v>43739241</v>
      </c>
      <c r="D80" s="109">
        <f t="shared" si="4"/>
        <v>8206351</v>
      </c>
      <c r="E80" s="110">
        <f t="shared" si="0"/>
        <v>12986398</v>
      </c>
      <c r="F80" s="110">
        <f t="shared" si="5"/>
        <v>5194559.2</v>
      </c>
      <c r="G80" s="110">
        <f t="shared" si="6"/>
        <v>7791838.7999999998</v>
      </c>
      <c r="H80" s="111">
        <f t="shared" si="7"/>
        <v>0.15797973772250012</v>
      </c>
    </row>
    <row r="81" spans="1:8">
      <c r="A81" s="104">
        <v>45294</v>
      </c>
      <c r="B81" s="108">
        <v>48930670</v>
      </c>
      <c r="C81" s="108">
        <v>32792274</v>
      </c>
      <c r="D81" s="109">
        <f t="shared" si="4"/>
        <v>16138396</v>
      </c>
      <c r="E81" s="110">
        <f t="shared" si="0"/>
        <v>12232667.5</v>
      </c>
      <c r="F81" s="110">
        <f t="shared" si="5"/>
        <v>4893067</v>
      </c>
      <c r="G81" s="110">
        <f t="shared" si="6"/>
        <v>7339600.5</v>
      </c>
      <c r="H81" s="111">
        <f t="shared" si="7"/>
        <v>0.32982168443636678</v>
      </c>
    </row>
    <row r="82" spans="1:8">
      <c r="A82" s="104">
        <v>45295</v>
      </c>
      <c r="B82" s="108">
        <v>46117336</v>
      </c>
      <c r="C82" s="108">
        <v>17138466</v>
      </c>
      <c r="D82" s="109">
        <f t="shared" si="4"/>
        <v>28978870</v>
      </c>
      <c r="E82" s="110">
        <f t="shared" si="0"/>
        <v>11529334</v>
      </c>
      <c r="F82" s="110">
        <f t="shared" si="5"/>
        <v>4611733.6000000006</v>
      </c>
      <c r="G82" s="110">
        <f t="shared" si="6"/>
        <v>6917600.3999999994</v>
      </c>
      <c r="H82" s="111">
        <f t="shared" si="7"/>
        <v>0.62837259290085623</v>
      </c>
    </row>
    <row r="83" spans="1:8">
      <c r="A83" s="104">
        <v>45296</v>
      </c>
      <c r="B83" s="108">
        <v>45675578</v>
      </c>
      <c r="C83" s="108">
        <v>17435042</v>
      </c>
      <c r="D83" s="109">
        <f t="shared" si="4"/>
        <v>28240536</v>
      </c>
      <c r="E83" s="110">
        <f t="shared" si="0"/>
        <v>11418894.5</v>
      </c>
      <c r="F83" s="110">
        <f t="shared" si="5"/>
        <v>4567557.8</v>
      </c>
      <c r="G83" s="110">
        <f t="shared" si="6"/>
        <v>6851336.7000000002</v>
      </c>
      <c r="H83" s="111">
        <f t="shared" si="7"/>
        <v>0.61828524643957439</v>
      </c>
    </row>
    <row r="84" spans="1:8">
      <c r="A84" s="104">
        <v>45297</v>
      </c>
      <c r="B84" s="108">
        <v>45622426</v>
      </c>
      <c r="C84" s="108">
        <v>17107878</v>
      </c>
      <c r="D84" s="109">
        <f t="shared" si="4"/>
        <v>28514548</v>
      </c>
      <c r="E84" s="110">
        <f t="shared" si="0"/>
        <v>11405606.5</v>
      </c>
      <c r="F84" s="110">
        <f t="shared" si="5"/>
        <v>4562242.6000000006</v>
      </c>
      <c r="G84" s="110">
        <f t="shared" si="6"/>
        <v>6843363.8999999994</v>
      </c>
      <c r="H84" s="111">
        <f t="shared" si="7"/>
        <v>0.6250116554520796</v>
      </c>
    </row>
    <row r="85" spans="1:8">
      <c r="A85" s="104">
        <v>45300</v>
      </c>
      <c r="B85" s="108">
        <v>46878480</v>
      </c>
      <c r="C85" s="108">
        <v>17383200</v>
      </c>
      <c r="D85" s="109">
        <f t="shared" si="4"/>
        <v>29495280</v>
      </c>
      <c r="E85" s="110">
        <f t="shared" si="0"/>
        <v>11719620</v>
      </c>
      <c r="F85" s="110">
        <f t="shared" si="5"/>
        <v>4687848</v>
      </c>
      <c r="G85" s="110">
        <f t="shared" si="6"/>
        <v>7031772</v>
      </c>
      <c r="H85" s="111">
        <f t="shared" si="7"/>
        <v>0.62918592923661343</v>
      </c>
    </row>
    <row r="86" spans="1:8">
      <c r="A86" s="104">
        <v>45301</v>
      </c>
      <c r="B86" s="108">
        <v>46427937</v>
      </c>
      <c r="C86" s="108">
        <v>17329139</v>
      </c>
      <c r="D86" s="109">
        <f t="shared" si="4"/>
        <v>29098798</v>
      </c>
      <c r="E86" s="110">
        <f t="shared" si="0"/>
        <v>11606984.25</v>
      </c>
      <c r="F86" s="110">
        <f t="shared" si="5"/>
        <v>4642793.7</v>
      </c>
      <c r="G86" s="110">
        <f t="shared" si="6"/>
        <v>6964190.5499999998</v>
      </c>
      <c r="H86" s="111">
        <f t="shared" si="7"/>
        <v>0.62675190586219676</v>
      </c>
    </row>
    <row r="87" spans="1:8">
      <c r="A87" s="104">
        <v>45302</v>
      </c>
      <c r="B87" s="108">
        <v>46836742</v>
      </c>
      <c r="C87" s="108">
        <v>17672714</v>
      </c>
      <c r="D87" s="109">
        <f t="shared" si="4"/>
        <v>29164028</v>
      </c>
      <c r="E87" s="110">
        <f t="shared" si="0"/>
        <v>11709185.5</v>
      </c>
      <c r="F87" s="110">
        <f t="shared" si="5"/>
        <v>4683674.2</v>
      </c>
      <c r="G87" s="110">
        <f t="shared" si="6"/>
        <v>7025511.2999999998</v>
      </c>
      <c r="H87" s="111">
        <f t="shared" si="7"/>
        <v>0.62267413903383806</v>
      </c>
    </row>
    <row r="88" spans="1:8">
      <c r="A88" s="104">
        <v>45303</v>
      </c>
      <c r="B88" s="108">
        <v>46185884</v>
      </c>
      <c r="C88" s="108">
        <v>17237867</v>
      </c>
      <c r="D88" s="109">
        <f t="shared" si="4"/>
        <v>28948017</v>
      </c>
      <c r="E88" s="110">
        <f t="shared" si="0"/>
        <v>11546471</v>
      </c>
      <c r="F88" s="110">
        <f t="shared" si="5"/>
        <v>4618588.4000000004</v>
      </c>
      <c r="G88" s="110">
        <f t="shared" si="6"/>
        <v>6927882.5999999996</v>
      </c>
      <c r="H88" s="111">
        <f t="shared" si="7"/>
        <v>0.62677195915531247</v>
      </c>
    </row>
    <row r="89" spans="1:8">
      <c r="A89" s="104">
        <v>45304</v>
      </c>
      <c r="B89" s="108">
        <v>45965760</v>
      </c>
      <c r="C89" s="108">
        <v>17193669</v>
      </c>
      <c r="D89" s="109">
        <f t="shared" si="4"/>
        <v>28772091</v>
      </c>
      <c r="E89" s="110">
        <f t="shared" si="0"/>
        <v>11491440</v>
      </c>
      <c r="F89" s="110">
        <f t="shared" si="5"/>
        <v>4596576</v>
      </c>
      <c r="G89" s="110">
        <f t="shared" si="6"/>
        <v>6894864</v>
      </c>
      <c r="H89" s="111">
        <f t="shared" si="7"/>
        <v>0.62594616079446963</v>
      </c>
    </row>
    <row r="90" spans="1:8">
      <c r="A90" s="104">
        <v>45308</v>
      </c>
      <c r="B90" s="108">
        <v>45074382</v>
      </c>
      <c r="C90" s="108">
        <v>17092933</v>
      </c>
      <c r="D90" s="109">
        <f t="shared" si="4"/>
        <v>27981449</v>
      </c>
      <c r="E90" s="110">
        <f t="shared" si="0"/>
        <v>11268595.5</v>
      </c>
      <c r="F90" s="110">
        <f t="shared" si="5"/>
        <v>4507438.2</v>
      </c>
      <c r="G90" s="110">
        <f t="shared" si="6"/>
        <v>6761157.2999999998</v>
      </c>
      <c r="H90" s="111">
        <f t="shared" si="7"/>
        <v>0.62078386343710712</v>
      </c>
    </row>
    <row r="91" spans="1:8">
      <c r="A91" s="104">
        <v>45309</v>
      </c>
      <c r="B91" s="108">
        <v>44559895</v>
      </c>
      <c r="C91" s="108">
        <v>17216261</v>
      </c>
      <c r="D91" s="109">
        <f t="shared" si="4"/>
        <v>27343634</v>
      </c>
      <c r="E91" s="110">
        <f t="shared" ref="E91:E154" si="8">B91*0.25</f>
        <v>11139973.75</v>
      </c>
      <c r="F91" s="110">
        <f t="shared" si="5"/>
        <v>4455989.5</v>
      </c>
      <c r="G91" s="110">
        <f t="shared" si="6"/>
        <v>6683984.25</v>
      </c>
      <c r="H91" s="111">
        <f t="shared" si="7"/>
        <v>0.61363775655216424</v>
      </c>
    </row>
    <row r="92" spans="1:8">
      <c r="A92" s="104">
        <v>45310</v>
      </c>
      <c r="B92" s="108">
        <v>44886316</v>
      </c>
      <c r="C92" s="108">
        <v>17381036</v>
      </c>
      <c r="D92" s="109">
        <f t="shared" si="4"/>
        <v>27505280</v>
      </c>
      <c r="E92" s="110">
        <f t="shared" si="8"/>
        <v>11221579</v>
      </c>
      <c r="F92" s="110">
        <f t="shared" si="5"/>
        <v>4488631.6000000006</v>
      </c>
      <c r="G92" s="110">
        <f t="shared" si="6"/>
        <v>6732947.3999999994</v>
      </c>
      <c r="H92" s="111">
        <f t="shared" si="7"/>
        <v>0.61277650854661359</v>
      </c>
    </row>
    <row r="93" spans="1:8">
      <c r="A93" s="104">
        <v>45311</v>
      </c>
      <c r="B93" s="108">
        <v>45949693</v>
      </c>
      <c r="C93" s="108">
        <v>17706156</v>
      </c>
      <c r="D93" s="109">
        <f t="shared" si="4"/>
        <v>28243537</v>
      </c>
      <c r="E93" s="110">
        <f t="shared" si="8"/>
        <v>11487423.25</v>
      </c>
      <c r="F93" s="110">
        <f t="shared" si="5"/>
        <v>4594969.3</v>
      </c>
      <c r="G93" s="110">
        <f t="shared" si="6"/>
        <v>6892453.9500000002</v>
      </c>
      <c r="H93" s="111">
        <f t="shared" si="7"/>
        <v>0.61466214801478647</v>
      </c>
    </row>
    <row r="94" spans="1:8">
      <c r="A94" s="104">
        <v>45314</v>
      </c>
      <c r="B94" s="108">
        <v>46511793</v>
      </c>
      <c r="C94" s="108">
        <v>17989444</v>
      </c>
      <c r="D94" s="109">
        <f t="shared" si="4"/>
        <v>28522349</v>
      </c>
      <c r="E94" s="110">
        <f t="shared" si="8"/>
        <v>11627948.25</v>
      </c>
      <c r="F94" s="110">
        <f t="shared" si="5"/>
        <v>4651179.3</v>
      </c>
      <c r="G94" s="110">
        <f t="shared" si="6"/>
        <v>6976768.9500000002</v>
      </c>
      <c r="H94" s="111">
        <f t="shared" si="7"/>
        <v>0.61322832684605388</v>
      </c>
    </row>
    <row r="95" spans="1:8">
      <c r="A95" s="104">
        <v>45315</v>
      </c>
      <c r="B95" s="108">
        <v>46796424</v>
      </c>
      <c r="C95" s="108">
        <v>18261819</v>
      </c>
      <c r="D95" s="109">
        <f t="shared" si="4"/>
        <v>28534605</v>
      </c>
      <c r="E95" s="110">
        <f t="shared" si="8"/>
        <v>11699106</v>
      </c>
      <c r="F95" s="110">
        <f t="shared" si="5"/>
        <v>4679642.4000000004</v>
      </c>
      <c r="G95" s="110">
        <f t="shared" si="6"/>
        <v>7019463.5999999996</v>
      </c>
      <c r="H95" s="111">
        <f t="shared" si="7"/>
        <v>0.60976037399780803</v>
      </c>
    </row>
    <row r="96" spans="1:8">
      <c r="A96" s="104">
        <v>45316</v>
      </c>
      <c r="B96" s="108">
        <v>46393247</v>
      </c>
      <c r="C96" s="108">
        <v>18642919</v>
      </c>
      <c r="D96" s="109">
        <f t="shared" si="4"/>
        <v>27750328</v>
      </c>
      <c r="E96" s="110">
        <f t="shared" si="8"/>
        <v>11598311.75</v>
      </c>
      <c r="F96" s="110">
        <f t="shared" si="5"/>
        <v>4639324.7</v>
      </c>
      <c r="G96" s="110">
        <f t="shared" si="6"/>
        <v>6958987.0499999998</v>
      </c>
      <c r="H96" s="111">
        <f t="shared" si="7"/>
        <v>0.5981544684725344</v>
      </c>
    </row>
    <row r="97" spans="1:8">
      <c r="A97" s="104">
        <v>45317</v>
      </c>
      <c r="B97" s="108">
        <v>45594164</v>
      </c>
      <c r="C97" s="108">
        <v>18721330</v>
      </c>
      <c r="D97" s="109">
        <f t="shared" si="4"/>
        <v>26872834</v>
      </c>
      <c r="E97" s="110">
        <f t="shared" si="8"/>
        <v>11398541</v>
      </c>
      <c r="F97" s="110">
        <f t="shared" si="5"/>
        <v>4559416.4000000004</v>
      </c>
      <c r="G97" s="110">
        <f t="shared" si="6"/>
        <v>6839124.5999999996</v>
      </c>
      <c r="H97" s="111">
        <f t="shared" si="7"/>
        <v>0.58939196691927498</v>
      </c>
    </row>
    <row r="98" spans="1:8">
      <c r="A98" s="104">
        <v>45318</v>
      </c>
      <c r="B98" s="108">
        <v>45573906</v>
      </c>
      <c r="C98" s="108">
        <v>18571058</v>
      </c>
      <c r="D98" s="109">
        <f t="shared" si="4"/>
        <v>27002848</v>
      </c>
      <c r="E98" s="110">
        <f t="shared" si="8"/>
        <v>11393476.5</v>
      </c>
      <c r="F98" s="110">
        <f t="shared" si="5"/>
        <v>4557390.6000000006</v>
      </c>
      <c r="G98" s="110">
        <f t="shared" si="6"/>
        <v>6836085.8999999994</v>
      </c>
      <c r="H98" s="111">
        <f t="shared" si="7"/>
        <v>0.5925067735032411</v>
      </c>
    </row>
    <row r="99" spans="1:8">
      <c r="A99" s="104">
        <v>45321</v>
      </c>
      <c r="B99" s="108">
        <v>47135497</v>
      </c>
      <c r="C99" s="108">
        <v>18986842</v>
      </c>
      <c r="D99" s="109">
        <f t="shared" si="4"/>
        <v>28148655</v>
      </c>
      <c r="E99" s="110">
        <f t="shared" si="8"/>
        <v>11783874.25</v>
      </c>
      <c r="F99" s="110">
        <f t="shared" si="5"/>
        <v>4713549.7</v>
      </c>
      <c r="G99" s="110">
        <f t="shared" si="6"/>
        <v>7070324.5499999998</v>
      </c>
      <c r="H99" s="111">
        <f t="shared" si="7"/>
        <v>0.59718591701706258</v>
      </c>
    </row>
    <row r="100" spans="1:8">
      <c r="A100" s="104">
        <v>45322</v>
      </c>
      <c r="B100" s="108">
        <v>46494578</v>
      </c>
      <c r="C100" s="108">
        <v>18297667</v>
      </c>
      <c r="D100" s="109">
        <f t="shared" si="4"/>
        <v>28196911</v>
      </c>
      <c r="E100" s="110">
        <f t="shared" si="8"/>
        <v>11623644.5</v>
      </c>
      <c r="F100" s="110">
        <f t="shared" si="5"/>
        <v>4649457.8</v>
      </c>
      <c r="G100" s="110">
        <f t="shared" si="6"/>
        <v>6974186.7000000002</v>
      </c>
      <c r="H100" s="111">
        <f t="shared" si="7"/>
        <v>0.60645589685747869</v>
      </c>
    </row>
    <row r="101" spans="1:8">
      <c r="A101" s="104">
        <v>45323</v>
      </c>
      <c r="B101" s="108">
        <v>45551317</v>
      </c>
      <c r="C101" s="108">
        <v>13053131</v>
      </c>
      <c r="D101" s="109">
        <f t="shared" si="4"/>
        <v>32498186</v>
      </c>
      <c r="E101" s="110">
        <f t="shared" si="8"/>
        <v>11387829.25</v>
      </c>
      <c r="F101" s="110">
        <f t="shared" si="5"/>
        <v>4555131.7</v>
      </c>
      <c r="G101" s="110">
        <f t="shared" si="6"/>
        <v>6832697.5499999998</v>
      </c>
      <c r="H101" s="111">
        <f t="shared" si="7"/>
        <v>0.71344119424691932</v>
      </c>
    </row>
    <row r="102" spans="1:8">
      <c r="A102" s="104">
        <v>45324</v>
      </c>
      <c r="B102" s="108">
        <v>48327941</v>
      </c>
      <c r="C102" s="108">
        <v>13605666</v>
      </c>
      <c r="D102" s="109">
        <f t="shared" si="4"/>
        <v>34722275</v>
      </c>
      <c r="E102" s="110">
        <f t="shared" si="8"/>
        <v>12081985.25</v>
      </c>
      <c r="F102" s="110">
        <f t="shared" si="5"/>
        <v>4832794.1000000006</v>
      </c>
      <c r="G102" s="110">
        <f t="shared" si="6"/>
        <v>7249191.1499999994</v>
      </c>
      <c r="H102" s="111">
        <f t="shared" si="7"/>
        <v>0.71847205325796937</v>
      </c>
    </row>
    <row r="103" spans="1:8">
      <c r="A103" s="104">
        <v>45325</v>
      </c>
      <c r="B103" s="108">
        <v>47999886</v>
      </c>
      <c r="C103" s="108">
        <v>12924241</v>
      </c>
      <c r="D103" s="109">
        <f t="shared" si="4"/>
        <v>35075645</v>
      </c>
      <c r="E103" s="110">
        <f t="shared" si="8"/>
        <v>11999971.5</v>
      </c>
      <c r="F103" s="110">
        <f t="shared" si="5"/>
        <v>4799988.6000000006</v>
      </c>
      <c r="G103" s="110">
        <f t="shared" si="6"/>
        <v>7199982.8999999994</v>
      </c>
      <c r="H103" s="111">
        <f t="shared" si="7"/>
        <v>0.73074433968447339</v>
      </c>
    </row>
    <row r="104" spans="1:8">
      <c r="A104" s="104">
        <v>45328</v>
      </c>
      <c r="B104" s="108">
        <v>46680922</v>
      </c>
      <c r="C104" s="108">
        <v>12690647</v>
      </c>
      <c r="D104" s="109">
        <f t="shared" si="4"/>
        <v>33990275</v>
      </c>
      <c r="E104" s="110">
        <f t="shared" si="8"/>
        <v>11670230.5</v>
      </c>
      <c r="F104" s="110">
        <f t="shared" si="5"/>
        <v>4668092.2</v>
      </c>
      <c r="G104" s="110">
        <f t="shared" si="6"/>
        <v>7002138.2999999998</v>
      </c>
      <c r="H104" s="111">
        <f t="shared" si="7"/>
        <v>0.72814060956208193</v>
      </c>
    </row>
    <row r="105" spans="1:8">
      <c r="A105" s="104">
        <v>45329</v>
      </c>
      <c r="B105" s="108">
        <v>47191772</v>
      </c>
      <c r="C105" s="108">
        <v>9202363</v>
      </c>
      <c r="D105" s="109">
        <f t="shared" si="4"/>
        <v>37989409</v>
      </c>
      <c r="E105" s="110">
        <f t="shared" si="8"/>
        <v>11797943</v>
      </c>
      <c r="F105" s="110">
        <f t="shared" si="5"/>
        <v>4719177.2</v>
      </c>
      <c r="G105" s="110">
        <f t="shared" si="6"/>
        <v>7078765.7999999998</v>
      </c>
      <c r="H105" s="111">
        <f t="shared" si="7"/>
        <v>0.80500068952697945</v>
      </c>
    </row>
    <row r="106" spans="1:8">
      <c r="A106" s="104">
        <v>45330</v>
      </c>
      <c r="B106" s="108">
        <v>47442248</v>
      </c>
      <c r="C106" s="108">
        <v>9656391</v>
      </c>
      <c r="D106" s="109">
        <f t="shared" si="4"/>
        <v>37785857</v>
      </c>
      <c r="E106" s="110">
        <f t="shared" si="8"/>
        <v>11860562</v>
      </c>
      <c r="F106" s="110">
        <f t="shared" si="5"/>
        <v>4744224.8</v>
      </c>
      <c r="G106" s="110">
        <f t="shared" si="6"/>
        <v>7116337.2000000002</v>
      </c>
      <c r="H106" s="111">
        <f t="shared" si="7"/>
        <v>0.7964600876417155</v>
      </c>
    </row>
    <row r="107" spans="1:8">
      <c r="A107" s="104">
        <v>45331</v>
      </c>
      <c r="B107" s="108">
        <v>46829945</v>
      </c>
      <c r="C107" s="108">
        <v>10018073</v>
      </c>
      <c r="D107" s="109">
        <f t="shared" si="4"/>
        <v>36811872</v>
      </c>
      <c r="E107" s="110">
        <f t="shared" si="8"/>
        <v>11707486.25</v>
      </c>
      <c r="F107" s="110">
        <f t="shared" si="5"/>
        <v>4682994.5</v>
      </c>
      <c r="G107" s="110">
        <f t="shared" si="6"/>
        <v>7024491.75</v>
      </c>
      <c r="H107" s="111">
        <f t="shared" si="7"/>
        <v>0.78607549079974359</v>
      </c>
    </row>
    <row r="108" spans="1:8">
      <c r="A108" s="104">
        <v>45332</v>
      </c>
      <c r="B108" s="108">
        <v>46764656</v>
      </c>
      <c r="C108" s="108">
        <v>10349895</v>
      </c>
      <c r="D108" s="109">
        <f t="shared" si="4"/>
        <v>36414761</v>
      </c>
      <c r="E108" s="110">
        <f t="shared" si="8"/>
        <v>11691164</v>
      </c>
      <c r="F108" s="110">
        <f t="shared" si="5"/>
        <v>4676465.6000000006</v>
      </c>
      <c r="G108" s="110">
        <f t="shared" si="6"/>
        <v>7014698.3999999994</v>
      </c>
      <c r="H108" s="111">
        <f t="shared" si="7"/>
        <v>0.7786812544927092</v>
      </c>
    </row>
    <row r="109" spans="1:8">
      <c r="A109" s="104">
        <v>45335</v>
      </c>
      <c r="B109" s="108">
        <v>47166506</v>
      </c>
      <c r="C109" s="108">
        <v>10801450</v>
      </c>
      <c r="D109" s="109">
        <f t="shared" si="4"/>
        <v>36365056</v>
      </c>
      <c r="E109" s="110">
        <f t="shared" si="8"/>
        <v>11791626.5</v>
      </c>
      <c r="F109" s="110">
        <f t="shared" si="5"/>
        <v>4716650.6000000006</v>
      </c>
      <c r="G109" s="110">
        <f t="shared" si="6"/>
        <v>7074975.8999999994</v>
      </c>
      <c r="H109" s="111">
        <f t="shared" si="7"/>
        <v>0.77099321285320566</v>
      </c>
    </row>
    <row r="110" spans="1:8">
      <c r="A110" s="104">
        <v>45336</v>
      </c>
      <c r="B110" s="108">
        <v>46190748</v>
      </c>
      <c r="C110" s="108">
        <v>11179505</v>
      </c>
      <c r="D110" s="109">
        <f t="shared" si="4"/>
        <v>35011243</v>
      </c>
      <c r="E110" s="110">
        <f t="shared" si="8"/>
        <v>11547687</v>
      </c>
      <c r="F110" s="110">
        <f t="shared" si="5"/>
        <v>4619074.8</v>
      </c>
      <c r="G110" s="110">
        <f t="shared" si="6"/>
        <v>6928612.2000000002</v>
      </c>
      <c r="H110" s="111">
        <f t="shared" si="7"/>
        <v>0.75797090361039399</v>
      </c>
    </row>
    <row r="111" spans="1:8">
      <c r="A111" s="104">
        <v>45337</v>
      </c>
      <c r="B111" s="108">
        <v>47180087</v>
      </c>
      <c r="C111" s="108">
        <v>11872216</v>
      </c>
      <c r="D111" s="109">
        <f t="shared" si="4"/>
        <v>35307871</v>
      </c>
      <c r="E111" s="110">
        <f t="shared" si="8"/>
        <v>11795021.75</v>
      </c>
      <c r="F111" s="110">
        <f t="shared" si="5"/>
        <v>4718008.7</v>
      </c>
      <c r="G111" s="110">
        <f t="shared" si="6"/>
        <v>7077013.0499999998</v>
      </c>
      <c r="H111" s="111">
        <f t="shared" si="7"/>
        <v>0.7483638383286576</v>
      </c>
    </row>
    <row r="112" spans="1:8">
      <c r="A112" s="104">
        <v>45338</v>
      </c>
      <c r="B112" s="108">
        <v>47914508</v>
      </c>
      <c r="C112" s="108">
        <v>12942673</v>
      </c>
      <c r="D112" s="109">
        <f t="shared" si="4"/>
        <v>34971835</v>
      </c>
      <c r="E112" s="110">
        <f t="shared" si="8"/>
        <v>11978627</v>
      </c>
      <c r="F112" s="110">
        <f t="shared" si="5"/>
        <v>4791450.8</v>
      </c>
      <c r="G112" s="110">
        <f t="shared" si="6"/>
        <v>7187176.2000000002</v>
      </c>
      <c r="H112" s="111">
        <f t="shared" si="7"/>
        <v>0.72987987270995247</v>
      </c>
    </row>
    <row r="113" spans="1:8">
      <c r="A113" s="104">
        <v>45342</v>
      </c>
      <c r="B113" s="108">
        <v>47795196</v>
      </c>
      <c r="C113" s="108">
        <v>13824012</v>
      </c>
      <c r="D113" s="109">
        <f t="shared" si="4"/>
        <v>33971184</v>
      </c>
      <c r="E113" s="110">
        <f t="shared" si="8"/>
        <v>11948799</v>
      </c>
      <c r="F113" s="110">
        <f t="shared" si="5"/>
        <v>4779519.6000000006</v>
      </c>
      <c r="G113" s="110">
        <f t="shared" si="6"/>
        <v>7169279.3999999994</v>
      </c>
      <c r="H113" s="111">
        <f t="shared" si="7"/>
        <v>0.71076565937714742</v>
      </c>
    </row>
    <row r="114" spans="1:8">
      <c r="A114" s="104">
        <v>45343</v>
      </c>
      <c r="B114" s="108">
        <v>47304521</v>
      </c>
      <c r="C114" s="108">
        <v>14392603</v>
      </c>
      <c r="D114" s="109">
        <f t="shared" si="4"/>
        <v>32911918</v>
      </c>
      <c r="E114" s="110">
        <f t="shared" si="8"/>
        <v>11826130.25</v>
      </c>
      <c r="F114" s="110">
        <f t="shared" si="5"/>
        <v>4730452.1000000006</v>
      </c>
      <c r="G114" s="110">
        <f t="shared" si="6"/>
        <v>7095678.1499999994</v>
      </c>
      <c r="H114" s="111">
        <f t="shared" si="7"/>
        <v>0.6957457195264698</v>
      </c>
    </row>
    <row r="115" spans="1:8">
      <c r="A115" s="104">
        <v>45344</v>
      </c>
      <c r="B115" s="108">
        <v>46924529</v>
      </c>
      <c r="C115" s="108">
        <v>13936525</v>
      </c>
      <c r="D115" s="109">
        <f t="shared" si="4"/>
        <v>32988004</v>
      </c>
      <c r="E115" s="110">
        <f t="shared" si="8"/>
        <v>11731132.25</v>
      </c>
      <c r="F115" s="110">
        <f t="shared" si="5"/>
        <v>4692452.9000000004</v>
      </c>
      <c r="G115" s="110">
        <f t="shared" si="6"/>
        <v>7038679.3499999996</v>
      </c>
      <c r="H115" s="111">
        <f t="shared" si="7"/>
        <v>0.70300128105707782</v>
      </c>
    </row>
    <row r="116" spans="1:8">
      <c r="A116" s="104">
        <v>45345</v>
      </c>
      <c r="B116" s="108">
        <v>47903233</v>
      </c>
      <c r="C116" s="108">
        <v>13026067</v>
      </c>
      <c r="D116" s="109">
        <f t="shared" si="4"/>
        <v>34877166</v>
      </c>
      <c r="E116" s="110">
        <f t="shared" si="8"/>
        <v>11975808.25</v>
      </c>
      <c r="F116" s="110">
        <f t="shared" si="5"/>
        <v>4790323.3</v>
      </c>
      <c r="G116" s="110">
        <f t="shared" si="6"/>
        <v>7185484.9500000002</v>
      </c>
      <c r="H116" s="111">
        <f t="shared" si="7"/>
        <v>0.72807540985803609</v>
      </c>
    </row>
    <row r="117" spans="1:8">
      <c r="A117" s="104">
        <v>45346</v>
      </c>
      <c r="B117" s="108">
        <v>47841693</v>
      </c>
      <c r="C117" s="108">
        <v>13938172</v>
      </c>
      <c r="D117" s="109">
        <f t="shared" si="4"/>
        <v>33903521</v>
      </c>
      <c r="E117" s="110">
        <f t="shared" si="8"/>
        <v>11960423.25</v>
      </c>
      <c r="F117" s="110">
        <f t="shared" si="5"/>
        <v>4784169.3</v>
      </c>
      <c r="G117" s="110">
        <f t="shared" si="6"/>
        <v>7176253.9500000002</v>
      </c>
      <c r="H117" s="111">
        <f t="shared" si="7"/>
        <v>0.70866056098809049</v>
      </c>
    </row>
    <row r="118" spans="1:8">
      <c r="A118" s="104">
        <v>45349</v>
      </c>
      <c r="B118" s="108">
        <v>47329910</v>
      </c>
      <c r="C118" s="108">
        <v>13564007</v>
      </c>
      <c r="D118" s="109">
        <f t="shared" si="4"/>
        <v>33765903</v>
      </c>
      <c r="E118" s="110">
        <f t="shared" si="8"/>
        <v>11832477.5</v>
      </c>
      <c r="F118" s="110">
        <f t="shared" si="5"/>
        <v>4732991</v>
      </c>
      <c r="G118" s="110">
        <f t="shared" si="6"/>
        <v>7099486.5</v>
      </c>
      <c r="H118" s="111">
        <f t="shared" si="7"/>
        <v>0.71341574492746762</v>
      </c>
    </row>
    <row r="119" spans="1:8">
      <c r="A119" s="104">
        <v>45350</v>
      </c>
      <c r="B119" s="108">
        <v>47177440</v>
      </c>
      <c r="C119" s="108">
        <v>14489194</v>
      </c>
      <c r="D119" s="109">
        <f t="shared" si="4"/>
        <v>32688246</v>
      </c>
      <c r="E119" s="110">
        <f t="shared" si="8"/>
        <v>11794360</v>
      </c>
      <c r="F119" s="110">
        <f t="shared" si="5"/>
        <v>4717744</v>
      </c>
      <c r="G119" s="110">
        <f t="shared" si="6"/>
        <v>7076616</v>
      </c>
      <c r="H119" s="111">
        <f t="shared" si="7"/>
        <v>0.69287875730433868</v>
      </c>
    </row>
    <row r="120" spans="1:8">
      <c r="A120" s="104">
        <v>45351</v>
      </c>
      <c r="B120" s="108">
        <v>46863637</v>
      </c>
      <c r="C120" s="108">
        <v>15259010</v>
      </c>
      <c r="D120" s="109">
        <f t="shared" si="4"/>
        <v>31604627</v>
      </c>
      <c r="E120" s="110">
        <f t="shared" si="8"/>
        <v>11715909.25</v>
      </c>
      <c r="F120" s="110">
        <f t="shared" si="5"/>
        <v>4686363.7</v>
      </c>
      <c r="G120" s="110">
        <f t="shared" si="6"/>
        <v>7029545.5499999998</v>
      </c>
      <c r="H120" s="111">
        <f t="shared" si="7"/>
        <v>0.67439552333507535</v>
      </c>
    </row>
    <row r="121" spans="1:8">
      <c r="A121" s="104">
        <v>45352</v>
      </c>
      <c r="B121" s="108">
        <v>47231335</v>
      </c>
      <c r="C121" s="108">
        <v>15987752</v>
      </c>
      <c r="D121" s="109">
        <f t="shared" si="4"/>
        <v>31243583</v>
      </c>
      <c r="E121" s="110">
        <f t="shared" si="8"/>
        <v>11807833.75</v>
      </c>
      <c r="F121" s="110">
        <f t="shared" si="5"/>
        <v>4723133.5</v>
      </c>
      <c r="G121" s="110">
        <f t="shared" si="6"/>
        <v>7084700.25</v>
      </c>
      <c r="H121" s="111">
        <f t="shared" si="7"/>
        <v>0.66150116231099543</v>
      </c>
    </row>
    <row r="122" spans="1:8">
      <c r="A122" s="104">
        <v>45353</v>
      </c>
      <c r="B122" s="108">
        <v>48873709</v>
      </c>
      <c r="C122" s="108">
        <v>16862647</v>
      </c>
      <c r="D122" s="109">
        <f t="shared" si="4"/>
        <v>32011062</v>
      </c>
      <c r="E122" s="110">
        <f t="shared" si="8"/>
        <v>12218427.25</v>
      </c>
      <c r="F122" s="110">
        <f t="shared" si="5"/>
        <v>4887370.9000000004</v>
      </c>
      <c r="G122" s="110">
        <f t="shared" si="6"/>
        <v>7331056.3499999996</v>
      </c>
      <c r="H122" s="111">
        <f t="shared" si="7"/>
        <v>0.65497509100444984</v>
      </c>
    </row>
    <row r="123" spans="1:8">
      <c r="A123" s="104">
        <v>45356</v>
      </c>
      <c r="B123" s="108">
        <v>49276938</v>
      </c>
      <c r="C123" s="108">
        <v>17584625</v>
      </c>
      <c r="D123" s="109">
        <f t="shared" si="4"/>
        <v>31692313</v>
      </c>
      <c r="E123" s="110">
        <f t="shared" si="8"/>
        <v>12319234.5</v>
      </c>
      <c r="F123" s="110">
        <f t="shared" si="5"/>
        <v>4927693.8</v>
      </c>
      <c r="G123" s="110">
        <f t="shared" si="6"/>
        <v>7391540.7000000002</v>
      </c>
      <c r="H123" s="111">
        <f t="shared" si="7"/>
        <v>0.64314696258115711</v>
      </c>
    </row>
    <row r="124" spans="1:8">
      <c r="A124" s="104">
        <v>45357</v>
      </c>
      <c r="B124" s="108">
        <v>48458117</v>
      </c>
      <c r="C124" s="108">
        <v>18138243</v>
      </c>
      <c r="D124" s="109">
        <f t="shared" si="4"/>
        <v>30319874</v>
      </c>
      <c r="E124" s="110">
        <f t="shared" si="8"/>
        <v>12114529.25</v>
      </c>
      <c r="F124" s="110">
        <f t="shared" si="5"/>
        <v>4845811.7</v>
      </c>
      <c r="G124" s="110">
        <f t="shared" si="6"/>
        <v>7268717.5499999998</v>
      </c>
      <c r="H124" s="111">
        <f t="shared" si="7"/>
        <v>0.62569236852517407</v>
      </c>
    </row>
    <row r="125" spans="1:8">
      <c r="A125" s="104">
        <v>45358</v>
      </c>
      <c r="B125" s="108">
        <v>49834703</v>
      </c>
      <c r="C125" s="108">
        <v>19079904</v>
      </c>
      <c r="D125" s="109">
        <f t="shared" si="4"/>
        <v>30754799</v>
      </c>
      <c r="E125" s="110">
        <f t="shared" si="8"/>
        <v>12458675.75</v>
      </c>
      <c r="F125" s="110">
        <f t="shared" si="5"/>
        <v>4983470.3</v>
      </c>
      <c r="G125" s="110">
        <f t="shared" si="6"/>
        <v>7475205.4500000002</v>
      </c>
      <c r="H125" s="111">
        <f t="shared" si="7"/>
        <v>0.61713619523326946</v>
      </c>
    </row>
    <row r="126" spans="1:8">
      <c r="A126" s="104">
        <v>45359</v>
      </c>
      <c r="B126" s="108">
        <v>51310355</v>
      </c>
      <c r="C126" s="108">
        <v>19369606</v>
      </c>
      <c r="D126" s="109">
        <f t="shared" si="4"/>
        <v>31940749</v>
      </c>
      <c r="E126" s="110">
        <f t="shared" si="8"/>
        <v>12827588.75</v>
      </c>
      <c r="F126" s="110">
        <f t="shared" si="5"/>
        <v>5131035.5</v>
      </c>
      <c r="G126" s="110">
        <f t="shared" si="6"/>
        <v>7696553.25</v>
      </c>
      <c r="H126" s="111">
        <f t="shared" si="7"/>
        <v>0.62250103317351824</v>
      </c>
    </row>
    <row r="127" spans="1:8">
      <c r="A127" s="104">
        <v>45362</v>
      </c>
      <c r="B127" s="108">
        <v>50097039</v>
      </c>
      <c r="C127" s="108">
        <v>19287527</v>
      </c>
      <c r="D127" s="109">
        <f t="shared" si="4"/>
        <v>30809512</v>
      </c>
      <c r="E127" s="110">
        <f t="shared" si="8"/>
        <v>12524259.75</v>
      </c>
      <c r="F127" s="110">
        <f t="shared" si="5"/>
        <v>5009703.9000000004</v>
      </c>
      <c r="G127" s="110">
        <f t="shared" si="6"/>
        <v>7514555.8499999996</v>
      </c>
      <c r="H127" s="111">
        <f t="shared" si="7"/>
        <v>0.61499666676906795</v>
      </c>
    </row>
    <row r="128" spans="1:8">
      <c r="A128" s="104">
        <v>45363</v>
      </c>
      <c r="B128" s="108">
        <v>49226383</v>
      </c>
      <c r="C128" s="108">
        <v>20002263</v>
      </c>
      <c r="D128" s="109">
        <f t="shared" si="4"/>
        <v>29224120</v>
      </c>
      <c r="E128" s="110">
        <f t="shared" si="8"/>
        <v>12306595.75</v>
      </c>
      <c r="F128" s="110">
        <f t="shared" si="5"/>
        <v>4922638.3</v>
      </c>
      <c r="G128" s="110">
        <f t="shared" si="6"/>
        <v>7383957.4500000002</v>
      </c>
      <c r="H128" s="111">
        <f t="shared" si="7"/>
        <v>0.59366783052088146</v>
      </c>
    </row>
    <row r="129" spans="1:13">
      <c r="A129" s="104">
        <v>45364</v>
      </c>
      <c r="B129" s="108">
        <v>50642448</v>
      </c>
      <c r="C129" s="108">
        <v>21024611</v>
      </c>
      <c r="D129" s="109">
        <f t="shared" si="4"/>
        <v>29617837</v>
      </c>
      <c r="E129" s="110">
        <f t="shared" si="8"/>
        <v>12660612</v>
      </c>
      <c r="F129" s="110">
        <f t="shared" si="5"/>
        <v>5064244.8000000007</v>
      </c>
      <c r="G129" s="110">
        <f t="shared" si="6"/>
        <v>7596367.1999999993</v>
      </c>
      <c r="H129" s="111">
        <f t="shared" si="7"/>
        <v>0.58484212690508164</v>
      </c>
    </row>
    <row r="130" spans="1:13">
      <c r="A130" s="104">
        <v>45365</v>
      </c>
      <c r="B130" s="108">
        <v>49524178</v>
      </c>
      <c r="C130" s="108">
        <v>22248025</v>
      </c>
      <c r="D130" s="109">
        <f t="shared" si="4"/>
        <v>27276153</v>
      </c>
      <c r="E130" s="110">
        <f t="shared" si="8"/>
        <v>12381044.5</v>
      </c>
      <c r="F130" s="110">
        <f t="shared" si="5"/>
        <v>4952417.8</v>
      </c>
      <c r="G130" s="110">
        <f t="shared" si="6"/>
        <v>7428626.7000000002</v>
      </c>
      <c r="H130" s="111">
        <f t="shared" si="7"/>
        <v>0.55076437613967055</v>
      </c>
    </row>
    <row r="131" spans="1:13">
      <c r="A131" s="104">
        <v>45366</v>
      </c>
      <c r="B131" s="108">
        <v>48177320</v>
      </c>
      <c r="C131" s="108">
        <v>22635167</v>
      </c>
      <c r="D131" s="109">
        <f t="shared" si="4"/>
        <v>25542153</v>
      </c>
      <c r="E131" s="110">
        <f t="shared" si="8"/>
        <v>12044330</v>
      </c>
      <c r="F131" s="110">
        <f t="shared" ref="F131:F186" si="9">B131*0.1</f>
        <v>4817732</v>
      </c>
      <c r="G131" s="110">
        <f t="shared" ref="G131:G186" si="10">B131*0.15</f>
        <v>7226598</v>
      </c>
      <c r="H131" s="111">
        <f t="shared" ref="H131:H185" si="11">D131/B131</f>
        <v>0.53016965244226955</v>
      </c>
    </row>
    <row r="132" spans="1:13">
      <c r="A132" s="104">
        <v>45369</v>
      </c>
      <c r="B132" s="108">
        <v>47622569</v>
      </c>
      <c r="C132" s="108">
        <v>23252488</v>
      </c>
      <c r="D132" s="109">
        <f t="shared" si="4"/>
        <v>24370081</v>
      </c>
      <c r="E132" s="110">
        <f t="shared" si="8"/>
        <v>11905642.25</v>
      </c>
      <c r="F132" s="110">
        <f t="shared" si="9"/>
        <v>4762256.9000000004</v>
      </c>
      <c r="G132" s="110">
        <f t="shared" si="10"/>
        <v>7143385.3499999996</v>
      </c>
      <c r="H132" s="111">
        <f t="shared" si="11"/>
        <v>0.51173385879287614</v>
      </c>
    </row>
    <row r="133" spans="1:13">
      <c r="A133" s="104">
        <v>45370</v>
      </c>
      <c r="B133" s="108">
        <v>48156947</v>
      </c>
      <c r="C133" s="108">
        <v>24007908</v>
      </c>
      <c r="D133" s="109">
        <f t="shared" si="4"/>
        <v>24149039</v>
      </c>
      <c r="E133" s="110">
        <f t="shared" si="8"/>
        <v>12039236.75</v>
      </c>
      <c r="F133" s="110">
        <f t="shared" si="9"/>
        <v>4815694.7</v>
      </c>
      <c r="G133" s="110">
        <f t="shared" si="10"/>
        <v>7223542.0499999998</v>
      </c>
      <c r="H133" s="111">
        <f t="shared" si="11"/>
        <v>0.50146532337276284</v>
      </c>
    </row>
    <row r="134" spans="1:13">
      <c r="A134" s="104">
        <v>45371</v>
      </c>
      <c r="B134" s="108">
        <v>48649266</v>
      </c>
      <c r="C134" s="108">
        <v>24052631</v>
      </c>
      <c r="D134" s="109">
        <f t="shared" si="4"/>
        <v>24596635</v>
      </c>
      <c r="E134" s="110">
        <f t="shared" si="8"/>
        <v>12162316.5</v>
      </c>
      <c r="F134" s="110">
        <f t="shared" si="9"/>
        <v>4864926.6000000006</v>
      </c>
      <c r="G134" s="110">
        <f t="shared" si="10"/>
        <v>7297389.8999999994</v>
      </c>
      <c r="H134" s="111">
        <f t="shared" si="11"/>
        <v>0.50559108127140084</v>
      </c>
    </row>
    <row r="135" spans="1:13">
      <c r="A135" s="104">
        <v>45372</v>
      </c>
      <c r="B135" s="108">
        <v>51800360</v>
      </c>
      <c r="C135" s="108">
        <v>25275513</v>
      </c>
      <c r="D135" s="109">
        <f t="shared" si="4"/>
        <v>26524847</v>
      </c>
      <c r="E135" s="110">
        <f t="shared" si="8"/>
        <v>12950090</v>
      </c>
      <c r="F135" s="110">
        <f t="shared" si="9"/>
        <v>5180036</v>
      </c>
      <c r="G135" s="110">
        <f t="shared" si="10"/>
        <v>7770054</v>
      </c>
      <c r="H135" s="111">
        <f t="shared" si="11"/>
        <v>0.51205912468561998</v>
      </c>
      <c r="K135" s="44"/>
      <c r="M135" s="44"/>
    </row>
    <row r="136" spans="1:13">
      <c r="A136" s="104">
        <v>45373</v>
      </c>
      <c r="B136" s="108">
        <v>52232609</v>
      </c>
      <c r="C136" s="108">
        <v>29857292</v>
      </c>
      <c r="D136" s="109">
        <f t="shared" si="4"/>
        <v>22375317</v>
      </c>
      <c r="E136" s="110">
        <f t="shared" si="8"/>
        <v>13058152.25</v>
      </c>
      <c r="F136" s="110">
        <f t="shared" si="9"/>
        <v>5223260.9000000004</v>
      </c>
      <c r="G136" s="110">
        <f t="shared" si="10"/>
        <v>7834891.3499999996</v>
      </c>
      <c r="H136" s="111">
        <f t="shared" si="11"/>
        <v>0.4283783143974294</v>
      </c>
    </row>
    <row r="137" spans="1:13">
      <c r="A137" s="104">
        <v>45376</v>
      </c>
      <c r="B137" s="108">
        <v>51850581</v>
      </c>
      <c r="C137" s="108">
        <v>29843319</v>
      </c>
      <c r="D137" s="109">
        <f t="shared" si="4"/>
        <v>22007262</v>
      </c>
      <c r="E137" s="110">
        <f t="shared" si="8"/>
        <v>12962645.25</v>
      </c>
      <c r="F137" s="110">
        <f t="shared" si="9"/>
        <v>5185058.1000000006</v>
      </c>
      <c r="G137" s="110">
        <f t="shared" si="10"/>
        <v>7777587.1499999994</v>
      </c>
      <c r="H137" s="111">
        <f t="shared" si="11"/>
        <v>0.42443616977020954</v>
      </c>
    </row>
    <row r="138" spans="1:13">
      <c r="A138" s="104">
        <v>45377</v>
      </c>
      <c r="B138" s="108">
        <v>51928404</v>
      </c>
      <c r="C138" s="108">
        <v>30286195</v>
      </c>
      <c r="D138" s="109">
        <f t="shared" si="4"/>
        <v>21642209</v>
      </c>
      <c r="E138" s="110">
        <f t="shared" si="8"/>
        <v>12982101</v>
      </c>
      <c r="F138" s="110">
        <f t="shared" si="9"/>
        <v>5192840.4000000004</v>
      </c>
      <c r="G138" s="110">
        <f t="shared" si="10"/>
        <v>7789260.5999999996</v>
      </c>
      <c r="H138" s="111">
        <f t="shared" si="11"/>
        <v>0.41677015530845124</v>
      </c>
    </row>
    <row r="139" spans="1:13">
      <c r="A139" s="104">
        <v>45378</v>
      </c>
      <c r="B139" s="108">
        <v>51260942</v>
      </c>
      <c r="C139" s="108">
        <v>30403835</v>
      </c>
      <c r="D139" s="109">
        <f t="shared" si="4"/>
        <v>20857107</v>
      </c>
      <c r="E139" s="110">
        <f t="shared" si="8"/>
        <v>12815235.5</v>
      </c>
      <c r="F139" s="110">
        <f t="shared" si="9"/>
        <v>5126094.2</v>
      </c>
      <c r="G139" s="110">
        <f t="shared" si="10"/>
        <v>7689141.2999999998</v>
      </c>
      <c r="H139" s="111">
        <f t="shared" si="11"/>
        <v>0.40688107136228591</v>
      </c>
    </row>
    <row r="140" spans="1:13">
      <c r="A140" s="104">
        <v>45379</v>
      </c>
      <c r="B140" s="108">
        <v>51803765</v>
      </c>
      <c r="C140" s="108">
        <v>30397798</v>
      </c>
      <c r="D140" s="109">
        <f t="shared" si="4"/>
        <v>21405967</v>
      </c>
      <c r="E140" s="110">
        <f t="shared" si="8"/>
        <v>12950941.25</v>
      </c>
      <c r="F140" s="110">
        <f t="shared" si="9"/>
        <v>5180376.5</v>
      </c>
      <c r="G140" s="110">
        <f t="shared" si="10"/>
        <v>7770564.75</v>
      </c>
      <c r="H140" s="111">
        <f t="shared" si="11"/>
        <v>0.41321257248387255</v>
      </c>
    </row>
    <row r="141" spans="1:13">
      <c r="A141" s="104">
        <v>45380</v>
      </c>
      <c r="B141" s="108">
        <v>51959875</v>
      </c>
      <c r="C141" s="108">
        <v>30376737</v>
      </c>
      <c r="D141" s="109">
        <f t="shared" ref="D141:D184" si="12">B141-C141</f>
        <v>21583138</v>
      </c>
      <c r="E141" s="110">
        <f t="shared" si="8"/>
        <v>12989968.75</v>
      </c>
      <c r="F141" s="110">
        <f t="shared" si="9"/>
        <v>5195987.5</v>
      </c>
      <c r="G141" s="110">
        <f t="shared" si="10"/>
        <v>7793981.25</v>
      </c>
      <c r="H141" s="111">
        <f t="shared" si="11"/>
        <v>0.41538086841048022</v>
      </c>
    </row>
    <row r="142" spans="1:13">
      <c r="A142" s="104">
        <v>45383</v>
      </c>
      <c r="B142" s="108">
        <v>51949296</v>
      </c>
      <c r="C142" s="108">
        <v>30392068</v>
      </c>
      <c r="D142" s="109">
        <f t="shared" si="12"/>
        <v>21557228</v>
      </c>
      <c r="E142" s="110">
        <f t="shared" si="8"/>
        <v>12987324</v>
      </c>
      <c r="F142" s="110">
        <f t="shared" si="9"/>
        <v>5194929.6000000006</v>
      </c>
      <c r="G142" s="110">
        <f t="shared" si="10"/>
        <v>7792394.3999999994</v>
      </c>
      <c r="H142" s="111">
        <f t="shared" si="11"/>
        <v>0.41496670137743541</v>
      </c>
    </row>
    <row r="143" spans="1:13">
      <c r="A143" s="104">
        <v>45384</v>
      </c>
      <c r="B143" s="108">
        <v>51833591</v>
      </c>
      <c r="C143" s="108">
        <v>34851908</v>
      </c>
      <c r="D143" s="109">
        <f t="shared" si="12"/>
        <v>16981683</v>
      </c>
      <c r="E143" s="110">
        <f t="shared" si="8"/>
        <v>12958397.75</v>
      </c>
      <c r="F143" s="110">
        <f t="shared" si="9"/>
        <v>5183359.1000000006</v>
      </c>
      <c r="G143" s="110">
        <f t="shared" si="10"/>
        <v>7775038.6499999994</v>
      </c>
      <c r="H143" s="111">
        <f t="shared" si="11"/>
        <v>0.32761926527529223</v>
      </c>
    </row>
    <row r="144" spans="1:13">
      <c r="A144" s="104">
        <v>45385</v>
      </c>
      <c r="B144" s="108">
        <v>53605023</v>
      </c>
      <c r="C144" s="108">
        <v>34742093</v>
      </c>
      <c r="D144" s="109">
        <f t="shared" si="12"/>
        <v>18862930</v>
      </c>
      <c r="E144" s="110">
        <f t="shared" si="8"/>
        <v>13401255.75</v>
      </c>
      <c r="F144" s="110">
        <f t="shared" si="9"/>
        <v>5360502.3000000007</v>
      </c>
      <c r="G144" s="110">
        <f t="shared" si="10"/>
        <v>8040753.4499999993</v>
      </c>
      <c r="H144" s="111">
        <f t="shared" si="11"/>
        <v>0.3518873595110667</v>
      </c>
    </row>
    <row r="145" spans="1:8">
      <c r="A145" s="104">
        <v>45386</v>
      </c>
      <c r="B145" s="108">
        <v>54883238</v>
      </c>
      <c r="C145" s="108">
        <v>35256501</v>
      </c>
      <c r="D145" s="109">
        <f t="shared" si="12"/>
        <v>19626737</v>
      </c>
      <c r="E145" s="110">
        <f t="shared" si="8"/>
        <v>13720809.5</v>
      </c>
      <c r="F145" s="110">
        <f t="shared" si="9"/>
        <v>5488323.8000000007</v>
      </c>
      <c r="G145" s="110">
        <f t="shared" si="10"/>
        <v>8232485.6999999993</v>
      </c>
      <c r="H145" s="111">
        <f t="shared" si="11"/>
        <v>0.35760894792686976</v>
      </c>
    </row>
    <row r="146" spans="1:8">
      <c r="A146" s="104">
        <v>45387</v>
      </c>
      <c r="B146" s="44">
        <v>51464494</v>
      </c>
      <c r="C146" s="44">
        <v>35224792</v>
      </c>
      <c r="D146" s="110">
        <f t="shared" si="12"/>
        <v>16239702</v>
      </c>
      <c r="E146" s="110">
        <f t="shared" si="8"/>
        <v>12866123.5</v>
      </c>
      <c r="F146" s="110">
        <f t="shared" si="9"/>
        <v>5146449.4000000004</v>
      </c>
      <c r="G146" s="110">
        <f t="shared" si="10"/>
        <v>7719674.0999999996</v>
      </c>
      <c r="H146" s="111">
        <f t="shared" si="11"/>
        <v>0.31555157231313691</v>
      </c>
    </row>
    <row r="147" spans="1:8">
      <c r="A147" s="104">
        <v>45390</v>
      </c>
      <c r="B147" s="44">
        <v>53368824</v>
      </c>
      <c r="C147" s="44">
        <v>37338855</v>
      </c>
      <c r="D147" s="110">
        <f t="shared" si="12"/>
        <v>16029969</v>
      </c>
      <c r="E147" s="110">
        <f t="shared" si="8"/>
        <v>13342206</v>
      </c>
      <c r="F147" s="110">
        <f t="shared" si="9"/>
        <v>5336882.4000000004</v>
      </c>
      <c r="G147" s="110">
        <f t="shared" si="10"/>
        <v>8005323.5999999996</v>
      </c>
      <c r="H147" s="111">
        <f t="shared" si="11"/>
        <v>0.30036204282859968</v>
      </c>
    </row>
    <row r="148" spans="1:8">
      <c r="A148" s="104">
        <v>45391</v>
      </c>
      <c r="B148" s="44">
        <v>53498161</v>
      </c>
      <c r="C148" s="44">
        <v>38202750</v>
      </c>
      <c r="D148" s="110">
        <f t="shared" si="12"/>
        <v>15295411</v>
      </c>
      <c r="E148" s="110">
        <f t="shared" si="8"/>
        <v>13374540.25</v>
      </c>
      <c r="F148" s="110">
        <f t="shared" si="9"/>
        <v>5349816.1000000006</v>
      </c>
      <c r="G148" s="110">
        <f t="shared" si="10"/>
        <v>8024724.1499999994</v>
      </c>
      <c r="H148" s="111">
        <f t="shared" si="11"/>
        <v>0.28590536037304159</v>
      </c>
    </row>
    <row r="149" spans="1:8">
      <c r="A149" s="104">
        <v>45392</v>
      </c>
      <c r="B149" s="44">
        <v>51934176</v>
      </c>
      <c r="C149" s="44">
        <v>38487433</v>
      </c>
      <c r="D149" s="110">
        <f t="shared" si="12"/>
        <v>13446743</v>
      </c>
      <c r="E149" s="110">
        <f t="shared" si="8"/>
        <v>12983544</v>
      </c>
      <c r="F149" s="110">
        <f t="shared" si="9"/>
        <v>5193417.6000000006</v>
      </c>
      <c r="G149" s="110">
        <f t="shared" si="10"/>
        <v>7790126.3999999994</v>
      </c>
      <c r="H149" s="111">
        <f t="shared" si="11"/>
        <v>0.2589189631120748</v>
      </c>
    </row>
    <row r="150" spans="1:8">
      <c r="A150" s="104">
        <v>45393</v>
      </c>
      <c r="B150" s="44">
        <v>50853376</v>
      </c>
      <c r="C150" s="44">
        <v>38346238</v>
      </c>
      <c r="D150" s="110">
        <f t="shared" si="12"/>
        <v>12507138</v>
      </c>
      <c r="E150" s="110">
        <f t="shared" si="8"/>
        <v>12713344</v>
      </c>
      <c r="F150" s="110">
        <f t="shared" si="9"/>
        <v>5085337.6000000006</v>
      </c>
      <c r="G150" s="110">
        <f t="shared" si="10"/>
        <v>7628006.3999999994</v>
      </c>
      <c r="H150" s="111">
        <f t="shared" si="11"/>
        <v>0.245945087303545</v>
      </c>
    </row>
    <row r="151" spans="1:8">
      <c r="A151" s="104">
        <v>45394</v>
      </c>
      <c r="B151" s="44">
        <v>54223882</v>
      </c>
      <c r="C151" s="44">
        <v>38822559</v>
      </c>
      <c r="D151" s="110">
        <f t="shared" si="12"/>
        <v>15401323</v>
      </c>
      <c r="E151" s="110">
        <f t="shared" si="8"/>
        <v>13555970.5</v>
      </c>
      <c r="F151" s="110">
        <f t="shared" si="9"/>
        <v>5422388.2000000002</v>
      </c>
      <c r="G151" s="110">
        <f t="shared" si="10"/>
        <v>8133582.2999999998</v>
      </c>
      <c r="H151" s="111">
        <f t="shared" si="11"/>
        <v>0.28403209862399748</v>
      </c>
    </row>
    <row r="152" spans="1:8">
      <c r="A152" s="104">
        <v>45395</v>
      </c>
      <c r="B152" s="44">
        <v>49000676</v>
      </c>
      <c r="C152" s="44">
        <v>38138774</v>
      </c>
      <c r="D152" s="110">
        <f t="shared" si="12"/>
        <v>10861902</v>
      </c>
      <c r="E152" s="110">
        <f t="shared" si="8"/>
        <v>12250169</v>
      </c>
      <c r="F152" s="110">
        <f t="shared" si="9"/>
        <v>4900067.6000000006</v>
      </c>
      <c r="G152" s="110">
        <f t="shared" si="10"/>
        <v>7350101.3999999994</v>
      </c>
      <c r="H152" s="111">
        <f t="shared" si="11"/>
        <v>0.22166841126844863</v>
      </c>
    </row>
    <row r="153" spans="1:8">
      <c r="A153" s="104">
        <v>45397</v>
      </c>
      <c r="B153" s="44">
        <v>49000676</v>
      </c>
      <c r="C153" s="44">
        <v>38138774</v>
      </c>
      <c r="D153" s="110">
        <f t="shared" si="12"/>
        <v>10861902</v>
      </c>
      <c r="E153" s="110">
        <f t="shared" si="8"/>
        <v>12250169</v>
      </c>
      <c r="F153" s="110">
        <f t="shared" si="9"/>
        <v>4900067.6000000006</v>
      </c>
      <c r="G153" s="110">
        <f t="shared" si="10"/>
        <v>7350101.3999999994</v>
      </c>
      <c r="H153" s="111">
        <f t="shared" si="11"/>
        <v>0.22166841126844863</v>
      </c>
    </row>
    <row r="154" spans="1:8">
      <c r="A154" s="104">
        <v>45398</v>
      </c>
      <c r="B154" s="44">
        <v>46686482</v>
      </c>
      <c r="C154" s="44">
        <v>37818483</v>
      </c>
      <c r="D154" s="110">
        <f t="shared" si="12"/>
        <v>8867999</v>
      </c>
      <c r="E154" s="110">
        <f t="shared" si="8"/>
        <v>11671620.5</v>
      </c>
      <c r="F154" s="110">
        <f t="shared" si="9"/>
        <v>4668648.2</v>
      </c>
      <c r="G154" s="110">
        <f t="shared" si="10"/>
        <v>7002972.2999999998</v>
      </c>
      <c r="H154" s="111">
        <f t="shared" si="11"/>
        <v>0.18994789541006751</v>
      </c>
    </row>
    <row r="155" spans="1:8">
      <c r="A155" s="104">
        <v>45399</v>
      </c>
      <c r="B155" s="44">
        <v>46419915</v>
      </c>
      <c r="C155" s="44">
        <v>37807478</v>
      </c>
      <c r="D155" s="110">
        <f t="shared" si="12"/>
        <v>8612437</v>
      </c>
      <c r="E155" s="110">
        <f t="shared" ref="E155:E186" si="13">B155*0.25</f>
        <v>11604978.75</v>
      </c>
      <c r="F155" s="110">
        <f t="shared" si="9"/>
        <v>4641991.5</v>
      </c>
      <c r="G155" s="110">
        <f t="shared" si="10"/>
        <v>6962987.25</v>
      </c>
      <c r="H155" s="111">
        <f t="shared" si="11"/>
        <v>0.18553323503500599</v>
      </c>
    </row>
    <row r="156" spans="1:8">
      <c r="A156" s="104">
        <v>45400</v>
      </c>
      <c r="B156" s="44">
        <v>43298278</v>
      </c>
      <c r="C156" s="44">
        <v>37345144</v>
      </c>
      <c r="D156" s="110">
        <f t="shared" si="12"/>
        <v>5953134</v>
      </c>
      <c r="E156" s="110">
        <f t="shared" si="13"/>
        <v>10824569.5</v>
      </c>
      <c r="F156" s="110">
        <f t="shared" si="9"/>
        <v>4329827.8</v>
      </c>
      <c r="G156" s="110">
        <f t="shared" si="10"/>
        <v>6494741.7000000002</v>
      </c>
      <c r="H156" s="111">
        <f t="shared" si="11"/>
        <v>0.13749124156854459</v>
      </c>
    </row>
    <row r="157" spans="1:8">
      <c r="A157" s="104">
        <v>45401</v>
      </c>
      <c r="B157" s="44">
        <v>41650604</v>
      </c>
      <c r="C157" s="44">
        <v>37180612</v>
      </c>
      <c r="D157" s="110">
        <f t="shared" si="12"/>
        <v>4469992</v>
      </c>
      <c r="E157" s="110">
        <f t="shared" si="13"/>
        <v>10412651</v>
      </c>
      <c r="F157" s="110">
        <f t="shared" si="9"/>
        <v>4165060.4000000004</v>
      </c>
      <c r="G157" s="110">
        <f t="shared" si="10"/>
        <v>6247590.5999999996</v>
      </c>
      <c r="H157" s="111">
        <f t="shared" si="11"/>
        <v>0.10732118074446172</v>
      </c>
    </row>
    <row r="158" spans="1:8">
      <c r="A158" s="104">
        <v>45402</v>
      </c>
      <c r="B158" s="44">
        <v>38606634</v>
      </c>
      <c r="C158" s="44">
        <v>35679786</v>
      </c>
      <c r="D158" s="110">
        <f t="shared" si="12"/>
        <v>2926848</v>
      </c>
      <c r="E158" s="110">
        <f t="shared" si="13"/>
        <v>9651658.5</v>
      </c>
      <c r="F158" s="110">
        <f t="shared" si="9"/>
        <v>3860663.4000000004</v>
      </c>
      <c r="G158" s="110">
        <f t="shared" si="10"/>
        <v>5790995.0999999996</v>
      </c>
      <c r="H158" s="111">
        <f t="shared" si="11"/>
        <v>7.5812048260928425E-2</v>
      </c>
    </row>
    <row r="159" spans="1:8">
      <c r="A159" s="104">
        <v>45404</v>
      </c>
      <c r="B159" s="44">
        <v>38606634</v>
      </c>
      <c r="C159" s="44">
        <v>35679786</v>
      </c>
      <c r="D159" s="110">
        <f t="shared" si="12"/>
        <v>2926848</v>
      </c>
      <c r="E159" s="110">
        <f t="shared" si="13"/>
        <v>9651658.5</v>
      </c>
      <c r="F159" s="110">
        <f t="shared" si="9"/>
        <v>3860663.4000000004</v>
      </c>
      <c r="G159" s="110">
        <f t="shared" si="10"/>
        <v>5790995.0999999996</v>
      </c>
      <c r="H159" s="111">
        <f t="shared" si="11"/>
        <v>7.5812048260928425E-2</v>
      </c>
    </row>
    <row r="160" spans="1:8">
      <c r="A160" s="104">
        <v>45405</v>
      </c>
      <c r="B160" s="44">
        <v>40919552</v>
      </c>
      <c r="C160" s="44">
        <v>34992194</v>
      </c>
      <c r="D160" s="110">
        <f t="shared" si="12"/>
        <v>5927358</v>
      </c>
      <c r="E160" s="110">
        <f t="shared" si="13"/>
        <v>10229888</v>
      </c>
      <c r="F160" s="110">
        <f t="shared" si="9"/>
        <v>4091955.2000000002</v>
      </c>
      <c r="G160" s="110">
        <f t="shared" si="10"/>
        <v>6137932.7999999998</v>
      </c>
      <c r="H160" s="111">
        <f t="shared" si="11"/>
        <v>0.14485393192965554</v>
      </c>
    </row>
    <row r="161" spans="1:8">
      <c r="A161" s="104">
        <v>45406</v>
      </c>
      <c r="B161" s="44">
        <v>44881542</v>
      </c>
      <c r="C161" s="44">
        <v>35342541</v>
      </c>
      <c r="D161" s="110">
        <f t="shared" si="12"/>
        <v>9539001</v>
      </c>
      <c r="E161" s="110">
        <f t="shared" si="13"/>
        <v>11220385.5</v>
      </c>
      <c r="F161" s="110">
        <f t="shared" si="9"/>
        <v>4488154.2</v>
      </c>
      <c r="G161" s="110">
        <f t="shared" si="10"/>
        <v>6732231.2999999998</v>
      </c>
      <c r="H161" s="111">
        <f t="shared" si="11"/>
        <v>0.21253728314414866</v>
      </c>
    </row>
    <row r="162" spans="1:8">
      <c r="A162" s="104">
        <v>45407</v>
      </c>
      <c r="B162" s="44">
        <v>42991628</v>
      </c>
      <c r="C162" s="44">
        <v>35174655</v>
      </c>
      <c r="D162" s="110">
        <f t="shared" si="12"/>
        <v>7816973</v>
      </c>
      <c r="E162" s="110">
        <f t="shared" si="13"/>
        <v>10747907</v>
      </c>
      <c r="F162" s="110">
        <f t="shared" si="9"/>
        <v>4299162.8</v>
      </c>
      <c r="G162" s="110">
        <f t="shared" si="10"/>
        <v>6448744.2000000002</v>
      </c>
      <c r="H162" s="111">
        <f t="shared" si="11"/>
        <v>0.18182547076374964</v>
      </c>
    </row>
    <row r="163" spans="1:8">
      <c r="A163" s="104">
        <v>45408</v>
      </c>
      <c r="B163" s="44">
        <v>45817116</v>
      </c>
      <c r="C163" s="44">
        <v>35329115</v>
      </c>
      <c r="D163" s="110">
        <f t="shared" si="12"/>
        <v>10488001</v>
      </c>
      <c r="E163" s="110">
        <f t="shared" si="13"/>
        <v>11454279</v>
      </c>
      <c r="F163" s="110">
        <f t="shared" si="9"/>
        <v>4581711.6000000006</v>
      </c>
      <c r="G163" s="110">
        <f t="shared" si="10"/>
        <v>6872567.3999999994</v>
      </c>
      <c r="H163" s="111">
        <f t="shared" si="11"/>
        <v>0.22891010861530436</v>
      </c>
    </row>
    <row r="164" spans="1:8">
      <c r="A164" s="104">
        <v>45409</v>
      </c>
      <c r="B164" s="44">
        <v>48003292</v>
      </c>
      <c r="C164" s="44">
        <v>35791959</v>
      </c>
      <c r="D164" s="110">
        <f t="shared" si="12"/>
        <v>12211333</v>
      </c>
      <c r="E164" s="110">
        <f t="shared" si="13"/>
        <v>12000823</v>
      </c>
      <c r="F164" s="110">
        <f t="shared" si="9"/>
        <v>4800329.2</v>
      </c>
      <c r="G164" s="110">
        <f t="shared" si="10"/>
        <v>7200493.7999999998</v>
      </c>
      <c r="H164" s="111">
        <f t="shared" si="11"/>
        <v>0.25438532423984589</v>
      </c>
    </row>
    <row r="165" spans="1:8">
      <c r="A165" s="104">
        <v>45411</v>
      </c>
      <c r="B165" s="44">
        <v>48003292</v>
      </c>
      <c r="C165" s="44">
        <v>35791959</v>
      </c>
      <c r="D165" s="110">
        <f t="shared" si="12"/>
        <v>12211333</v>
      </c>
      <c r="E165" s="110">
        <f t="shared" si="13"/>
        <v>12000823</v>
      </c>
      <c r="F165" s="110">
        <f t="shared" si="9"/>
        <v>4800329.2</v>
      </c>
      <c r="G165" s="110">
        <f t="shared" si="10"/>
        <v>7200493.7999999998</v>
      </c>
      <c r="H165" s="111">
        <f t="shared" si="11"/>
        <v>0.25438532423984589</v>
      </c>
    </row>
    <row r="166" spans="1:8">
      <c r="A166" s="104">
        <v>45412</v>
      </c>
      <c r="B166" s="44">
        <v>48919844</v>
      </c>
      <c r="C166" s="44">
        <v>35908996</v>
      </c>
      <c r="D166" s="110">
        <f t="shared" si="12"/>
        <v>13010848</v>
      </c>
      <c r="E166" s="110">
        <f t="shared" si="13"/>
        <v>12229961</v>
      </c>
      <c r="F166" s="110">
        <f t="shared" si="9"/>
        <v>4891984.4000000004</v>
      </c>
      <c r="G166" s="110">
        <f t="shared" si="10"/>
        <v>7337976.5999999996</v>
      </c>
      <c r="H166" s="111">
        <f t="shared" si="11"/>
        <v>0.26596258156505975</v>
      </c>
    </row>
    <row r="167" spans="1:8">
      <c r="A167" s="104">
        <v>45413</v>
      </c>
      <c r="B167" s="44">
        <v>44053631</v>
      </c>
      <c r="C167" s="44">
        <v>35254453</v>
      </c>
      <c r="D167" s="110">
        <f t="shared" si="12"/>
        <v>8799178</v>
      </c>
      <c r="E167" s="110">
        <f t="shared" si="13"/>
        <v>11013407.75</v>
      </c>
      <c r="F167" s="110">
        <f t="shared" si="9"/>
        <v>4405363.1000000006</v>
      </c>
      <c r="G167" s="110">
        <f t="shared" si="10"/>
        <v>6608044.6499999994</v>
      </c>
      <c r="H167" s="111">
        <f t="shared" si="11"/>
        <v>0.19973786042744127</v>
      </c>
    </row>
    <row r="168" spans="1:8">
      <c r="A168" s="104">
        <v>45414</v>
      </c>
      <c r="B168" s="44">
        <v>44053631</v>
      </c>
      <c r="C168" s="44">
        <v>35254453</v>
      </c>
      <c r="D168" s="110">
        <f t="shared" si="12"/>
        <v>8799178</v>
      </c>
      <c r="E168" s="110">
        <f t="shared" si="13"/>
        <v>11013407.75</v>
      </c>
      <c r="F168" s="110">
        <f t="shared" si="9"/>
        <v>4405363.1000000006</v>
      </c>
      <c r="G168" s="110">
        <f t="shared" si="10"/>
        <v>6608044.6499999994</v>
      </c>
      <c r="H168" s="111">
        <f t="shared" si="11"/>
        <v>0.19973786042744127</v>
      </c>
    </row>
    <row r="169" spans="1:8">
      <c r="A169" s="104">
        <v>45415</v>
      </c>
      <c r="B169" s="44">
        <v>49210971</v>
      </c>
      <c r="C169" s="44">
        <v>36044435</v>
      </c>
      <c r="D169" s="110">
        <f t="shared" si="12"/>
        <v>13166536</v>
      </c>
      <c r="E169" s="110">
        <f t="shared" si="13"/>
        <v>12302742.75</v>
      </c>
      <c r="F169" s="110">
        <f t="shared" si="9"/>
        <v>4921097.1000000006</v>
      </c>
      <c r="G169" s="110">
        <f t="shared" si="10"/>
        <v>7381645.6499999994</v>
      </c>
      <c r="H169" s="111">
        <f t="shared" si="11"/>
        <v>0.267552859300419</v>
      </c>
    </row>
    <row r="170" spans="1:8">
      <c r="A170" s="104">
        <v>45416</v>
      </c>
      <c r="B170" s="44">
        <v>49210971</v>
      </c>
      <c r="C170" s="44">
        <v>36044435</v>
      </c>
      <c r="D170" s="110">
        <f t="shared" si="12"/>
        <v>13166536</v>
      </c>
      <c r="E170" s="110">
        <f t="shared" si="13"/>
        <v>12302742.75</v>
      </c>
      <c r="F170" s="110">
        <f t="shared" si="9"/>
        <v>4921097.1000000006</v>
      </c>
      <c r="G170" s="110">
        <f t="shared" si="10"/>
        <v>7381645.6499999994</v>
      </c>
      <c r="H170" s="111">
        <f t="shared" si="11"/>
        <v>0.267552859300419</v>
      </c>
    </row>
    <row r="171" spans="1:8">
      <c r="A171" s="104">
        <v>45418</v>
      </c>
      <c r="B171" s="44">
        <v>49210971</v>
      </c>
      <c r="C171" s="44">
        <v>36044435</v>
      </c>
      <c r="D171" s="110">
        <f t="shared" si="12"/>
        <v>13166536</v>
      </c>
      <c r="E171" s="110">
        <f t="shared" si="13"/>
        <v>12302742.75</v>
      </c>
      <c r="F171" s="110">
        <f t="shared" si="9"/>
        <v>4921097.1000000006</v>
      </c>
      <c r="G171" s="110">
        <f t="shared" si="10"/>
        <v>7381645.6499999994</v>
      </c>
      <c r="H171" s="111">
        <f t="shared" si="11"/>
        <v>0.267552859300419</v>
      </c>
    </row>
    <row r="172" spans="1:8">
      <c r="A172" s="104">
        <v>45419</v>
      </c>
      <c r="B172" s="44">
        <v>51493786</v>
      </c>
      <c r="C172" s="44">
        <v>36547570</v>
      </c>
      <c r="D172" s="110">
        <f t="shared" si="12"/>
        <v>14946216</v>
      </c>
      <c r="E172" s="110">
        <f t="shared" si="13"/>
        <v>12873446.5</v>
      </c>
      <c r="F172" s="110">
        <f t="shared" si="9"/>
        <v>5149378.6000000006</v>
      </c>
      <c r="G172" s="110">
        <f t="shared" si="10"/>
        <v>7724067.8999999994</v>
      </c>
      <c r="H172" s="111">
        <f t="shared" si="11"/>
        <v>0.29025280836798445</v>
      </c>
    </row>
    <row r="173" spans="1:8">
      <c r="A173" s="104">
        <v>45420</v>
      </c>
      <c r="B173" s="44">
        <v>51005036</v>
      </c>
      <c r="C173" s="44">
        <v>36536431</v>
      </c>
      <c r="D173" s="110">
        <f t="shared" si="12"/>
        <v>14468605</v>
      </c>
      <c r="E173" s="110">
        <f t="shared" si="13"/>
        <v>12751259</v>
      </c>
      <c r="F173" s="110">
        <f t="shared" si="9"/>
        <v>5100503.6000000006</v>
      </c>
      <c r="G173" s="110">
        <f t="shared" si="10"/>
        <v>7650755.3999999994</v>
      </c>
      <c r="H173" s="111">
        <f t="shared" si="11"/>
        <v>0.28367012622047755</v>
      </c>
    </row>
    <row r="174" spans="1:8">
      <c r="A174" s="104">
        <v>45421</v>
      </c>
      <c r="B174" s="44">
        <v>50568966</v>
      </c>
      <c r="C174" s="44">
        <v>36547077</v>
      </c>
      <c r="D174" s="110">
        <f t="shared" si="12"/>
        <v>14021889</v>
      </c>
      <c r="E174" s="110">
        <f t="shared" si="13"/>
        <v>12642241.5</v>
      </c>
      <c r="F174" s="110">
        <f t="shared" si="9"/>
        <v>5056896.6000000006</v>
      </c>
      <c r="G174" s="110">
        <f t="shared" si="10"/>
        <v>7585344.8999999994</v>
      </c>
      <c r="H174" s="111">
        <f t="shared" si="11"/>
        <v>0.27728249377295949</v>
      </c>
    </row>
    <row r="175" spans="1:8">
      <c r="A175" s="104">
        <v>45422</v>
      </c>
      <c r="B175" s="44">
        <v>51672043</v>
      </c>
      <c r="C175" s="44">
        <v>36735833</v>
      </c>
      <c r="D175" s="110">
        <f t="shared" si="12"/>
        <v>14936210</v>
      </c>
      <c r="E175" s="110">
        <f t="shared" si="13"/>
        <v>12918010.75</v>
      </c>
      <c r="F175" s="110">
        <f t="shared" si="9"/>
        <v>5167204.3000000007</v>
      </c>
      <c r="G175" s="110">
        <f t="shared" si="10"/>
        <v>7750806.4499999993</v>
      </c>
      <c r="H175" s="111">
        <f t="shared" si="11"/>
        <v>0.2890578566827714</v>
      </c>
    </row>
    <row r="176" spans="1:8">
      <c r="A176" s="104">
        <v>45423</v>
      </c>
      <c r="B176" s="44">
        <v>52283893</v>
      </c>
      <c r="C176" s="44">
        <v>36645160</v>
      </c>
      <c r="D176" s="110">
        <f t="shared" si="12"/>
        <v>15638733</v>
      </c>
      <c r="E176" s="110">
        <f t="shared" si="13"/>
        <v>13070973.25</v>
      </c>
      <c r="F176" s="110">
        <f t="shared" si="9"/>
        <v>5228389.3000000007</v>
      </c>
      <c r="G176" s="110">
        <f t="shared" si="10"/>
        <v>7842583.9499999993</v>
      </c>
      <c r="H176" s="111">
        <f t="shared" si="11"/>
        <v>0.2991118698831397</v>
      </c>
    </row>
    <row r="177" spans="1:8">
      <c r="A177" s="104">
        <v>45425</v>
      </c>
      <c r="B177" s="44">
        <v>52283893</v>
      </c>
      <c r="C177" s="44">
        <v>36645160</v>
      </c>
      <c r="D177" s="110">
        <f t="shared" si="12"/>
        <v>15638733</v>
      </c>
      <c r="E177" s="110">
        <f t="shared" si="13"/>
        <v>13070973.25</v>
      </c>
      <c r="F177" s="110">
        <f t="shared" si="9"/>
        <v>5228389.3000000007</v>
      </c>
      <c r="G177" s="110">
        <f t="shared" si="10"/>
        <v>7842583.9499999993</v>
      </c>
      <c r="H177" s="111">
        <f t="shared" si="11"/>
        <v>0.2991118698831397</v>
      </c>
    </row>
    <row r="178" spans="1:8">
      <c r="A178" s="104">
        <v>45426</v>
      </c>
      <c r="B178" s="44">
        <v>52376601</v>
      </c>
      <c r="C178" s="44">
        <v>31011371</v>
      </c>
      <c r="D178" s="110">
        <f t="shared" si="12"/>
        <v>21365230</v>
      </c>
      <c r="E178" s="110">
        <f t="shared" si="13"/>
        <v>13094150.25</v>
      </c>
      <c r="F178" s="110">
        <f t="shared" si="9"/>
        <v>5237660.1000000006</v>
      </c>
      <c r="G178" s="110">
        <f t="shared" si="10"/>
        <v>7856490.1499999994</v>
      </c>
      <c r="H178" s="111">
        <f t="shared" si="11"/>
        <v>0.40791554992276036</v>
      </c>
    </row>
    <row r="179" spans="1:8">
      <c r="A179" s="104">
        <v>45427</v>
      </c>
      <c r="B179" s="44">
        <v>53584301</v>
      </c>
      <c r="C179" s="44">
        <v>31031769</v>
      </c>
      <c r="D179" s="110">
        <f t="shared" si="12"/>
        <v>22552532</v>
      </c>
      <c r="E179" s="110">
        <f t="shared" si="13"/>
        <v>13396075.25</v>
      </c>
      <c r="F179" s="110">
        <f t="shared" si="9"/>
        <v>5358430.1000000006</v>
      </c>
      <c r="G179" s="110">
        <f t="shared" si="10"/>
        <v>8037645.1499999994</v>
      </c>
      <c r="H179" s="111">
        <f t="shared" si="11"/>
        <v>0.42087946617051142</v>
      </c>
    </row>
    <row r="180" spans="1:8">
      <c r="A180" s="104">
        <v>45428</v>
      </c>
      <c r="B180" s="44">
        <v>55628929</v>
      </c>
      <c r="C180" s="44">
        <v>30367056</v>
      </c>
      <c r="D180" s="110">
        <f t="shared" si="12"/>
        <v>25261873</v>
      </c>
      <c r="E180" s="110">
        <f t="shared" si="13"/>
        <v>13907232.25</v>
      </c>
      <c r="F180" s="110">
        <f t="shared" si="9"/>
        <v>5562892.9000000004</v>
      </c>
      <c r="G180" s="110">
        <f t="shared" si="10"/>
        <v>8344339.3499999996</v>
      </c>
      <c r="H180" s="111">
        <f t="shared" si="11"/>
        <v>0.45411395570818919</v>
      </c>
    </row>
    <row r="181" spans="1:8" s="116" customFormat="1">
      <c r="A181" s="112">
        <v>45429</v>
      </c>
      <c r="B181" s="113">
        <v>55793659</v>
      </c>
      <c r="C181" s="113">
        <v>30305524</v>
      </c>
      <c r="D181" s="114">
        <f t="shared" si="12"/>
        <v>25488135</v>
      </c>
      <c r="E181" s="114">
        <f t="shared" si="13"/>
        <v>13948414.75</v>
      </c>
      <c r="F181" s="114">
        <f t="shared" si="9"/>
        <v>5579365.9000000004</v>
      </c>
      <c r="G181" s="114">
        <f t="shared" si="10"/>
        <v>8369048.8499999996</v>
      </c>
      <c r="H181" s="115">
        <f t="shared" si="11"/>
        <v>0.45682852597998636</v>
      </c>
    </row>
    <row r="182" spans="1:8" s="116" customFormat="1">
      <c r="A182" s="112">
        <v>45430</v>
      </c>
      <c r="B182" s="113">
        <v>56343495</v>
      </c>
      <c r="C182" s="113"/>
      <c r="D182" s="114">
        <f t="shared" si="12"/>
        <v>56343495</v>
      </c>
      <c r="E182" s="114">
        <f t="shared" si="13"/>
        <v>14085873.75</v>
      </c>
      <c r="F182" s="114">
        <f t="shared" si="9"/>
        <v>5634349.5</v>
      </c>
      <c r="G182" s="114">
        <f t="shared" si="10"/>
        <v>8451524.25</v>
      </c>
      <c r="H182" s="115">
        <f t="shared" si="11"/>
        <v>1</v>
      </c>
    </row>
    <row r="183" spans="1:8" s="116" customFormat="1">
      <c r="A183" s="112">
        <v>45431</v>
      </c>
      <c r="B183" s="113">
        <v>53856958</v>
      </c>
      <c r="C183" s="113">
        <v>28726470</v>
      </c>
      <c r="D183" s="114">
        <f t="shared" si="12"/>
        <v>25130488</v>
      </c>
      <c r="E183" s="114">
        <f t="shared" si="13"/>
        <v>13464239.5</v>
      </c>
      <c r="F183" s="114">
        <f t="shared" si="9"/>
        <v>5385695.8000000007</v>
      </c>
      <c r="G183" s="114">
        <f t="shared" si="10"/>
        <v>8078543.6999999993</v>
      </c>
      <c r="H183" s="115">
        <f t="shared" si="11"/>
        <v>0.46661543713627496</v>
      </c>
    </row>
    <row r="184" spans="1:8" s="116" customFormat="1">
      <c r="A184" s="112">
        <v>45439</v>
      </c>
      <c r="B184" s="113">
        <v>56489689</v>
      </c>
      <c r="C184" s="113">
        <v>25209925</v>
      </c>
      <c r="D184" s="114">
        <f t="shared" si="12"/>
        <v>31279764</v>
      </c>
      <c r="E184" s="114">
        <f t="shared" si="13"/>
        <v>14122422.25</v>
      </c>
      <c r="F184" s="114">
        <f t="shared" si="9"/>
        <v>5648968.9000000004</v>
      </c>
      <c r="G184" s="114">
        <f t="shared" si="10"/>
        <v>8473453.3499999996</v>
      </c>
      <c r="H184" s="115">
        <f t="shared" si="11"/>
        <v>0.55372519399071218</v>
      </c>
    </row>
    <row r="185" spans="1:8" s="116" customFormat="1">
      <c r="A185" s="112">
        <v>45440</v>
      </c>
      <c r="B185" s="113"/>
      <c r="C185" s="113"/>
      <c r="D185" s="114">
        <f>B185-C185</f>
        <v>0</v>
      </c>
      <c r="E185" s="114">
        <f t="shared" si="13"/>
        <v>0</v>
      </c>
      <c r="F185" s="114">
        <f t="shared" si="9"/>
        <v>0</v>
      </c>
      <c r="G185" s="114">
        <f t="shared" si="10"/>
        <v>0</v>
      </c>
      <c r="H185" s="115" t="e">
        <f t="shared" si="11"/>
        <v>#DIV/0!</v>
      </c>
    </row>
    <row r="186" spans="1:8">
      <c r="A186" s="104">
        <v>45446</v>
      </c>
      <c r="B186" s="44">
        <f>56100350-9000000</f>
        <v>47100350</v>
      </c>
      <c r="C186" s="44">
        <v>26176485</v>
      </c>
      <c r="D186" s="110">
        <f>B186-C186</f>
        <v>20923865</v>
      </c>
      <c r="E186" s="110">
        <f t="shared" si="13"/>
        <v>11775087.5</v>
      </c>
      <c r="F186" s="110">
        <f t="shared" si="9"/>
        <v>4710035</v>
      </c>
      <c r="G186" s="110">
        <f t="shared" si="10"/>
        <v>7065052.5</v>
      </c>
      <c r="H186" s="111">
        <f>D186/B186</f>
        <v>0.44424011711165629</v>
      </c>
    </row>
    <row r="187" spans="1:8">
      <c r="A187" s="104">
        <v>45447</v>
      </c>
      <c r="B187" s="44">
        <v>54917894</v>
      </c>
      <c r="C187" s="44">
        <v>27447604</v>
      </c>
      <c r="D187" s="110">
        <f>B187-C187</f>
        <v>27470290</v>
      </c>
      <c r="E187" s="110">
        <f>B187*0.25</f>
        <v>13729473.5</v>
      </c>
      <c r="F187" s="110">
        <f>B187*0.1</f>
        <v>5491789.4000000004</v>
      </c>
      <c r="G187" s="110">
        <f>B187*0.15</f>
        <v>8237684.0999999996</v>
      </c>
      <c r="H187" s="111">
        <f>D187/B187</f>
        <v>0.50020654470107684</v>
      </c>
    </row>
    <row r="188" spans="1:8">
      <c r="A188" s="104">
        <v>45448</v>
      </c>
      <c r="B188" s="44">
        <v>58212170</v>
      </c>
      <c r="C188" s="44">
        <v>28677655</v>
      </c>
      <c r="D188" s="110">
        <f>B188-C188</f>
        <v>29534515</v>
      </c>
      <c r="E188" s="110">
        <f>B188*0.25</f>
        <v>14553042.5</v>
      </c>
      <c r="F188" s="110">
        <f>B188*0.1</f>
        <v>5821217</v>
      </c>
      <c r="G188" s="110">
        <f>B188*0.15</f>
        <v>8731825.5</v>
      </c>
      <c r="H188" s="111">
        <f>D188/B188</f>
        <v>0.50735980122369606</v>
      </c>
    </row>
    <row r="189" spans="1:8">
      <c r="A189" s="104">
        <v>45449</v>
      </c>
      <c r="B189" s="44">
        <v>57976716</v>
      </c>
      <c r="C189" s="44">
        <v>28758949</v>
      </c>
      <c r="D189" s="110">
        <f>B189-C189</f>
        <v>29217767</v>
      </c>
      <c r="E189" s="110">
        <f>B189*0.25</f>
        <v>14494179</v>
      </c>
      <c r="F189" s="110">
        <f>B189*0.1</f>
        <v>5797671.6000000006</v>
      </c>
      <c r="G189" s="110">
        <f>B189*0.15</f>
        <v>8696507.4000000004</v>
      </c>
      <c r="H189" s="111">
        <f>D189/B189</f>
        <v>0.50395691608334625</v>
      </c>
    </row>
    <row r="190" spans="1:8">
      <c r="A190" s="104"/>
    </row>
    <row r="191" spans="1:8">
      <c r="A191" s="104"/>
    </row>
    <row r="192" spans="1:8">
      <c r="A192" s="104"/>
    </row>
    <row r="193" spans="1:1">
      <c r="A193" s="104"/>
    </row>
    <row r="194" spans="1:1">
      <c r="A194" s="104"/>
    </row>
    <row r="195" spans="1:1">
      <c r="A195" s="104"/>
    </row>
    <row r="196" spans="1:1">
      <c r="A196" s="104"/>
    </row>
    <row r="197" spans="1:1">
      <c r="A197" s="104"/>
    </row>
    <row r="198" spans="1:1">
      <c r="A198" s="104"/>
    </row>
    <row r="199" spans="1:1">
      <c r="A199" s="104"/>
    </row>
    <row r="200" spans="1:1">
      <c r="A200" s="104"/>
    </row>
    <row r="201" spans="1:1">
      <c r="A201" s="104"/>
    </row>
    <row r="202" spans="1:1">
      <c r="A202" s="104"/>
    </row>
    <row r="203" spans="1:1">
      <c r="A203" s="104"/>
    </row>
    <row r="204" spans="1:1">
      <c r="A204" s="104"/>
    </row>
    <row r="205" spans="1:1">
      <c r="A205" s="104"/>
    </row>
    <row r="206" spans="1:1">
      <c r="A206" s="104"/>
    </row>
    <row r="207" spans="1:1">
      <c r="A207" s="104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4.4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5.9">
      <c r="B1" s="37" t="s">
        <v>176</v>
      </c>
      <c r="K1" s="36"/>
      <c r="N1" s="37"/>
    </row>
    <row r="2" spans="1:27" ht="15.75" customHeight="1">
      <c r="B2" s="174"/>
      <c r="C2" s="317" t="s">
        <v>177</v>
      </c>
      <c r="D2" s="318"/>
      <c r="E2" s="317" t="s">
        <v>178</v>
      </c>
      <c r="F2" s="318"/>
      <c r="G2" s="317" t="s">
        <v>179</v>
      </c>
      <c r="H2" s="319"/>
      <c r="I2" s="319"/>
      <c r="J2" s="319"/>
      <c r="K2" s="318"/>
      <c r="L2" s="175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76" t="s">
        <v>79</v>
      </c>
      <c r="C3" s="174" t="s">
        <v>180</v>
      </c>
      <c r="D3" s="177" t="s">
        <v>181</v>
      </c>
      <c r="E3" s="174" t="s">
        <v>180</v>
      </c>
      <c r="F3" s="177" t="s">
        <v>181</v>
      </c>
      <c r="G3" s="178" t="s">
        <v>182</v>
      </c>
      <c r="H3" s="179" t="s">
        <v>183</v>
      </c>
      <c r="I3" s="179" t="s">
        <v>152</v>
      </c>
      <c r="J3" s="179" t="s">
        <v>184</v>
      </c>
      <c r="K3" s="179" t="s">
        <v>34</v>
      </c>
      <c r="L3" s="180" t="s">
        <v>185</v>
      </c>
      <c r="N3" s="322" t="s">
        <v>186</v>
      </c>
      <c r="O3" s="322"/>
      <c r="P3" s="322"/>
      <c r="Q3" s="322"/>
      <c r="R3" s="322"/>
      <c r="S3" s="322"/>
      <c r="T3" s="322"/>
      <c r="U3" s="322"/>
      <c r="V3" s="322"/>
      <c r="W3" s="322"/>
      <c r="X3" s="322"/>
      <c r="Z3" s="2"/>
      <c r="AA3" s="2"/>
    </row>
    <row r="4" spans="1:27" ht="16.5" customHeight="1">
      <c r="B4" s="316" t="s">
        <v>26</v>
      </c>
      <c r="C4" s="316"/>
      <c r="D4" s="316"/>
      <c r="E4" s="316"/>
      <c r="F4" s="316"/>
      <c r="G4" s="316"/>
      <c r="H4" s="316"/>
      <c r="I4" s="316"/>
      <c r="J4" s="316"/>
      <c r="K4" s="316"/>
      <c r="L4" s="316"/>
      <c r="N4" s="189" t="s">
        <v>187</v>
      </c>
      <c r="O4" s="190">
        <v>0</v>
      </c>
      <c r="P4" s="191">
        <v>-40</v>
      </c>
      <c r="Q4" s="190" t="s">
        <v>188</v>
      </c>
      <c r="R4" s="191">
        <v>0.15</v>
      </c>
      <c r="S4" s="192">
        <v>1024.32</v>
      </c>
      <c r="T4" s="191">
        <v>281.70999999999998</v>
      </c>
      <c r="U4" s="191">
        <v>-14.34</v>
      </c>
      <c r="V4" s="191">
        <v>0</v>
      </c>
      <c r="W4" s="193">
        <v>1291.69</v>
      </c>
      <c r="X4" s="194"/>
      <c r="Z4" s="2"/>
      <c r="AA4" s="2"/>
    </row>
    <row r="5" spans="1:27" ht="15" customHeight="1">
      <c r="A5" s="4" t="s">
        <v>77</v>
      </c>
      <c r="B5" s="181">
        <v>333</v>
      </c>
      <c r="C5" s="182">
        <v>28000</v>
      </c>
      <c r="D5" s="183">
        <v>28000</v>
      </c>
      <c r="E5" s="184">
        <v>64.760000000000005</v>
      </c>
      <c r="F5" s="185">
        <v>63.92</v>
      </c>
      <c r="G5" s="186">
        <v>-3231.75</v>
      </c>
      <c r="H5" s="185">
        <v>0</v>
      </c>
      <c r="I5" s="185">
        <v>0</v>
      </c>
      <c r="J5" s="185">
        <v>0</v>
      </c>
      <c r="K5" s="187">
        <v>-3231.75</v>
      </c>
      <c r="L5" s="188"/>
      <c r="N5" s="189" t="s">
        <v>189</v>
      </c>
      <c r="O5" s="190">
        <v>0</v>
      </c>
      <c r="P5" s="191">
        <v>0</v>
      </c>
      <c r="Q5" s="190" t="s">
        <v>188</v>
      </c>
      <c r="R5" s="191" t="s">
        <v>188</v>
      </c>
      <c r="S5" s="192">
        <v>3379.32</v>
      </c>
      <c r="T5" s="193">
        <v>-1664.3</v>
      </c>
      <c r="U5" s="191">
        <v>-28.68</v>
      </c>
      <c r="V5" s="191">
        <v>0</v>
      </c>
      <c r="W5" s="193">
        <v>1686.34</v>
      </c>
      <c r="X5" s="194"/>
      <c r="Z5" s="2"/>
      <c r="AA5" s="2"/>
    </row>
    <row r="6" spans="1:27" ht="15" customHeight="1">
      <c r="B6" s="181">
        <v>921</v>
      </c>
      <c r="C6" s="182">
        <v>34100</v>
      </c>
      <c r="D6" s="183">
        <v>34100</v>
      </c>
      <c r="E6" s="184">
        <v>40.67</v>
      </c>
      <c r="F6" s="185">
        <v>38.26</v>
      </c>
      <c r="G6" s="186">
        <v>-11307.6</v>
      </c>
      <c r="H6" s="185">
        <v>0</v>
      </c>
      <c r="I6" s="185">
        <v>0</v>
      </c>
      <c r="J6" s="185">
        <v>0</v>
      </c>
      <c r="K6" s="187">
        <v>-11307.6</v>
      </c>
      <c r="L6" s="188"/>
      <c r="N6" s="189" t="s">
        <v>190</v>
      </c>
      <c r="O6" s="190">
        <v>0</v>
      </c>
      <c r="P6" s="191">
        <v>-46</v>
      </c>
      <c r="Q6" s="190" t="s">
        <v>188</v>
      </c>
      <c r="R6" s="191">
        <v>2.57</v>
      </c>
      <c r="S6" s="190">
        <v>-653.77</v>
      </c>
      <c r="T6" s="191">
        <v>410.53</v>
      </c>
      <c r="U6" s="191">
        <v>-29.2</v>
      </c>
      <c r="V6" s="191">
        <v>0</v>
      </c>
      <c r="W6" s="191">
        <v>-272.44</v>
      </c>
      <c r="X6" s="194"/>
      <c r="Z6" s="2"/>
      <c r="AA6" s="2"/>
    </row>
    <row r="7" spans="1:27" ht="15" customHeight="1">
      <c r="B7" s="181">
        <v>1109</v>
      </c>
      <c r="C7" s="182">
        <v>220000</v>
      </c>
      <c r="D7" s="183">
        <v>220000</v>
      </c>
      <c r="E7" s="184">
        <v>28.4</v>
      </c>
      <c r="F7" s="185">
        <v>26.85</v>
      </c>
      <c r="G7" s="186">
        <v>-43700.47</v>
      </c>
      <c r="H7" s="185">
        <v>0</v>
      </c>
      <c r="I7" s="185">
        <v>0</v>
      </c>
      <c r="J7" s="185">
        <v>0</v>
      </c>
      <c r="K7" s="187">
        <v>-43700.47</v>
      </c>
      <c r="L7" s="188"/>
      <c r="N7" s="189" t="s">
        <v>191</v>
      </c>
      <c r="O7" s="190">
        <v>0</v>
      </c>
      <c r="P7" s="191">
        <v>-50</v>
      </c>
      <c r="Q7" s="190" t="s">
        <v>188</v>
      </c>
      <c r="R7" s="191">
        <v>0.67</v>
      </c>
      <c r="S7" s="190">
        <v>0</v>
      </c>
      <c r="T7" s="193">
        <v>-1557.01</v>
      </c>
      <c r="U7" s="191">
        <v>-61.21</v>
      </c>
      <c r="V7" s="191">
        <v>0</v>
      </c>
      <c r="W7" s="193">
        <v>-1618.22</v>
      </c>
      <c r="X7" s="194"/>
      <c r="Z7" s="2"/>
      <c r="AA7" s="2"/>
    </row>
    <row r="8" spans="1:27" ht="15">
      <c r="B8" s="181">
        <v>1288</v>
      </c>
      <c r="C8" s="182">
        <v>2325000</v>
      </c>
      <c r="D8" s="183">
        <v>2325000</v>
      </c>
      <c r="E8" s="184">
        <v>3.27</v>
      </c>
      <c r="F8" s="185">
        <v>3.21</v>
      </c>
      <c r="G8" s="186">
        <v>-17883.669999999998</v>
      </c>
      <c r="H8" s="185">
        <v>0</v>
      </c>
      <c r="I8" s="185">
        <v>0</v>
      </c>
      <c r="J8" s="185">
        <v>0</v>
      </c>
      <c r="K8" s="187">
        <v>-17883.669999999998</v>
      </c>
      <c r="L8" s="188"/>
      <c r="N8" s="189" t="s">
        <v>192</v>
      </c>
      <c r="O8" s="190">
        <v>0</v>
      </c>
      <c r="P8" s="191">
        <v>-100</v>
      </c>
      <c r="Q8" s="190" t="s">
        <v>188</v>
      </c>
      <c r="R8" s="191">
        <v>0.05</v>
      </c>
      <c r="S8" s="192">
        <v>9548.36</v>
      </c>
      <c r="T8" s="193">
        <v>-1528.63</v>
      </c>
      <c r="U8" s="191">
        <v>-122.72</v>
      </c>
      <c r="V8" s="191">
        <v>0</v>
      </c>
      <c r="W8" s="193">
        <v>7897.01</v>
      </c>
      <c r="X8" s="194"/>
      <c r="Z8" s="2"/>
      <c r="AA8" s="2"/>
    </row>
    <row r="9" spans="1:27" ht="15.75" customHeight="1">
      <c r="B9" s="181">
        <v>2020</v>
      </c>
      <c r="C9" s="182">
        <v>104800</v>
      </c>
      <c r="D9" s="183">
        <v>104800</v>
      </c>
      <c r="E9" s="184">
        <v>83.25</v>
      </c>
      <c r="F9" s="185">
        <v>82.05</v>
      </c>
      <c r="G9" s="186">
        <v>-16144.49</v>
      </c>
      <c r="H9" s="185">
        <v>0</v>
      </c>
      <c r="I9" s="185">
        <v>0</v>
      </c>
      <c r="J9" s="185">
        <v>0</v>
      </c>
      <c r="K9" s="187">
        <v>-16144.49</v>
      </c>
      <c r="L9" s="188"/>
      <c r="N9" s="189" t="s">
        <v>193</v>
      </c>
      <c r="O9" s="190">
        <v>-5</v>
      </c>
      <c r="P9" s="191">
        <v>0</v>
      </c>
      <c r="Q9" s="190">
        <v>0.1593</v>
      </c>
      <c r="R9" s="191" t="s">
        <v>188</v>
      </c>
      <c r="S9" s="190">
        <v>79.650000000000006</v>
      </c>
      <c r="T9" s="191">
        <v>0</v>
      </c>
      <c r="U9" s="191">
        <v>0</v>
      </c>
      <c r="V9" s="191">
        <v>0</v>
      </c>
      <c r="W9" s="191">
        <v>79.650000000000006</v>
      </c>
      <c r="X9" s="194"/>
      <c r="Z9" s="2"/>
      <c r="AA9" s="2"/>
    </row>
    <row r="10" spans="1:27" ht="15" customHeight="1">
      <c r="B10" s="181">
        <v>2823</v>
      </c>
      <c r="C10" s="182">
        <v>468900</v>
      </c>
      <c r="D10" s="183">
        <v>618900</v>
      </c>
      <c r="E10" s="184">
        <v>12.73</v>
      </c>
      <c r="F10" s="185">
        <v>12.43</v>
      </c>
      <c r="G10" s="186">
        <v>-22809.32</v>
      </c>
      <c r="H10" s="185">
        <v>-791.17</v>
      </c>
      <c r="I10" s="185">
        <v>-148.97</v>
      </c>
      <c r="J10" s="185">
        <v>0</v>
      </c>
      <c r="K10" s="187">
        <v>-23749.46</v>
      </c>
      <c r="L10" s="188"/>
      <c r="N10" s="189" t="s">
        <v>194</v>
      </c>
      <c r="O10" s="190">
        <v>-4</v>
      </c>
      <c r="P10" s="191">
        <v>0</v>
      </c>
      <c r="Q10" s="190">
        <v>0.3105</v>
      </c>
      <c r="R10" s="191" t="s">
        <v>188</v>
      </c>
      <c r="S10" s="190">
        <v>124.2</v>
      </c>
      <c r="T10" s="191">
        <v>0</v>
      </c>
      <c r="U10" s="191">
        <v>0</v>
      </c>
      <c r="V10" s="191">
        <v>0</v>
      </c>
      <c r="W10" s="191">
        <v>124.2</v>
      </c>
      <c r="X10" s="194"/>
      <c r="Z10" s="2"/>
      <c r="AA10" s="2"/>
    </row>
    <row r="11" spans="1:27" ht="15" customHeight="1">
      <c r="B11" s="181">
        <v>2828</v>
      </c>
      <c r="C11" s="182">
        <v>523000</v>
      </c>
      <c r="D11" s="183">
        <v>553000</v>
      </c>
      <c r="E11" s="184">
        <v>64.84</v>
      </c>
      <c r="F11" s="185">
        <v>65.66</v>
      </c>
      <c r="G11" s="186">
        <v>53416.59</v>
      </c>
      <c r="H11" s="187">
        <v>-1408</v>
      </c>
      <c r="I11" s="185">
        <v>-154.22999999999999</v>
      </c>
      <c r="J11" s="185">
        <v>0</v>
      </c>
      <c r="K11" s="187">
        <v>51854.36</v>
      </c>
      <c r="L11" s="188"/>
      <c r="N11" s="189" t="s">
        <v>195</v>
      </c>
      <c r="O11" s="190">
        <v>-6</v>
      </c>
      <c r="P11" s="191">
        <v>0</v>
      </c>
      <c r="Q11" s="190">
        <v>0.87870000000000004</v>
      </c>
      <c r="R11" s="191" t="s">
        <v>188</v>
      </c>
      <c r="S11" s="190">
        <v>509.22</v>
      </c>
      <c r="T11" s="191">
        <v>18</v>
      </c>
      <c r="U11" s="191">
        <v>0</v>
      </c>
      <c r="V11" s="191">
        <v>0</v>
      </c>
      <c r="W11" s="191">
        <v>527.22</v>
      </c>
      <c r="X11" s="194"/>
      <c r="Z11" s="2"/>
      <c r="AA11" s="2"/>
    </row>
    <row r="12" spans="1:27" ht="15" customHeight="1">
      <c r="B12" s="181">
        <v>2899</v>
      </c>
      <c r="C12" s="182">
        <v>1360000</v>
      </c>
      <c r="D12" s="183">
        <v>1360000</v>
      </c>
      <c r="E12" s="184">
        <v>16.54</v>
      </c>
      <c r="F12" s="185">
        <v>16.38</v>
      </c>
      <c r="G12" s="186">
        <v>-27864.77</v>
      </c>
      <c r="H12" s="185">
        <v>0</v>
      </c>
      <c r="I12" s="185">
        <v>0</v>
      </c>
      <c r="J12" s="185">
        <v>0</v>
      </c>
      <c r="K12" s="187">
        <v>-27864.77</v>
      </c>
      <c r="L12" s="188"/>
      <c r="N12" s="189" t="s">
        <v>196</v>
      </c>
      <c r="O12" s="190">
        <v>0</v>
      </c>
      <c r="P12" s="191">
        <v>-10</v>
      </c>
      <c r="Q12" s="190" t="s">
        <v>188</v>
      </c>
      <c r="R12" s="191">
        <v>1E-4</v>
      </c>
      <c r="S12" s="190">
        <v>779</v>
      </c>
      <c r="T12" s="191">
        <v>470.9</v>
      </c>
      <c r="U12" s="191">
        <v>2.97</v>
      </c>
      <c r="V12" s="191">
        <v>0</v>
      </c>
      <c r="W12" s="193">
        <v>1252.8699999999999</v>
      </c>
      <c r="X12" s="194"/>
      <c r="Z12" s="2"/>
      <c r="AA12" s="2"/>
    </row>
    <row r="13" spans="1:27" ht="15">
      <c r="B13" s="181">
        <v>600519</v>
      </c>
      <c r="C13" s="184">
        <v>900</v>
      </c>
      <c r="D13" s="185">
        <v>900</v>
      </c>
      <c r="E13" s="186">
        <v>1648.45</v>
      </c>
      <c r="F13" s="187">
        <v>1555.01</v>
      </c>
      <c r="G13" s="186">
        <v>-11567.9</v>
      </c>
      <c r="H13" s="185">
        <v>0</v>
      </c>
      <c r="I13" s="185">
        <v>0</v>
      </c>
      <c r="J13" s="185">
        <v>0</v>
      </c>
      <c r="K13" s="187">
        <v>-11567.9</v>
      </c>
      <c r="L13" s="188"/>
      <c r="N13" s="189" t="s">
        <v>197</v>
      </c>
      <c r="O13" s="190">
        <v>-5</v>
      </c>
      <c r="P13" s="191">
        <v>-8</v>
      </c>
      <c r="Q13" s="190">
        <v>0.3821</v>
      </c>
      <c r="R13" s="191">
        <v>1E-4</v>
      </c>
      <c r="S13" s="190">
        <v>468.47</v>
      </c>
      <c r="T13" s="191">
        <v>181.5</v>
      </c>
      <c r="U13" s="191">
        <v>-2.11</v>
      </c>
      <c r="V13" s="191">
        <v>0</v>
      </c>
      <c r="W13" s="191">
        <v>647.86</v>
      </c>
      <c r="X13" s="194"/>
      <c r="Z13" s="2"/>
      <c r="AA13" s="2"/>
    </row>
    <row r="14" spans="1:27" ht="15" customHeight="1">
      <c r="B14" s="181">
        <v>600690</v>
      </c>
      <c r="C14" s="182">
        <v>22600</v>
      </c>
      <c r="D14" s="183">
        <v>22600</v>
      </c>
      <c r="E14" s="184">
        <v>29.54</v>
      </c>
      <c r="F14" s="185">
        <v>29.93</v>
      </c>
      <c r="G14" s="186">
        <v>1218.4100000000001</v>
      </c>
      <c r="H14" s="185">
        <v>0</v>
      </c>
      <c r="I14" s="185">
        <v>0</v>
      </c>
      <c r="J14" s="185">
        <v>0</v>
      </c>
      <c r="K14" s="187">
        <v>1218.4100000000001</v>
      </c>
      <c r="L14" s="188"/>
      <c r="N14" s="189" t="s">
        <v>198</v>
      </c>
      <c r="O14" s="190">
        <v>0</v>
      </c>
      <c r="P14" s="191">
        <v>-30</v>
      </c>
      <c r="Q14" s="190" t="s">
        <v>188</v>
      </c>
      <c r="R14" s="191">
        <v>2.0000000000000001E-4</v>
      </c>
      <c r="S14" s="192">
        <v>3756</v>
      </c>
      <c r="T14" s="193">
        <v>1433.4</v>
      </c>
      <c r="U14" s="191">
        <v>-0.63</v>
      </c>
      <c r="V14" s="191">
        <v>0</v>
      </c>
      <c r="W14" s="193">
        <v>5188.7700000000004</v>
      </c>
      <c r="X14" s="194"/>
      <c r="Z14" s="2"/>
      <c r="AA14" s="2"/>
    </row>
    <row r="15" spans="1:27" ht="15" customHeight="1">
      <c r="B15" s="181">
        <v>688</v>
      </c>
      <c r="C15" s="182">
        <v>220000</v>
      </c>
      <c r="D15" s="183">
        <v>240000</v>
      </c>
      <c r="E15" s="184">
        <v>14.74</v>
      </c>
      <c r="F15" s="185">
        <v>14.42</v>
      </c>
      <c r="G15" s="186">
        <v>-10723.34</v>
      </c>
      <c r="H15" s="185">
        <v>-614.64</v>
      </c>
      <c r="I15" s="185">
        <v>-63.93</v>
      </c>
      <c r="J15" s="185">
        <v>0</v>
      </c>
      <c r="K15" s="187">
        <v>-11401.91</v>
      </c>
      <c r="L15" s="188"/>
      <c r="N15" s="189" t="s">
        <v>199</v>
      </c>
      <c r="O15" s="190">
        <v>-2</v>
      </c>
      <c r="P15" s="191">
        <v>-2</v>
      </c>
      <c r="Q15" s="190">
        <v>0.61140000000000005</v>
      </c>
      <c r="R15" s="191">
        <v>6.9999999999999999E-4</v>
      </c>
      <c r="S15" s="190">
        <v>122.14</v>
      </c>
      <c r="T15" s="191">
        <v>0</v>
      </c>
      <c r="U15" s="191">
        <v>0</v>
      </c>
      <c r="V15" s="191">
        <v>0</v>
      </c>
      <c r="W15" s="191">
        <v>122.14</v>
      </c>
      <c r="X15" s="194"/>
      <c r="Z15" s="2"/>
      <c r="AA15" s="2"/>
    </row>
    <row r="16" spans="1:27" ht="15" customHeight="1">
      <c r="B16" s="181">
        <v>700</v>
      </c>
      <c r="C16" s="182">
        <v>15300</v>
      </c>
      <c r="D16" s="183">
        <v>15300</v>
      </c>
      <c r="E16" s="184">
        <v>359.8</v>
      </c>
      <c r="F16" s="185">
        <v>379.8</v>
      </c>
      <c r="G16" s="186">
        <v>39141.75</v>
      </c>
      <c r="H16" s="185">
        <v>0</v>
      </c>
      <c r="I16" s="185">
        <v>0</v>
      </c>
      <c r="J16" s="185">
        <v>0</v>
      </c>
      <c r="K16" s="187">
        <v>39141.75</v>
      </c>
      <c r="L16" s="188"/>
      <c r="N16" s="189" t="s">
        <v>200</v>
      </c>
      <c r="O16" s="190">
        <v>-4</v>
      </c>
      <c r="P16" s="191">
        <v>-4</v>
      </c>
      <c r="Q16" s="190">
        <v>0.91539999999999999</v>
      </c>
      <c r="R16" s="191">
        <v>1.15E-2</v>
      </c>
      <c r="S16" s="190">
        <v>361.56</v>
      </c>
      <c r="T16" s="191">
        <v>0</v>
      </c>
      <c r="U16" s="191">
        <v>0</v>
      </c>
      <c r="V16" s="191">
        <v>0</v>
      </c>
      <c r="W16" s="191">
        <v>361.56</v>
      </c>
      <c r="X16" s="194"/>
      <c r="Z16" s="2"/>
      <c r="AA16" s="2"/>
    </row>
    <row r="17" spans="2:27" ht="15">
      <c r="B17" s="181">
        <v>857</v>
      </c>
      <c r="C17" s="182">
        <v>2860000</v>
      </c>
      <c r="D17" s="183">
        <v>2860000</v>
      </c>
      <c r="E17" s="184">
        <v>7.97</v>
      </c>
      <c r="F17" s="185">
        <v>7.69</v>
      </c>
      <c r="G17" s="186">
        <v>-102516.7</v>
      </c>
      <c r="H17" s="185">
        <v>0</v>
      </c>
      <c r="I17" s="185">
        <v>0</v>
      </c>
      <c r="J17" s="185">
        <v>0</v>
      </c>
      <c r="K17" s="187">
        <v>-102516.7</v>
      </c>
      <c r="L17" s="188"/>
      <c r="N17" s="189" t="s">
        <v>201</v>
      </c>
      <c r="O17" s="190">
        <v>0</v>
      </c>
      <c r="P17" s="191">
        <v>-100</v>
      </c>
      <c r="Q17" s="190" t="s">
        <v>188</v>
      </c>
      <c r="R17" s="191">
        <v>0.3</v>
      </c>
      <c r="S17" s="192">
        <v>2250</v>
      </c>
      <c r="T17" s="191">
        <v>660</v>
      </c>
      <c r="U17" s="191">
        <v>-17.87</v>
      </c>
      <c r="V17" s="191">
        <v>0</v>
      </c>
      <c r="W17" s="193">
        <v>2892.13</v>
      </c>
      <c r="X17" s="194"/>
      <c r="Z17" s="2"/>
      <c r="AA17" s="2"/>
    </row>
    <row r="18" spans="2:27" ht="15.75" customHeight="1">
      <c r="B18" s="181">
        <v>883</v>
      </c>
      <c r="C18" s="182">
        <v>2562000</v>
      </c>
      <c r="D18" s="183">
        <v>2562000</v>
      </c>
      <c r="E18" s="184">
        <v>20.9</v>
      </c>
      <c r="F18" s="185">
        <v>21.4</v>
      </c>
      <c r="G18" s="186">
        <v>164044.85999999999</v>
      </c>
      <c r="H18" s="185">
        <v>0</v>
      </c>
      <c r="I18" s="185">
        <v>0</v>
      </c>
      <c r="J18" s="185">
        <v>0</v>
      </c>
      <c r="K18" s="187">
        <v>164044.85999999999</v>
      </c>
      <c r="L18" s="188"/>
      <c r="N18" s="189" t="s">
        <v>202</v>
      </c>
      <c r="O18" s="190">
        <v>0</v>
      </c>
      <c r="P18" s="191">
        <v>-130</v>
      </c>
      <c r="Q18" s="190" t="s">
        <v>188</v>
      </c>
      <c r="R18" s="191">
        <v>0.1</v>
      </c>
      <c r="S18" s="192">
        <v>1950</v>
      </c>
      <c r="T18" s="191">
        <v>419</v>
      </c>
      <c r="U18" s="191">
        <v>-48.86</v>
      </c>
      <c r="V18" s="191">
        <v>0</v>
      </c>
      <c r="W18" s="193">
        <v>2320.14</v>
      </c>
      <c r="X18" s="194"/>
      <c r="Z18" s="2"/>
      <c r="AA18" s="2"/>
    </row>
    <row r="19" spans="2:27" ht="15.75" customHeight="1">
      <c r="B19" s="181">
        <v>921</v>
      </c>
      <c r="C19" s="182">
        <v>24000</v>
      </c>
      <c r="D19" s="183">
        <v>24000</v>
      </c>
      <c r="E19" s="184">
        <v>35.5</v>
      </c>
      <c r="F19" s="185">
        <v>33.299999999999997</v>
      </c>
      <c r="G19" s="186">
        <v>-6760.39</v>
      </c>
      <c r="H19" s="185">
        <v>0</v>
      </c>
      <c r="I19" s="185">
        <v>0</v>
      </c>
      <c r="J19" s="185">
        <v>0</v>
      </c>
      <c r="K19" s="187">
        <v>-6760.39</v>
      </c>
      <c r="L19" s="188"/>
      <c r="N19" s="189" t="s">
        <v>203</v>
      </c>
      <c r="O19" s="190">
        <v>-80</v>
      </c>
      <c r="P19" s="191">
        <v>0</v>
      </c>
      <c r="Q19" s="190">
        <v>2.2000000000000002</v>
      </c>
      <c r="R19" s="191" t="s">
        <v>188</v>
      </c>
      <c r="S19" s="190">
        <v>0</v>
      </c>
      <c r="T19" s="193">
        <v>17600</v>
      </c>
      <c r="U19" s="191">
        <v>0</v>
      </c>
      <c r="V19" s="191">
        <v>0</v>
      </c>
      <c r="W19" s="193">
        <v>17600</v>
      </c>
      <c r="X19" s="194"/>
      <c r="Z19" s="2"/>
      <c r="AA19" s="2"/>
    </row>
    <row r="20" spans="2:27" ht="14.25" customHeight="1">
      <c r="B20" s="181">
        <v>9888</v>
      </c>
      <c r="C20" s="182">
        <v>15600</v>
      </c>
      <c r="D20" s="183">
        <v>15600</v>
      </c>
      <c r="E20" s="184">
        <v>93.5</v>
      </c>
      <c r="F20" s="185">
        <v>92.45</v>
      </c>
      <c r="G20" s="186">
        <v>-2099.4899999999998</v>
      </c>
      <c r="H20" s="185">
        <v>0</v>
      </c>
      <c r="I20" s="185">
        <v>0</v>
      </c>
      <c r="J20" s="185">
        <v>0</v>
      </c>
      <c r="K20" s="187">
        <v>-2099.4899999999998</v>
      </c>
      <c r="L20" s="188"/>
      <c r="N20" s="189" t="s">
        <v>204</v>
      </c>
      <c r="O20" s="190">
        <v>0</v>
      </c>
      <c r="P20" s="191">
        <v>0</v>
      </c>
      <c r="Q20" s="190" t="s">
        <v>188</v>
      </c>
      <c r="R20" s="191" t="s">
        <v>188</v>
      </c>
      <c r="S20" s="192">
        <v>6100</v>
      </c>
      <c r="T20" s="193">
        <v>-1810</v>
      </c>
      <c r="U20" s="191">
        <v>-23.7</v>
      </c>
      <c r="V20" s="191">
        <v>0</v>
      </c>
      <c r="W20" s="193">
        <v>4266.3</v>
      </c>
      <c r="X20" s="194"/>
      <c r="Z20" s="2"/>
      <c r="AA20" s="2"/>
    </row>
    <row r="21" spans="2:27" ht="15">
      <c r="B21" s="181">
        <v>9988</v>
      </c>
      <c r="C21" s="182">
        <v>22000</v>
      </c>
      <c r="D21" s="183">
        <v>22000</v>
      </c>
      <c r="E21" s="184">
        <v>74.900000000000006</v>
      </c>
      <c r="F21" s="185">
        <v>74.5</v>
      </c>
      <c r="G21" s="186">
        <v>-1133.29</v>
      </c>
      <c r="H21" s="185">
        <v>0</v>
      </c>
      <c r="I21" s="185">
        <v>0</v>
      </c>
      <c r="J21" s="185">
        <v>0</v>
      </c>
      <c r="K21" s="187">
        <v>-1133.29</v>
      </c>
      <c r="L21" s="188"/>
      <c r="N21" s="189" t="s">
        <v>205</v>
      </c>
      <c r="O21" s="190">
        <v>0</v>
      </c>
      <c r="P21" s="191">
        <v>0</v>
      </c>
      <c r="Q21" s="190" t="s">
        <v>188</v>
      </c>
      <c r="R21" s="191" t="s">
        <v>188</v>
      </c>
      <c r="S21" s="192">
        <v>3240</v>
      </c>
      <c r="T21" s="193">
        <v>-1060</v>
      </c>
      <c r="U21" s="191">
        <v>-23.65</v>
      </c>
      <c r="V21" s="191">
        <v>0</v>
      </c>
      <c r="W21" s="193">
        <v>2156.35</v>
      </c>
      <c r="X21" s="194"/>
      <c r="Z21" s="2"/>
      <c r="AA21" s="2"/>
    </row>
    <row r="22" spans="2:27" ht="15">
      <c r="B22" s="181" t="s">
        <v>206</v>
      </c>
      <c r="C22" s="184">
        <v>0</v>
      </c>
      <c r="D22" s="183">
        <v>15000</v>
      </c>
      <c r="E22" s="184" t="s">
        <v>188</v>
      </c>
      <c r="F22" s="185">
        <v>60</v>
      </c>
      <c r="G22" s="186">
        <v>-34397.93</v>
      </c>
      <c r="H22" s="187">
        <v>3751.29</v>
      </c>
      <c r="I22" s="187">
        <v>-3352.38</v>
      </c>
      <c r="J22" s="185">
        <v>0</v>
      </c>
      <c r="K22" s="187">
        <v>-33999.019999999997</v>
      </c>
      <c r="L22" s="188"/>
      <c r="N22" s="189" t="s">
        <v>207</v>
      </c>
      <c r="O22" s="190">
        <v>0</v>
      </c>
      <c r="P22" s="191">
        <v>-5</v>
      </c>
      <c r="Q22" s="190" t="s">
        <v>188</v>
      </c>
      <c r="R22" s="191">
        <v>2.3999999999999998E-3</v>
      </c>
      <c r="S22" s="190">
        <v>188.8</v>
      </c>
      <c r="T22" s="191">
        <v>-90</v>
      </c>
      <c r="U22" s="191">
        <v>-3.45</v>
      </c>
      <c r="V22" s="191">
        <v>0</v>
      </c>
      <c r="W22" s="191">
        <v>95.35</v>
      </c>
      <c r="X22" s="194"/>
    </row>
    <row r="23" spans="2:27" ht="15.75" customHeight="1">
      <c r="B23" s="181" t="s">
        <v>208</v>
      </c>
      <c r="C23" s="182">
        <v>267138</v>
      </c>
      <c r="D23" s="183">
        <v>201138</v>
      </c>
      <c r="E23" s="184">
        <v>56.19</v>
      </c>
      <c r="F23" s="185">
        <v>54.58</v>
      </c>
      <c r="G23" s="186">
        <v>-414252.18</v>
      </c>
      <c r="H23" s="187">
        <v>-9716.0499999999993</v>
      </c>
      <c r="I23" s="185">
        <v>-312.92</v>
      </c>
      <c r="J23" s="185">
        <v>0</v>
      </c>
      <c r="K23" s="187">
        <v>-424281.15</v>
      </c>
      <c r="L23" s="188"/>
      <c r="N23" s="189" t="s">
        <v>209</v>
      </c>
      <c r="O23" s="190">
        <v>0</v>
      </c>
      <c r="P23" s="191">
        <v>-5</v>
      </c>
      <c r="Q23" s="190" t="s">
        <v>188</v>
      </c>
      <c r="R23" s="191">
        <v>1.4999999999999999E-2</v>
      </c>
      <c r="S23" s="190">
        <v>370</v>
      </c>
      <c r="T23" s="191">
        <v>-202.5</v>
      </c>
      <c r="U23" s="191">
        <v>-3.45</v>
      </c>
      <c r="V23" s="191">
        <v>0</v>
      </c>
      <c r="W23" s="191">
        <v>164.05</v>
      </c>
      <c r="X23" s="194"/>
      <c r="Z23" s="2"/>
      <c r="AA23" s="2"/>
    </row>
    <row r="24" spans="2:27" ht="15">
      <c r="B24" s="181" t="s">
        <v>210</v>
      </c>
      <c r="C24" s="182">
        <v>38350</v>
      </c>
      <c r="D24" s="183">
        <v>38350</v>
      </c>
      <c r="E24" s="184">
        <v>71.67</v>
      </c>
      <c r="F24" s="185">
        <v>71.91</v>
      </c>
      <c r="G24" s="186">
        <v>9204</v>
      </c>
      <c r="H24" s="185">
        <v>0</v>
      </c>
      <c r="I24" s="185">
        <v>0</v>
      </c>
      <c r="J24" s="187">
        <v>3544.01</v>
      </c>
      <c r="K24" s="187">
        <v>12748.01</v>
      </c>
      <c r="L24" s="188"/>
      <c r="N24" s="189" t="s">
        <v>211</v>
      </c>
      <c r="O24" s="190">
        <v>0</v>
      </c>
      <c r="P24" s="191">
        <v>-40</v>
      </c>
      <c r="Q24" s="190" t="s">
        <v>188</v>
      </c>
      <c r="R24" s="191">
        <v>1.0335000000000001</v>
      </c>
      <c r="S24" s="192">
        <v>5920.4</v>
      </c>
      <c r="T24" s="191">
        <v>-634.4</v>
      </c>
      <c r="U24" s="191">
        <v>-19.87</v>
      </c>
      <c r="V24" s="191">
        <v>0</v>
      </c>
      <c r="W24" s="193">
        <v>5266.13</v>
      </c>
      <c r="X24" s="194"/>
      <c r="Y24" s="2"/>
    </row>
    <row r="25" spans="2:27" ht="15">
      <c r="B25" s="181" t="s">
        <v>212</v>
      </c>
      <c r="C25" s="182">
        <v>43084</v>
      </c>
      <c r="D25" s="183">
        <v>43084</v>
      </c>
      <c r="E25" s="184">
        <v>25.13</v>
      </c>
      <c r="F25" s="185">
        <v>25.85</v>
      </c>
      <c r="G25" s="186">
        <v>31020.48</v>
      </c>
      <c r="H25" s="185">
        <v>0</v>
      </c>
      <c r="I25" s="185">
        <v>0</v>
      </c>
      <c r="J25" s="185">
        <v>0</v>
      </c>
      <c r="K25" s="187">
        <v>31020.48</v>
      </c>
      <c r="L25" s="188"/>
      <c r="N25" s="189" t="s">
        <v>213</v>
      </c>
      <c r="O25" s="190">
        <v>0</v>
      </c>
      <c r="P25" s="191">
        <v>-40</v>
      </c>
      <c r="Q25" s="190" t="s">
        <v>188</v>
      </c>
      <c r="R25" s="191">
        <v>0.185</v>
      </c>
      <c r="S25" s="192">
        <v>3100</v>
      </c>
      <c r="T25" s="193">
        <v>4241</v>
      </c>
      <c r="U25" s="191">
        <v>-27.85</v>
      </c>
      <c r="V25" s="191">
        <v>0</v>
      </c>
      <c r="W25" s="193">
        <v>7313.15</v>
      </c>
      <c r="X25" s="194"/>
      <c r="Y25" s="2"/>
    </row>
    <row r="26" spans="2:27" ht="15">
      <c r="B26" s="181" t="s">
        <v>214</v>
      </c>
      <c r="C26" s="184">
        <v>0</v>
      </c>
      <c r="D26" s="185">
        <v>0</v>
      </c>
      <c r="E26" s="184" t="s">
        <v>188</v>
      </c>
      <c r="F26" s="185" t="s">
        <v>188</v>
      </c>
      <c r="G26" s="184">
        <v>0</v>
      </c>
      <c r="H26" s="185">
        <v>-810</v>
      </c>
      <c r="I26" s="185">
        <v>-3.21</v>
      </c>
      <c r="J26" s="185">
        <v>0</v>
      </c>
      <c r="K26" s="185">
        <v>-813.21</v>
      </c>
      <c r="L26" s="188"/>
      <c r="N26" s="189" t="s">
        <v>215</v>
      </c>
      <c r="O26" s="190">
        <v>0</v>
      </c>
      <c r="P26" s="191">
        <v>-80</v>
      </c>
      <c r="Q26" s="190" t="s">
        <v>188</v>
      </c>
      <c r="R26" s="191">
        <v>3.5000000000000003E-2</v>
      </c>
      <c r="S26" s="192">
        <v>3680</v>
      </c>
      <c r="T26" s="193">
        <v>2210</v>
      </c>
      <c r="U26" s="191">
        <v>-50.64</v>
      </c>
      <c r="V26" s="191">
        <v>0</v>
      </c>
      <c r="W26" s="193">
        <v>5839.36</v>
      </c>
      <c r="X26" s="194"/>
      <c r="Z26" s="2"/>
      <c r="AA26" s="2"/>
    </row>
    <row r="27" spans="2:27" ht="15">
      <c r="B27" s="181" t="s">
        <v>216</v>
      </c>
      <c r="C27" s="182">
        <v>44650</v>
      </c>
      <c r="D27" s="183">
        <v>44650</v>
      </c>
      <c r="E27" s="184">
        <v>111.11</v>
      </c>
      <c r="F27" s="185">
        <v>108.33</v>
      </c>
      <c r="G27" s="186">
        <v>-124127</v>
      </c>
      <c r="H27" s="185">
        <v>0</v>
      </c>
      <c r="I27" s="185">
        <v>0</v>
      </c>
      <c r="J27" s="185">
        <v>0</v>
      </c>
      <c r="K27" s="187">
        <v>-124127</v>
      </c>
      <c r="L27" s="188"/>
      <c r="N27" s="189" t="s">
        <v>217</v>
      </c>
      <c r="O27" s="190">
        <v>0</v>
      </c>
      <c r="P27" s="191">
        <v>0</v>
      </c>
      <c r="Q27" s="190" t="s">
        <v>188</v>
      </c>
      <c r="R27" s="191" t="s">
        <v>188</v>
      </c>
      <c r="S27" s="192">
        <v>2726</v>
      </c>
      <c r="T27" s="193">
        <v>-1668</v>
      </c>
      <c r="U27" s="191">
        <v>-41.23</v>
      </c>
      <c r="V27" s="191">
        <v>0</v>
      </c>
      <c r="W27" s="193">
        <v>1016.77</v>
      </c>
      <c r="X27" s="194"/>
      <c r="Z27" s="2"/>
      <c r="AA27" s="2"/>
    </row>
    <row r="28" spans="2:27" ht="15">
      <c r="B28" s="181" t="s">
        <v>218</v>
      </c>
      <c r="C28" s="182">
        <v>154454</v>
      </c>
      <c r="D28" s="183">
        <v>154454</v>
      </c>
      <c r="E28" s="184">
        <v>45.89</v>
      </c>
      <c r="F28" s="185">
        <v>47.3</v>
      </c>
      <c r="G28" s="186">
        <v>217780.14</v>
      </c>
      <c r="H28" s="185">
        <v>0</v>
      </c>
      <c r="I28" s="185">
        <v>0</v>
      </c>
      <c r="J28" s="185">
        <v>0</v>
      </c>
      <c r="K28" s="187">
        <v>217780.14</v>
      </c>
      <c r="L28" s="188"/>
      <c r="N28" s="189" t="s">
        <v>219</v>
      </c>
      <c r="O28" s="190">
        <v>0</v>
      </c>
      <c r="P28" s="191">
        <v>-2</v>
      </c>
      <c r="Q28" s="190" t="s">
        <v>188</v>
      </c>
      <c r="R28" s="191">
        <v>3.5000000000000003E-2</v>
      </c>
      <c r="S28" s="190">
        <v>0</v>
      </c>
      <c r="T28" s="191">
        <v>19</v>
      </c>
      <c r="U28" s="191">
        <v>-2.38</v>
      </c>
      <c r="V28" s="191">
        <v>0</v>
      </c>
      <c r="W28" s="191">
        <v>16.62</v>
      </c>
      <c r="X28" s="194"/>
    </row>
    <row r="29" spans="2:27" ht="15">
      <c r="B29" s="181" t="s">
        <v>220</v>
      </c>
      <c r="C29" s="182">
        <v>80000</v>
      </c>
      <c r="D29" s="183">
        <v>80000</v>
      </c>
      <c r="E29" s="184">
        <v>38.83</v>
      </c>
      <c r="F29" s="185">
        <v>36.32</v>
      </c>
      <c r="G29" s="186">
        <v>-200800</v>
      </c>
      <c r="H29" s="185">
        <v>0</v>
      </c>
      <c r="I29" s="185">
        <v>0</v>
      </c>
      <c r="J29" s="185">
        <v>0</v>
      </c>
      <c r="K29" s="187">
        <v>-200800</v>
      </c>
      <c r="L29" s="188"/>
      <c r="N29" s="189" t="s">
        <v>221</v>
      </c>
      <c r="O29" s="190">
        <v>0</v>
      </c>
      <c r="P29" s="191">
        <v>-58</v>
      </c>
      <c r="Q29" s="190" t="s">
        <v>188</v>
      </c>
      <c r="R29" s="191">
        <v>4.4999999999999997E-3</v>
      </c>
      <c r="S29" s="192">
        <v>2148.9</v>
      </c>
      <c r="T29" s="191">
        <v>985</v>
      </c>
      <c r="U29" s="191">
        <v>-45.69</v>
      </c>
      <c r="V29" s="191">
        <v>0</v>
      </c>
      <c r="W29" s="193">
        <v>3088.21</v>
      </c>
      <c r="X29" s="194"/>
    </row>
    <row r="30" spans="2:27" ht="15">
      <c r="B30" s="181" t="s">
        <v>222</v>
      </c>
      <c r="C30" s="182">
        <v>126253</v>
      </c>
      <c r="D30" s="183">
        <v>122253</v>
      </c>
      <c r="E30" s="184">
        <v>62.18</v>
      </c>
      <c r="F30" s="185">
        <v>64.84</v>
      </c>
      <c r="G30" s="186">
        <v>336242.98</v>
      </c>
      <c r="H30" s="185">
        <v>710</v>
      </c>
      <c r="I30" s="185">
        <v>-18.52</v>
      </c>
      <c r="J30" s="185">
        <v>0</v>
      </c>
      <c r="K30" s="187">
        <v>336934.46</v>
      </c>
      <c r="L30" s="188"/>
      <c r="N30" s="189" t="s">
        <v>223</v>
      </c>
      <c r="O30" s="190">
        <v>0</v>
      </c>
      <c r="P30" s="191">
        <v>-45</v>
      </c>
      <c r="Q30" s="190" t="s">
        <v>188</v>
      </c>
      <c r="R30" s="191">
        <v>0.43</v>
      </c>
      <c r="S30" s="190">
        <v>0</v>
      </c>
      <c r="T30" s="193">
        <v>2059</v>
      </c>
      <c r="U30" s="191">
        <v>-31.51</v>
      </c>
      <c r="V30" s="191">
        <v>0</v>
      </c>
      <c r="W30" s="193">
        <v>2027.49</v>
      </c>
      <c r="X30" s="194"/>
    </row>
    <row r="31" spans="2:27" ht="15">
      <c r="B31" s="181" t="s">
        <v>224</v>
      </c>
      <c r="C31" s="182">
        <v>115300</v>
      </c>
      <c r="D31" s="183">
        <v>115300</v>
      </c>
      <c r="E31" s="184">
        <v>17.25</v>
      </c>
      <c r="F31" s="185">
        <v>17.39</v>
      </c>
      <c r="G31" s="186">
        <v>16142</v>
      </c>
      <c r="H31" s="185">
        <v>0</v>
      </c>
      <c r="I31" s="185">
        <v>0</v>
      </c>
      <c r="J31" s="185">
        <v>0</v>
      </c>
      <c r="K31" s="187">
        <v>16142</v>
      </c>
      <c r="L31" s="188"/>
      <c r="N31" s="189" t="s">
        <v>225</v>
      </c>
      <c r="O31" s="190">
        <v>0</v>
      </c>
      <c r="P31" s="191">
        <v>-7</v>
      </c>
      <c r="Q31" s="190" t="s">
        <v>188</v>
      </c>
      <c r="R31" s="191">
        <v>2E-3</v>
      </c>
      <c r="S31" s="190">
        <v>884.1</v>
      </c>
      <c r="T31" s="191">
        <v>-6.5</v>
      </c>
      <c r="U31" s="191">
        <v>-4.1100000000000003</v>
      </c>
      <c r="V31" s="191">
        <v>0</v>
      </c>
      <c r="W31" s="191">
        <v>873.49</v>
      </c>
      <c r="X31" s="194"/>
      <c r="Z31" s="2"/>
      <c r="AA31" s="2"/>
    </row>
    <row r="32" spans="2:27" ht="15" customHeight="1">
      <c r="B32" s="181" t="s">
        <v>226</v>
      </c>
      <c r="C32" s="182">
        <v>44481</v>
      </c>
      <c r="D32" s="183">
        <v>60481</v>
      </c>
      <c r="E32" s="184">
        <v>215.3</v>
      </c>
      <c r="F32" s="185">
        <v>212.97</v>
      </c>
      <c r="G32" s="186">
        <v>-134440.73000000001</v>
      </c>
      <c r="H32" s="187">
        <v>-12452.1</v>
      </c>
      <c r="I32" s="185">
        <v>-25.42</v>
      </c>
      <c r="J32" s="185">
        <v>0</v>
      </c>
      <c r="K32" s="187">
        <v>-146918.26</v>
      </c>
      <c r="L32" s="188"/>
      <c r="N32" s="189" t="s">
        <v>227</v>
      </c>
      <c r="O32" s="190">
        <v>0</v>
      </c>
      <c r="P32" s="191">
        <v>0</v>
      </c>
      <c r="Q32" s="190" t="s">
        <v>188</v>
      </c>
      <c r="R32" s="191" t="s">
        <v>188</v>
      </c>
      <c r="S32" s="190">
        <v>0</v>
      </c>
      <c r="T32" s="193">
        <v>1115</v>
      </c>
      <c r="U32" s="191">
        <v>-29.07</v>
      </c>
      <c r="V32" s="191">
        <v>0</v>
      </c>
      <c r="W32" s="193">
        <v>1085.93</v>
      </c>
      <c r="X32" s="194"/>
    </row>
    <row r="33" spans="2:26" ht="15.75" customHeight="1">
      <c r="B33" s="181" t="s">
        <v>228</v>
      </c>
      <c r="C33" s="184">
        <v>0</v>
      </c>
      <c r="D33" s="183">
        <v>11000</v>
      </c>
      <c r="E33" s="184" t="s">
        <v>188</v>
      </c>
      <c r="F33" s="185">
        <v>143.75</v>
      </c>
      <c r="G33" s="186">
        <v>-29620</v>
      </c>
      <c r="H33" s="187">
        <v>-3312.9</v>
      </c>
      <c r="I33" s="185">
        <v>-30.33</v>
      </c>
      <c r="J33" s="185">
        <v>0</v>
      </c>
      <c r="K33" s="187">
        <v>-32963.230000000003</v>
      </c>
      <c r="L33" s="188"/>
      <c r="N33" s="189" t="s">
        <v>229</v>
      </c>
      <c r="O33" s="190">
        <v>0</v>
      </c>
      <c r="P33" s="191">
        <v>0</v>
      </c>
      <c r="Q33" s="190" t="s">
        <v>188</v>
      </c>
      <c r="R33" s="191" t="s">
        <v>188</v>
      </c>
      <c r="S33" s="190">
        <v>0</v>
      </c>
      <c r="T33" s="191">
        <v>200</v>
      </c>
      <c r="U33" s="191">
        <v>-6.9</v>
      </c>
      <c r="V33" s="191">
        <v>0</v>
      </c>
      <c r="W33" s="191">
        <v>193.1</v>
      </c>
      <c r="X33" s="194"/>
      <c r="Z33" s="2"/>
    </row>
    <row r="34" spans="2:26" ht="15" customHeight="1">
      <c r="B34" s="181" t="s">
        <v>230</v>
      </c>
      <c r="C34" s="182">
        <v>43200</v>
      </c>
      <c r="D34" s="183">
        <v>43200</v>
      </c>
      <c r="E34" s="184">
        <v>23.23</v>
      </c>
      <c r="F34" s="185">
        <v>22.97</v>
      </c>
      <c r="G34" s="186">
        <v>-11232</v>
      </c>
      <c r="H34" s="185">
        <v>0</v>
      </c>
      <c r="I34" s="185">
        <v>0</v>
      </c>
      <c r="J34" s="185">
        <v>0</v>
      </c>
      <c r="K34" s="187">
        <v>-11232</v>
      </c>
      <c r="L34" s="188"/>
      <c r="N34" s="189" t="s">
        <v>231</v>
      </c>
      <c r="O34" s="190">
        <v>0</v>
      </c>
      <c r="P34" s="191">
        <v>0</v>
      </c>
      <c r="Q34" s="190" t="s">
        <v>188</v>
      </c>
      <c r="R34" s="191" t="s">
        <v>188</v>
      </c>
      <c r="S34" s="192">
        <v>11437.2</v>
      </c>
      <c r="T34" s="191">
        <v>22.8</v>
      </c>
      <c r="U34" s="191">
        <v>-35.200000000000003</v>
      </c>
      <c r="V34" s="191">
        <v>0</v>
      </c>
      <c r="W34" s="193">
        <v>11424.8</v>
      </c>
      <c r="X34" s="194"/>
      <c r="Z34" s="2"/>
    </row>
    <row r="35" spans="2:26" ht="15" customHeight="1">
      <c r="B35" s="181" t="s">
        <v>232</v>
      </c>
      <c r="C35" s="182">
        <v>21013</v>
      </c>
      <c r="D35" s="183">
        <v>21013</v>
      </c>
      <c r="E35" s="184">
        <v>47.28</v>
      </c>
      <c r="F35" s="185">
        <v>47.44</v>
      </c>
      <c r="G35" s="186">
        <v>3362.08</v>
      </c>
      <c r="H35" s="185">
        <v>0</v>
      </c>
      <c r="I35" s="185">
        <v>0</v>
      </c>
      <c r="J35" s="187">
        <v>2202.62</v>
      </c>
      <c r="K35" s="187">
        <v>5564.7</v>
      </c>
      <c r="L35" s="188"/>
      <c r="N35" s="189" t="s">
        <v>233</v>
      </c>
      <c r="O35" s="190">
        <v>0</v>
      </c>
      <c r="P35" s="191">
        <v>0</v>
      </c>
      <c r="Q35" s="190" t="s">
        <v>188</v>
      </c>
      <c r="R35" s="191" t="s">
        <v>188</v>
      </c>
      <c r="S35" s="190">
        <v>0</v>
      </c>
      <c r="T35" s="191">
        <v>350</v>
      </c>
      <c r="U35" s="191">
        <v>-13.83</v>
      </c>
      <c r="V35" s="191">
        <v>0</v>
      </c>
      <c r="W35" s="191">
        <v>336.17</v>
      </c>
      <c r="X35" s="194"/>
    </row>
    <row r="36" spans="2:26" ht="15" customHeight="1">
      <c r="B36" s="181" t="s">
        <v>234</v>
      </c>
      <c r="C36" s="182">
        <v>58224</v>
      </c>
      <c r="D36" s="183">
        <v>58224</v>
      </c>
      <c r="E36" s="184">
        <v>205.77</v>
      </c>
      <c r="F36" s="185">
        <v>201.94</v>
      </c>
      <c r="G36" s="186">
        <v>-222997.92</v>
      </c>
      <c r="H36" s="185">
        <v>0</v>
      </c>
      <c r="I36" s="185">
        <v>0</v>
      </c>
      <c r="J36" s="185">
        <v>0</v>
      </c>
      <c r="K36" s="187">
        <v>-222997.92</v>
      </c>
      <c r="L36" s="188"/>
      <c r="N36" s="189" t="s">
        <v>235</v>
      </c>
      <c r="O36" s="190">
        <v>0</v>
      </c>
      <c r="P36" s="191">
        <v>0</v>
      </c>
      <c r="Q36" s="190" t="s">
        <v>188</v>
      </c>
      <c r="R36" s="191" t="s">
        <v>188</v>
      </c>
      <c r="S36" s="190">
        <v>0</v>
      </c>
      <c r="T36" s="191">
        <v>500</v>
      </c>
      <c r="U36" s="191">
        <v>-13.82</v>
      </c>
      <c r="V36" s="191">
        <v>0</v>
      </c>
      <c r="W36" s="191">
        <v>486.18</v>
      </c>
      <c r="X36" s="194"/>
    </row>
    <row r="37" spans="2:26" ht="15" customHeight="1">
      <c r="B37" s="181" t="s">
        <v>236</v>
      </c>
      <c r="C37" s="182">
        <v>26725</v>
      </c>
      <c r="D37" s="183">
        <v>26725</v>
      </c>
      <c r="E37" s="184">
        <v>106.89</v>
      </c>
      <c r="F37" s="185">
        <v>108.37</v>
      </c>
      <c r="G37" s="186">
        <v>39553</v>
      </c>
      <c r="H37" s="185">
        <v>0</v>
      </c>
      <c r="I37" s="185">
        <v>0</v>
      </c>
      <c r="J37" s="187">
        <v>7567.34</v>
      </c>
      <c r="K37" s="187">
        <v>47120.34</v>
      </c>
      <c r="L37" s="188"/>
      <c r="N37" s="189" t="s">
        <v>237</v>
      </c>
      <c r="O37" s="190">
        <v>0</v>
      </c>
      <c r="P37" s="191">
        <v>0</v>
      </c>
      <c r="Q37" s="190" t="s">
        <v>188</v>
      </c>
      <c r="R37" s="191" t="s">
        <v>188</v>
      </c>
      <c r="S37" s="190">
        <v>0</v>
      </c>
      <c r="T37" s="193">
        <v>1290</v>
      </c>
      <c r="U37" s="191">
        <v>-46.06</v>
      </c>
      <c r="V37" s="191">
        <v>0</v>
      </c>
      <c r="W37" s="193">
        <v>1243.94</v>
      </c>
      <c r="X37" s="194"/>
    </row>
    <row r="38" spans="2:26" ht="15" customHeight="1">
      <c r="B38" s="181" t="s">
        <v>238</v>
      </c>
      <c r="C38" s="184">
        <v>0</v>
      </c>
      <c r="D38" s="185">
        <v>700</v>
      </c>
      <c r="E38" s="184" t="s">
        <v>188</v>
      </c>
      <c r="F38" s="185">
        <v>253.7</v>
      </c>
      <c r="G38" s="186">
        <v>-4403</v>
      </c>
      <c r="H38" s="185">
        <v>-18.96</v>
      </c>
      <c r="I38" s="185">
        <v>-2.1800000000000002</v>
      </c>
      <c r="J38" s="185">
        <v>0</v>
      </c>
      <c r="K38" s="187">
        <v>-4424.1400000000003</v>
      </c>
      <c r="L38" s="188"/>
      <c r="N38" s="189" t="s">
        <v>239</v>
      </c>
      <c r="O38" s="190">
        <v>0</v>
      </c>
      <c r="P38" s="191">
        <v>0</v>
      </c>
      <c r="Q38" s="190" t="s">
        <v>188</v>
      </c>
      <c r="R38" s="191" t="s">
        <v>188</v>
      </c>
      <c r="S38" s="190">
        <v>0</v>
      </c>
      <c r="T38" s="191">
        <v>200</v>
      </c>
      <c r="U38" s="191">
        <v>-6.9</v>
      </c>
      <c r="V38" s="191">
        <v>0</v>
      </c>
      <c r="W38" s="191">
        <v>193.1</v>
      </c>
      <c r="X38" s="194"/>
    </row>
    <row r="39" spans="2:26" ht="15" customHeight="1">
      <c r="B39" s="181" t="s">
        <v>240</v>
      </c>
      <c r="C39" s="182">
        <v>8140</v>
      </c>
      <c r="D39" s="183">
        <v>103400</v>
      </c>
      <c r="E39" s="186">
        <v>1096.33</v>
      </c>
      <c r="F39" s="185">
        <v>129.61000000000001</v>
      </c>
      <c r="G39" s="186">
        <v>1879405.8</v>
      </c>
      <c r="H39" s="187">
        <v>47391.44</v>
      </c>
      <c r="I39" s="185">
        <v>-6.63</v>
      </c>
      <c r="J39" s="185">
        <v>0</v>
      </c>
      <c r="K39" s="187">
        <v>1926790.61</v>
      </c>
      <c r="L39" s="188"/>
      <c r="N39" s="189" t="s">
        <v>241</v>
      </c>
      <c r="O39" s="190">
        <v>0</v>
      </c>
      <c r="P39" s="191">
        <v>0</v>
      </c>
      <c r="Q39" s="190" t="s">
        <v>188</v>
      </c>
      <c r="R39" s="191" t="s">
        <v>188</v>
      </c>
      <c r="S39" s="190">
        <v>0</v>
      </c>
      <c r="T39" s="191">
        <v>860</v>
      </c>
      <c r="U39" s="191">
        <v>-27.69</v>
      </c>
      <c r="V39" s="191">
        <v>0</v>
      </c>
      <c r="W39" s="191">
        <v>832.31</v>
      </c>
      <c r="X39" s="194"/>
    </row>
    <row r="40" spans="2:26" ht="15" customHeight="1">
      <c r="B40" s="181" t="s">
        <v>242</v>
      </c>
      <c r="C40" s="182">
        <v>55883</v>
      </c>
      <c r="D40" s="183">
        <v>51183</v>
      </c>
      <c r="E40" s="184">
        <v>450.71</v>
      </c>
      <c r="F40" s="185">
        <v>476.72</v>
      </c>
      <c r="G40" s="186">
        <v>1489261.83</v>
      </c>
      <c r="H40" s="187">
        <v>-32046.92</v>
      </c>
      <c r="I40" s="185">
        <v>-20.059999999999999</v>
      </c>
      <c r="J40" s="185">
        <v>0</v>
      </c>
      <c r="K40" s="187">
        <v>1457194.85</v>
      </c>
      <c r="L40" s="188"/>
      <c r="N40" s="189" t="s">
        <v>243</v>
      </c>
      <c r="O40" s="190">
        <v>0</v>
      </c>
      <c r="P40" s="191">
        <v>0</v>
      </c>
      <c r="Q40" s="190" t="s">
        <v>188</v>
      </c>
      <c r="R40" s="191" t="s">
        <v>188</v>
      </c>
      <c r="S40" s="190">
        <v>0</v>
      </c>
      <c r="T40" s="193">
        <v>1190</v>
      </c>
      <c r="U40" s="191">
        <v>-31.32</v>
      </c>
      <c r="V40" s="191">
        <v>0</v>
      </c>
      <c r="W40" s="193">
        <v>1158.68</v>
      </c>
      <c r="X40" s="194"/>
    </row>
    <row r="41" spans="2:26" ht="15" customHeight="1">
      <c r="B41" s="181" t="s">
        <v>244</v>
      </c>
      <c r="C41" s="182">
        <v>36485</v>
      </c>
      <c r="D41" s="183">
        <v>47885</v>
      </c>
      <c r="E41" s="184">
        <v>240.48</v>
      </c>
      <c r="F41" s="185">
        <v>267.20999999999998</v>
      </c>
      <c r="G41" s="186">
        <v>1207576.05</v>
      </c>
      <c r="H41" s="187">
        <v>31406.39</v>
      </c>
      <c r="I41" s="185">
        <v>-37.49</v>
      </c>
      <c r="J41" s="185">
        <v>0</v>
      </c>
      <c r="K41" s="187">
        <v>1238944.95</v>
      </c>
      <c r="L41" s="188"/>
      <c r="N41" s="189" t="s">
        <v>245</v>
      </c>
      <c r="O41" s="190">
        <v>0</v>
      </c>
      <c r="P41" s="191">
        <v>0</v>
      </c>
      <c r="Q41" s="190" t="s">
        <v>188</v>
      </c>
      <c r="R41" s="191" t="s">
        <v>188</v>
      </c>
      <c r="S41" s="190">
        <v>0</v>
      </c>
      <c r="T41" s="191">
        <v>410</v>
      </c>
      <c r="U41" s="191">
        <v>-11.48</v>
      </c>
      <c r="V41" s="191">
        <v>0</v>
      </c>
      <c r="W41" s="191">
        <v>398.52</v>
      </c>
      <c r="X41" s="194"/>
    </row>
    <row r="42" spans="2:26" ht="15">
      <c r="B42" s="181" t="s">
        <v>246</v>
      </c>
      <c r="C42" s="184">
        <v>0</v>
      </c>
      <c r="D42" s="185">
        <v>0</v>
      </c>
      <c r="E42" s="184" t="s">
        <v>188</v>
      </c>
      <c r="F42" s="185" t="s">
        <v>188</v>
      </c>
      <c r="G42" s="186">
        <v>3458</v>
      </c>
      <c r="H42" s="185">
        <v>-283.22000000000003</v>
      </c>
      <c r="I42" s="185">
        <v>-53.48</v>
      </c>
      <c r="J42" s="185">
        <v>0</v>
      </c>
      <c r="K42" s="187">
        <v>3121.31</v>
      </c>
      <c r="L42" s="188"/>
      <c r="N42" s="189" t="s">
        <v>247</v>
      </c>
      <c r="O42" s="190">
        <v>0</v>
      </c>
      <c r="P42" s="191">
        <v>0</v>
      </c>
      <c r="Q42" s="190" t="s">
        <v>188</v>
      </c>
      <c r="R42" s="191" t="s">
        <v>188</v>
      </c>
      <c r="S42" s="190">
        <v>0</v>
      </c>
      <c r="T42" s="193">
        <v>8610</v>
      </c>
      <c r="U42" s="191">
        <v>-50.08</v>
      </c>
      <c r="V42" s="191">
        <v>0</v>
      </c>
      <c r="W42" s="193">
        <v>8559.92</v>
      </c>
      <c r="X42" s="194"/>
    </row>
    <row r="43" spans="2:26" ht="15">
      <c r="B43" s="181" t="s">
        <v>248</v>
      </c>
      <c r="C43" s="184">
        <v>0</v>
      </c>
      <c r="D43" s="183">
        <v>9000</v>
      </c>
      <c r="E43" s="184" t="s">
        <v>188</v>
      </c>
      <c r="F43" s="185">
        <v>172.91</v>
      </c>
      <c r="G43" s="186">
        <v>35790</v>
      </c>
      <c r="H43" s="187">
        <v>3051.47</v>
      </c>
      <c r="I43" s="185">
        <v>-24.75</v>
      </c>
      <c r="J43" s="185">
        <v>0</v>
      </c>
      <c r="K43" s="187">
        <v>38816.720000000001</v>
      </c>
      <c r="L43" s="188"/>
      <c r="N43" s="189" t="s">
        <v>249</v>
      </c>
      <c r="O43" s="190">
        <v>0</v>
      </c>
      <c r="P43" s="191">
        <v>0</v>
      </c>
      <c r="Q43" s="190" t="s">
        <v>188</v>
      </c>
      <c r="R43" s="191" t="s">
        <v>188</v>
      </c>
      <c r="S43" s="190">
        <v>545.6</v>
      </c>
      <c r="T43" s="191">
        <v>-270.60000000000002</v>
      </c>
      <c r="U43" s="191">
        <v>-2.58</v>
      </c>
      <c r="V43" s="191">
        <v>0</v>
      </c>
      <c r="W43" s="191">
        <v>272.42</v>
      </c>
      <c r="X43" s="194"/>
    </row>
    <row r="44" spans="2:26" ht="15" customHeight="1">
      <c r="B44" s="181" t="s">
        <v>250</v>
      </c>
      <c r="C44" s="182">
        <v>10000</v>
      </c>
      <c r="D44" s="183">
        <v>16000</v>
      </c>
      <c r="E44" s="184">
        <v>17.59</v>
      </c>
      <c r="F44" s="185">
        <v>20.11</v>
      </c>
      <c r="G44" s="186">
        <v>21620</v>
      </c>
      <c r="H44" s="185">
        <v>-170</v>
      </c>
      <c r="I44" s="185">
        <v>-16.899999999999999</v>
      </c>
      <c r="J44" s="185">
        <v>0</v>
      </c>
      <c r="K44" s="187">
        <v>21433.1</v>
      </c>
      <c r="L44" s="188"/>
      <c r="N44" s="189" t="s">
        <v>251</v>
      </c>
      <c r="O44" s="190">
        <v>0</v>
      </c>
      <c r="P44" s="191">
        <v>0</v>
      </c>
      <c r="Q44" s="190" t="s">
        <v>188</v>
      </c>
      <c r="R44" s="191" t="s">
        <v>188</v>
      </c>
      <c r="S44" s="192">
        <v>2720.84</v>
      </c>
      <c r="T44" s="191">
        <v>-769.84</v>
      </c>
      <c r="U44" s="191">
        <v>-26.62</v>
      </c>
      <c r="V44" s="191">
        <v>0</v>
      </c>
      <c r="W44" s="193">
        <v>1924.38</v>
      </c>
      <c r="X44" s="194"/>
    </row>
    <row r="45" spans="2:26" ht="15" customHeight="1">
      <c r="B45" s="181" t="s">
        <v>252</v>
      </c>
      <c r="C45" s="182">
        <v>15270</v>
      </c>
      <c r="D45" s="183">
        <v>15270</v>
      </c>
      <c r="E45" s="184">
        <v>56.53</v>
      </c>
      <c r="F45" s="185">
        <v>51.71</v>
      </c>
      <c r="G45" s="186">
        <v>-73601.399999999994</v>
      </c>
      <c r="H45" s="185">
        <v>0</v>
      </c>
      <c r="I45" s="185">
        <v>0</v>
      </c>
      <c r="J45" s="185">
        <v>0</v>
      </c>
      <c r="K45" s="187">
        <v>-73601.399999999994</v>
      </c>
      <c r="L45" s="188"/>
      <c r="N45" s="189" t="s">
        <v>253</v>
      </c>
      <c r="O45" s="190">
        <v>0</v>
      </c>
      <c r="P45" s="191">
        <v>-15</v>
      </c>
      <c r="Q45" s="190" t="s">
        <v>188</v>
      </c>
      <c r="R45" s="191">
        <v>3.3422000000000001</v>
      </c>
      <c r="S45" s="192">
        <v>-3775.8</v>
      </c>
      <c r="T45" s="191">
        <v>73.5</v>
      </c>
      <c r="U45" s="191">
        <v>-8.9700000000000006</v>
      </c>
      <c r="V45" s="191">
        <v>0</v>
      </c>
      <c r="W45" s="193">
        <v>-3711.27</v>
      </c>
      <c r="X45" s="194"/>
    </row>
    <row r="46" spans="2:26" ht="15" customHeight="1">
      <c r="B46" s="181" t="s">
        <v>254</v>
      </c>
      <c r="C46" s="182">
        <v>58743</v>
      </c>
      <c r="D46" s="183">
        <v>58743</v>
      </c>
      <c r="E46" s="184">
        <v>36.33</v>
      </c>
      <c r="F46" s="185">
        <v>36.344999999999999</v>
      </c>
      <c r="G46" s="184">
        <v>881.15</v>
      </c>
      <c r="H46" s="185">
        <v>0</v>
      </c>
      <c r="I46" s="185">
        <v>0</v>
      </c>
      <c r="J46" s="187">
        <v>8309.34</v>
      </c>
      <c r="K46" s="187">
        <v>9190.49</v>
      </c>
      <c r="L46" s="188"/>
      <c r="N46" s="189" t="s">
        <v>255</v>
      </c>
      <c r="O46" s="190">
        <v>0</v>
      </c>
      <c r="P46" s="191">
        <v>0</v>
      </c>
      <c r="Q46" s="190" t="s">
        <v>188</v>
      </c>
      <c r="R46" s="191" t="s">
        <v>188</v>
      </c>
      <c r="S46" s="190">
        <v>155</v>
      </c>
      <c r="T46" s="191">
        <v>145</v>
      </c>
      <c r="U46" s="191">
        <v>-4.5</v>
      </c>
      <c r="V46" s="191">
        <v>0</v>
      </c>
      <c r="W46" s="191">
        <v>295.5</v>
      </c>
      <c r="X46" s="194"/>
    </row>
    <row r="47" spans="2:26" ht="15">
      <c r="B47" s="181" t="s">
        <v>256</v>
      </c>
      <c r="C47" s="182">
        <v>36312</v>
      </c>
      <c r="D47" s="183">
        <v>36312</v>
      </c>
      <c r="E47" s="184">
        <v>79.644999999999996</v>
      </c>
      <c r="F47" s="185">
        <v>80.48</v>
      </c>
      <c r="G47" s="186">
        <v>30320.52</v>
      </c>
      <c r="H47" s="185">
        <v>0</v>
      </c>
      <c r="I47" s="185">
        <v>0</v>
      </c>
      <c r="J47" s="187">
        <v>7605.18</v>
      </c>
      <c r="K47" s="187">
        <v>37925.699999999997</v>
      </c>
      <c r="L47" s="188"/>
      <c r="N47" s="189" t="s">
        <v>257</v>
      </c>
      <c r="O47" s="190">
        <v>0</v>
      </c>
      <c r="P47" s="191">
        <v>0</v>
      </c>
      <c r="Q47" s="190" t="s">
        <v>188</v>
      </c>
      <c r="R47" s="191" t="s">
        <v>188</v>
      </c>
      <c r="S47" s="190">
        <v>187.5</v>
      </c>
      <c r="T47" s="191">
        <v>222.5</v>
      </c>
      <c r="U47" s="191">
        <v>-17.399999999999999</v>
      </c>
      <c r="V47" s="191">
        <v>0</v>
      </c>
      <c r="W47" s="191">
        <v>392.6</v>
      </c>
      <c r="X47" s="194"/>
    </row>
    <row r="48" spans="2:26" ht="15" customHeight="1">
      <c r="B48" s="181" t="s">
        <v>258</v>
      </c>
      <c r="C48" s="182">
        <v>73500</v>
      </c>
      <c r="D48" s="183">
        <v>97500</v>
      </c>
      <c r="E48" s="184">
        <v>93.2</v>
      </c>
      <c r="F48" s="185">
        <v>88.7</v>
      </c>
      <c r="G48" s="186">
        <v>-369540</v>
      </c>
      <c r="H48" s="187">
        <v>2510.66</v>
      </c>
      <c r="I48" s="185">
        <v>-68.95</v>
      </c>
      <c r="J48" s="185">
        <v>0</v>
      </c>
      <c r="K48" s="187">
        <v>-367098.29</v>
      </c>
      <c r="L48" s="188"/>
      <c r="N48" s="189" t="s">
        <v>259</v>
      </c>
      <c r="O48" s="190">
        <v>0</v>
      </c>
      <c r="P48" s="191">
        <v>0</v>
      </c>
      <c r="Q48" s="190" t="s">
        <v>188</v>
      </c>
      <c r="R48" s="191" t="s">
        <v>188</v>
      </c>
      <c r="S48" s="190">
        <v>31.5</v>
      </c>
      <c r="T48" s="191">
        <v>49.5</v>
      </c>
      <c r="U48" s="191">
        <v>-4.95</v>
      </c>
      <c r="V48" s="191">
        <v>0</v>
      </c>
      <c r="W48" s="191">
        <v>76.05</v>
      </c>
      <c r="X48" s="194"/>
    </row>
    <row r="49" spans="2:24" ht="15" customHeight="1">
      <c r="B49" s="181" t="s">
        <v>260</v>
      </c>
      <c r="C49" s="182">
        <v>213563</v>
      </c>
      <c r="D49" s="183">
        <v>213563</v>
      </c>
      <c r="E49" s="184">
        <v>41.64</v>
      </c>
      <c r="F49" s="185">
        <v>40.78</v>
      </c>
      <c r="G49" s="186">
        <v>-183664.18</v>
      </c>
      <c r="H49" s="185">
        <v>0</v>
      </c>
      <c r="I49" s="185">
        <v>0</v>
      </c>
      <c r="J49" s="185">
        <v>0</v>
      </c>
      <c r="K49" s="187">
        <v>-183664.18</v>
      </c>
      <c r="L49" s="188"/>
      <c r="N49" s="189" t="s">
        <v>261</v>
      </c>
      <c r="O49" s="190">
        <v>0</v>
      </c>
      <c r="P49" s="191">
        <v>-22</v>
      </c>
      <c r="Q49" s="190" t="s">
        <v>188</v>
      </c>
      <c r="R49" s="191">
        <v>0.125</v>
      </c>
      <c r="S49" s="192">
        <v>1652.2</v>
      </c>
      <c r="T49" s="191">
        <v>-757.2</v>
      </c>
      <c r="U49" s="191">
        <v>-12.8</v>
      </c>
      <c r="V49" s="191">
        <v>0</v>
      </c>
      <c r="W49" s="191">
        <v>882.2</v>
      </c>
      <c r="X49" s="194"/>
    </row>
    <row r="50" spans="2:24" ht="15.75" customHeight="1">
      <c r="B50" s="181" t="s">
        <v>262</v>
      </c>
      <c r="C50" s="182">
        <v>60591</v>
      </c>
      <c r="D50" s="183">
        <v>60591</v>
      </c>
      <c r="E50" s="184">
        <v>210.16</v>
      </c>
      <c r="F50" s="185">
        <v>226.82</v>
      </c>
      <c r="G50" s="186">
        <v>1009446.06</v>
      </c>
      <c r="H50" s="185">
        <v>0</v>
      </c>
      <c r="I50" s="185">
        <v>0</v>
      </c>
      <c r="J50" s="185">
        <v>0</v>
      </c>
      <c r="K50" s="187">
        <v>1009446.06</v>
      </c>
      <c r="L50" s="188"/>
      <c r="N50" s="189" t="s">
        <v>263</v>
      </c>
      <c r="O50" s="190">
        <v>0</v>
      </c>
      <c r="P50" s="191">
        <v>-22</v>
      </c>
      <c r="Q50" s="190" t="s">
        <v>188</v>
      </c>
      <c r="R50" s="191">
        <v>7.0199999999999999E-2</v>
      </c>
      <c r="S50" s="192">
        <v>1242.56</v>
      </c>
      <c r="T50" s="191">
        <v>-479</v>
      </c>
      <c r="U50" s="191">
        <v>-12.32</v>
      </c>
      <c r="V50" s="191">
        <v>0</v>
      </c>
      <c r="W50" s="191">
        <v>751.24</v>
      </c>
      <c r="X50" s="194"/>
    </row>
    <row r="51" spans="2:24" ht="15.75" customHeight="1">
      <c r="B51" s="181" t="s">
        <v>264</v>
      </c>
      <c r="C51" s="184">
        <v>0</v>
      </c>
      <c r="D51" s="183">
        <v>3000</v>
      </c>
      <c r="E51" s="184" t="s">
        <v>188</v>
      </c>
      <c r="F51" s="185">
        <v>70.11</v>
      </c>
      <c r="G51" s="186">
        <v>-5250</v>
      </c>
      <c r="H51" s="187">
        <v>1855</v>
      </c>
      <c r="I51" s="185">
        <v>-10.32</v>
      </c>
      <c r="J51" s="185">
        <v>0</v>
      </c>
      <c r="K51" s="187">
        <v>-3405.32</v>
      </c>
      <c r="L51" s="188"/>
      <c r="N51" s="189" t="s">
        <v>265</v>
      </c>
      <c r="O51" s="190">
        <v>0</v>
      </c>
      <c r="P51" s="191">
        <v>-44</v>
      </c>
      <c r="Q51" s="190" t="s">
        <v>188</v>
      </c>
      <c r="R51" s="191">
        <v>0.23499999999999999</v>
      </c>
      <c r="S51" s="192">
        <v>2024</v>
      </c>
      <c r="T51" s="191">
        <v>-726</v>
      </c>
      <c r="U51" s="191">
        <v>-22.35</v>
      </c>
      <c r="V51" s="191">
        <v>0</v>
      </c>
      <c r="W51" s="193">
        <v>1275.6500000000001</v>
      </c>
      <c r="X51" s="194"/>
    </row>
    <row r="52" spans="2:24" ht="15" customHeight="1">
      <c r="B52" s="181" t="s">
        <v>266</v>
      </c>
      <c r="C52" s="182">
        <v>35254</v>
      </c>
      <c r="D52" s="183">
        <v>35254</v>
      </c>
      <c r="E52" s="184">
        <v>143.69999999999999</v>
      </c>
      <c r="F52" s="185">
        <v>145.93</v>
      </c>
      <c r="G52" s="186">
        <v>78616.42</v>
      </c>
      <c r="H52" s="185">
        <v>0</v>
      </c>
      <c r="I52" s="185">
        <v>0</v>
      </c>
      <c r="J52" s="185">
        <v>0</v>
      </c>
      <c r="K52" s="187">
        <v>78616.42</v>
      </c>
      <c r="L52" s="188"/>
      <c r="N52" s="323" t="s">
        <v>267</v>
      </c>
      <c r="O52" s="323"/>
      <c r="P52" s="323"/>
      <c r="Q52" s="323"/>
      <c r="R52" s="324"/>
      <c r="S52" s="192">
        <v>68277.27</v>
      </c>
      <c r="T52" s="193">
        <v>33003.360000000001</v>
      </c>
      <c r="U52" s="191">
        <v>-985.03</v>
      </c>
      <c r="V52" s="191">
        <v>0</v>
      </c>
      <c r="W52" s="193">
        <v>100295.6</v>
      </c>
      <c r="X52" s="194"/>
    </row>
    <row r="53" spans="2:24" ht="15" customHeight="1">
      <c r="B53" s="181" t="s">
        <v>268</v>
      </c>
      <c r="C53" s="182">
        <v>6000</v>
      </c>
      <c r="D53" s="183">
        <v>61000</v>
      </c>
      <c r="E53" s="184">
        <v>64.430000000000007</v>
      </c>
      <c r="F53" s="185">
        <v>58.78</v>
      </c>
      <c r="G53" s="186">
        <v>-336950</v>
      </c>
      <c r="H53" s="187">
        <v>-17007.98</v>
      </c>
      <c r="I53" s="185">
        <v>-174.76</v>
      </c>
      <c r="J53" s="185">
        <v>0</v>
      </c>
      <c r="K53" s="187">
        <v>-354132.75</v>
      </c>
      <c r="L53" s="188"/>
      <c r="N53" s="322" t="s">
        <v>269</v>
      </c>
      <c r="O53" s="322"/>
      <c r="P53" s="322"/>
      <c r="Q53" s="322"/>
      <c r="R53" s="322"/>
      <c r="S53" s="322"/>
      <c r="T53" s="322"/>
      <c r="U53" s="322"/>
      <c r="V53" s="322"/>
      <c r="W53" s="322"/>
      <c r="X53" s="322"/>
    </row>
    <row r="54" spans="2:24" ht="15" customHeight="1">
      <c r="B54" s="314" t="s">
        <v>270</v>
      </c>
      <c r="C54" s="314"/>
      <c r="D54" s="314"/>
      <c r="E54" s="314"/>
      <c r="F54" s="315"/>
      <c r="G54" s="186">
        <v>4244482.6100000003</v>
      </c>
      <c r="H54" s="187">
        <v>12044.3</v>
      </c>
      <c r="I54" s="187">
        <v>-4525.42</v>
      </c>
      <c r="J54" s="187">
        <v>29228.49</v>
      </c>
      <c r="K54" s="187">
        <v>4281229.99</v>
      </c>
      <c r="L54" s="188"/>
      <c r="N54" s="189" t="s">
        <v>271</v>
      </c>
      <c r="O54" s="190">
        <v>0</v>
      </c>
      <c r="P54" s="191">
        <v>20</v>
      </c>
      <c r="Q54" s="190" t="s">
        <v>188</v>
      </c>
      <c r="R54" s="193">
        <v>19602.5</v>
      </c>
      <c r="S54" s="190">
        <v>0</v>
      </c>
      <c r="T54" s="191">
        <v>-300</v>
      </c>
      <c r="U54" s="191">
        <v>0</v>
      </c>
      <c r="V54" s="191">
        <v>0</v>
      </c>
      <c r="W54" s="191">
        <v>-300</v>
      </c>
      <c r="X54" s="194"/>
    </row>
    <row r="55" spans="2:24" ht="15">
      <c r="B55" s="316" t="s">
        <v>186</v>
      </c>
      <c r="C55" s="316"/>
      <c r="D55" s="316"/>
      <c r="E55" s="316"/>
      <c r="F55" s="316"/>
      <c r="G55" s="316"/>
      <c r="H55" s="316"/>
      <c r="I55" s="316"/>
      <c r="J55" s="316"/>
      <c r="K55" s="316"/>
      <c r="L55" s="316"/>
      <c r="N55" s="323" t="s">
        <v>272</v>
      </c>
      <c r="O55" s="323"/>
      <c r="P55" s="323"/>
      <c r="Q55" s="323"/>
      <c r="R55" s="324"/>
      <c r="S55" s="190">
        <v>0</v>
      </c>
      <c r="T55" s="191">
        <v>-300</v>
      </c>
      <c r="U55" s="191">
        <v>0</v>
      </c>
      <c r="V55" s="191">
        <v>0</v>
      </c>
      <c r="W55" s="191">
        <v>-300</v>
      </c>
      <c r="X55" s="194"/>
    </row>
    <row r="56" spans="2:24" ht="15" customHeight="1">
      <c r="B56" s="181" t="s">
        <v>187</v>
      </c>
      <c r="C56" s="184">
        <v>0</v>
      </c>
      <c r="D56" s="185">
        <v>-40</v>
      </c>
      <c r="E56" s="184" t="s">
        <v>188</v>
      </c>
      <c r="F56" s="185">
        <v>0.15</v>
      </c>
      <c r="G56" s="186">
        <v>1024.32</v>
      </c>
      <c r="H56" s="185">
        <v>281.70999999999998</v>
      </c>
      <c r="I56" s="185">
        <v>-14.34</v>
      </c>
      <c r="J56" s="185">
        <v>0</v>
      </c>
      <c r="K56" s="187">
        <v>1291.69</v>
      </c>
      <c r="L56" s="188"/>
      <c r="N56" s="322" t="s">
        <v>273</v>
      </c>
      <c r="O56" s="322"/>
      <c r="P56" s="322"/>
      <c r="Q56" s="322"/>
      <c r="R56" s="322"/>
      <c r="S56" s="322"/>
      <c r="T56" s="322"/>
      <c r="U56" s="322"/>
      <c r="V56" s="322"/>
      <c r="W56" s="322"/>
      <c r="X56" s="322"/>
    </row>
    <row r="57" spans="2:24" ht="15" customHeight="1">
      <c r="B57" s="181" t="s">
        <v>189</v>
      </c>
      <c r="C57" s="184">
        <v>0</v>
      </c>
      <c r="D57" s="185">
        <v>0</v>
      </c>
      <c r="E57" s="184" t="s">
        <v>188</v>
      </c>
      <c r="F57" s="185" t="s">
        <v>188</v>
      </c>
      <c r="G57" s="186">
        <v>3379.32</v>
      </c>
      <c r="H57" s="187">
        <v>-1664.3</v>
      </c>
      <c r="I57" s="185">
        <v>-28.68</v>
      </c>
      <c r="J57" s="185">
        <v>0</v>
      </c>
      <c r="K57" s="187">
        <v>1686.34</v>
      </c>
      <c r="L57" s="188"/>
      <c r="N57" s="189" t="s">
        <v>274</v>
      </c>
      <c r="O57" s="190">
        <v>0</v>
      </c>
      <c r="P57" s="191">
        <v>0</v>
      </c>
      <c r="Q57" s="190" t="s">
        <v>188</v>
      </c>
      <c r="R57" s="191" t="s">
        <v>188</v>
      </c>
      <c r="S57" s="190">
        <v>0</v>
      </c>
      <c r="T57" s="191">
        <v>785</v>
      </c>
      <c r="U57" s="191">
        <v>-4.7</v>
      </c>
      <c r="V57" s="191">
        <v>0</v>
      </c>
      <c r="W57" s="191">
        <v>780.3</v>
      </c>
      <c r="X57" s="194"/>
    </row>
    <row r="58" spans="2:24" ht="15" customHeight="1">
      <c r="B58" s="181" t="s">
        <v>190</v>
      </c>
      <c r="C58" s="184">
        <v>0</v>
      </c>
      <c r="D58" s="185">
        <v>-46</v>
      </c>
      <c r="E58" s="184" t="s">
        <v>188</v>
      </c>
      <c r="F58" s="185">
        <v>2.57</v>
      </c>
      <c r="G58" s="184">
        <v>-653.77</v>
      </c>
      <c r="H58" s="185">
        <v>410.53</v>
      </c>
      <c r="I58" s="185">
        <v>-29.2</v>
      </c>
      <c r="J58" s="185">
        <v>0</v>
      </c>
      <c r="K58" s="185">
        <v>-272.44</v>
      </c>
      <c r="L58" s="188"/>
      <c r="N58" s="189" t="s">
        <v>275</v>
      </c>
      <c r="O58" s="190">
        <v>0</v>
      </c>
      <c r="P58" s="191">
        <v>0</v>
      </c>
      <c r="Q58" s="190" t="s">
        <v>188</v>
      </c>
      <c r="R58" s="191" t="s">
        <v>188</v>
      </c>
      <c r="S58" s="190">
        <v>0</v>
      </c>
      <c r="T58" s="191">
        <v>749</v>
      </c>
      <c r="U58" s="191">
        <v>-6.58</v>
      </c>
      <c r="V58" s="191">
        <v>0</v>
      </c>
      <c r="W58" s="191">
        <v>742.42</v>
      </c>
      <c r="X58" s="194"/>
    </row>
    <row r="59" spans="2:24" ht="15" customHeight="1">
      <c r="B59" s="181" t="s">
        <v>191</v>
      </c>
      <c r="C59" s="184">
        <v>0</v>
      </c>
      <c r="D59" s="185">
        <v>-50</v>
      </c>
      <c r="E59" s="184" t="s">
        <v>188</v>
      </c>
      <c r="F59" s="185">
        <v>0.67</v>
      </c>
      <c r="G59" s="184">
        <v>0</v>
      </c>
      <c r="H59" s="187">
        <v>-1557.01</v>
      </c>
      <c r="I59" s="185">
        <v>-61.21</v>
      </c>
      <c r="J59" s="185">
        <v>0</v>
      </c>
      <c r="K59" s="187">
        <v>-1618.22</v>
      </c>
      <c r="L59" s="188"/>
      <c r="N59" s="189" t="s">
        <v>276</v>
      </c>
      <c r="O59" s="190">
        <v>0</v>
      </c>
      <c r="P59" s="191">
        <v>0</v>
      </c>
      <c r="Q59" s="190" t="s">
        <v>188</v>
      </c>
      <c r="R59" s="191" t="s">
        <v>188</v>
      </c>
      <c r="S59" s="190">
        <v>0</v>
      </c>
      <c r="T59" s="193">
        <v>8705.5</v>
      </c>
      <c r="U59" s="191">
        <v>-23.97</v>
      </c>
      <c r="V59" s="191">
        <v>0</v>
      </c>
      <c r="W59" s="193">
        <v>8681.5300000000007</v>
      </c>
      <c r="X59" s="194"/>
    </row>
    <row r="60" spans="2:24" ht="15" customHeight="1">
      <c r="B60" s="181" t="s">
        <v>192</v>
      </c>
      <c r="C60" s="184">
        <v>0</v>
      </c>
      <c r="D60" s="185">
        <v>-100</v>
      </c>
      <c r="E60" s="184" t="s">
        <v>188</v>
      </c>
      <c r="F60" s="185">
        <v>0.05</v>
      </c>
      <c r="G60" s="186">
        <v>9548.36</v>
      </c>
      <c r="H60" s="187">
        <v>-1528.63</v>
      </c>
      <c r="I60" s="185">
        <v>-122.72</v>
      </c>
      <c r="J60" s="185">
        <v>0</v>
      </c>
      <c r="K60" s="187">
        <v>7897.01</v>
      </c>
      <c r="L60" s="188"/>
      <c r="N60" s="189" t="s">
        <v>277</v>
      </c>
      <c r="O60" s="190">
        <v>0</v>
      </c>
      <c r="P60" s="191">
        <v>0</v>
      </c>
      <c r="Q60" s="190" t="s">
        <v>188</v>
      </c>
      <c r="R60" s="191" t="s">
        <v>188</v>
      </c>
      <c r="S60" s="190">
        <v>0</v>
      </c>
      <c r="T60" s="191">
        <v>655</v>
      </c>
      <c r="U60" s="191">
        <v>-4.7</v>
      </c>
      <c r="V60" s="191">
        <v>0</v>
      </c>
      <c r="W60" s="191">
        <v>650.29999999999995</v>
      </c>
      <c r="X60" s="194"/>
    </row>
    <row r="61" spans="2:24" ht="27.6">
      <c r="B61" s="181" t="s">
        <v>193</v>
      </c>
      <c r="C61" s="184">
        <v>-5</v>
      </c>
      <c r="D61" s="185">
        <v>0</v>
      </c>
      <c r="E61" s="184">
        <v>0.1593</v>
      </c>
      <c r="F61" s="185" t="s">
        <v>188</v>
      </c>
      <c r="G61" s="184">
        <v>79.650000000000006</v>
      </c>
      <c r="H61" s="185">
        <v>0</v>
      </c>
      <c r="I61" s="185">
        <v>0</v>
      </c>
      <c r="J61" s="185">
        <v>0</v>
      </c>
      <c r="K61" s="185">
        <v>79.650000000000006</v>
      </c>
      <c r="L61" s="188"/>
      <c r="N61" s="189" t="s">
        <v>278</v>
      </c>
      <c r="O61" s="190">
        <v>0</v>
      </c>
      <c r="P61" s="191">
        <v>0</v>
      </c>
      <c r="Q61" s="190" t="s">
        <v>188</v>
      </c>
      <c r="R61" s="191" t="s">
        <v>188</v>
      </c>
      <c r="S61" s="190">
        <v>0</v>
      </c>
      <c r="T61" s="193">
        <v>1630</v>
      </c>
      <c r="U61" s="191">
        <v>-9.4</v>
      </c>
      <c r="V61" s="191">
        <v>0</v>
      </c>
      <c r="W61" s="193">
        <v>1620.6</v>
      </c>
      <c r="X61" s="194"/>
    </row>
    <row r="62" spans="2:24" ht="15.75" customHeight="1">
      <c r="B62" s="181" t="s">
        <v>194</v>
      </c>
      <c r="C62" s="184">
        <v>-4</v>
      </c>
      <c r="D62" s="185">
        <v>0</v>
      </c>
      <c r="E62" s="184">
        <v>0.3105</v>
      </c>
      <c r="F62" s="185" t="s">
        <v>188</v>
      </c>
      <c r="G62" s="184">
        <v>124.2</v>
      </c>
      <c r="H62" s="185">
        <v>0</v>
      </c>
      <c r="I62" s="185">
        <v>0</v>
      </c>
      <c r="J62" s="185">
        <v>0</v>
      </c>
      <c r="K62" s="185">
        <v>124.2</v>
      </c>
      <c r="L62" s="188"/>
      <c r="N62" s="189" t="s">
        <v>279</v>
      </c>
      <c r="O62" s="190">
        <v>0</v>
      </c>
      <c r="P62" s="191">
        <v>0</v>
      </c>
      <c r="Q62" s="190" t="s">
        <v>188</v>
      </c>
      <c r="R62" s="191" t="s">
        <v>188</v>
      </c>
      <c r="S62" s="190">
        <v>0</v>
      </c>
      <c r="T62" s="193">
        <v>1100</v>
      </c>
      <c r="U62" s="191">
        <v>-4.7</v>
      </c>
      <c r="V62" s="191">
        <v>0</v>
      </c>
      <c r="W62" s="193">
        <v>1095.3</v>
      </c>
      <c r="X62" s="194"/>
    </row>
    <row r="63" spans="2:24" ht="15" customHeight="1">
      <c r="B63" s="181" t="s">
        <v>195</v>
      </c>
      <c r="C63" s="184">
        <v>-6</v>
      </c>
      <c r="D63" s="185">
        <v>0</v>
      </c>
      <c r="E63" s="184">
        <v>0.87870000000000004</v>
      </c>
      <c r="F63" s="185" t="s">
        <v>188</v>
      </c>
      <c r="G63" s="184">
        <v>509.22</v>
      </c>
      <c r="H63" s="185">
        <v>18</v>
      </c>
      <c r="I63" s="185">
        <v>0</v>
      </c>
      <c r="J63" s="185">
        <v>0</v>
      </c>
      <c r="K63" s="185">
        <v>527.22</v>
      </c>
      <c r="L63" s="188"/>
      <c r="N63" s="189" t="s">
        <v>280</v>
      </c>
      <c r="O63" s="190">
        <v>0</v>
      </c>
      <c r="P63" s="191">
        <v>0</v>
      </c>
      <c r="Q63" s="190" t="s">
        <v>188</v>
      </c>
      <c r="R63" s="191" t="s">
        <v>188</v>
      </c>
      <c r="S63" s="190">
        <v>0</v>
      </c>
      <c r="T63" s="191">
        <v>-114</v>
      </c>
      <c r="U63" s="191">
        <v>-9.4</v>
      </c>
      <c r="V63" s="191">
        <v>0</v>
      </c>
      <c r="W63" s="191">
        <v>-123.4</v>
      </c>
      <c r="X63" s="194"/>
    </row>
    <row r="64" spans="2:24" ht="27.6">
      <c r="B64" s="181" t="s">
        <v>196</v>
      </c>
      <c r="C64" s="184">
        <v>0</v>
      </c>
      <c r="D64" s="185">
        <v>-10</v>
      </c>
      <c r="E64" s="184" t="s">
        <v>188</v>
      </c>
      <c r="F64" s="185">
        <v>1E-4</v>
      </c>
      <c r="G64" s="184">
        <v>779</v>
      </c>
      <c r="H64" s="185">
        <v>470.9</v>
      </c>
      <c r="I64" s="185">
        <v>2.97</v>
      </c>
      <c r="J64" s="185">
        <v>0</v>
      </c>
      <c r="K64" s="187">
        <v>1252.8699999999999</v>
      </c>
      <c r="L64" s="188"/>
      <c r="N64" s="189" t="s">
        <v>281</v>
      </c>
      <c r="O64" s="190">
        <v>0</v>
      </c>
      <c r="P64" s="191">
        <v>0</v>
      </c>
      <c r="Q64" s="190" t="s">
        <v>188</v>
      </c>
      <c r="R64" s="191" t="s">
        <v>188</v>
      </c>
      <c r="S64" s="190">
        <v>0</v>
      </c>
      <c r="T64" s="191">
        <v>220</v>
      </c>
      <c r="U64" s="191">
        <v>-4.7</v>
      </c>
      <c r="V64" s="191">
        <v>0</v>
      </c>
      <c r="W64" s="191">
        <v>215.3</v>
      </c>
      <c r="X64" s="194"/>
    </row>
    <row r="65" spans="2:24" ht="15" customHeight="1">
      <c r="B65" s="181" t="s">
        <v>197</v>
      </c>
      <c r="C65" s="184">
        <v>-5</v>
      </c>
      <c r="D65" s="185">
        <v>-8</v>
      </c>
      <c r="E65" s="184">
        <v>0.3821</v>
      </c>
      <c r="F65" s="185">
        <v>1E-4</v>
      </c>
      <c r="G65" s="184">
        <v>468.47</v>
      </c>
      <c r="H65" s="185">
        <v>181.5</v>
      </c>
      <c r="I65" s="185">
        <v>-2.11</v>
      </c>
      <c r="J65" s="185">
        <v>0</v>
      </c>
      <c r="K65" s="185">
        <v>647.86</v>
      </c>
      <c r="L65" s="188"/>
      <c r="N65" s="189" t="s">
        <v>282</v>
      </c>
      <c r="O65" s="190">
        <v>0</v>
      </c>
      <c r="P65" s="191">
        <v>0</v>
      </c>
      <c r="Q65" s="190" t="s">
        <v>188</v>
      </c>
      <c r="R65" s="191" t="s">
        <v>188</v>
      </c>
      <c r="S65" s="190">
        <v>0</v>
      </c>
      <c r="T65" s="191">
        <v>285</v>
      </c>
      <c r="U65" s="191">
        <v>-7.05</v>
      </c>
      <c r="V65" s="191">
        <v>0</v>
      </c>
      <c r="W65" s="191">
        <v>277.95</v>
      </c>
      <c r="X65" s="194"/>
    </row>
    <row r="66" spans="2:24" ht="15" customHeight="1">
      <c r="B66" s="181" t="s">
        <v>198</v>
      </c>
      <c r="C66" s="184">
        <v>0</v>
      </c>
      <c r="D66" s="185">
        <v>-30</v>
      </c>
      <c r="E66" s="184" t="s">
        <v>188</v>
      </c>
      <c r="F66" s="185">
        <v>2.0000000000000001E-4</v>
      </c>
      <c r="G66" s="186">
        <v>3756</v>
      </c>
      <c r="H66" s="187">
        <v>1433.4</v>
      </c>
      <c r="I66" s="185">
        <v>-0.63</v>
      </c>
      <c r="J66" s="185">
        <v>0</v>
      </c>
      <c r="K66" s="187">
        <v>5188.7700000000004</v>
      </c>
      <c r="L66" s="188"/>
      <c r="N66" s="189" t="s">
        <v>283</v>
      </c>
      <c r="O66" s="190">
        <v>0</v>
      </c>
      <c r="P66" s="191">
        <v>0</v>
      </c>
      <c r="Q66" s="190" t="s">
        <v>188</v>
      </c>
      <c r="R66" s="191" t="s">
        <v>188</v>
      </c>
      <c r="S66" s="190">
        <v>0</v>
      </c>
      <c r="T66" s="191">
        <v>367.5</v>
      </c>
      <c r="U66" s="191">
        <v>-7.05</v>
      </c>
      <c r="V66" s="191">
        <v>0</v>
      </c>
      <c r="W66" s="191">
        <v>360.45</v>
      </c>
      <c r="X66" s="194"/>
    </row>
    <row r="67" spans="2:24" ht="15" customHeight="1">
      <c r="B67" s="181" t="s">
        <v>199</v>
      </c>
      <c r="C67" s="184">
        <v>-2</v>
      </c>
      <c r="D67" s="185">
        <v>-2</v>
      </c>
      <c r="E67" s="184">
        <v>0.61140000000000005</v>
      </c>
      <c r="F67" s="185">
        <v>6.9999999999999999E-4</v>
      </c>
      <c r="G67" s="184">
        <v>122.14</v>
      </c>
      <c r="H67" s="185">
        <v>0</v>
      </c>
      <c r="I67" s="185">
        <v>0</v>
      </c>
      <c r="J67" s="185">
        <v>0</v>
      </c>
      <c r="K67" s="185">
        <v>122.14</v>
      </c>
      <c r="L67" s="188"/>
      <c r="N67" s="189" t="s">
        <v>284</v>
      </c>
      <c r="O67" s="190">
        <v>0</v>
      </c>
      <c r="P67" s="191">
        <v>0</v>
      </c>
      <c r="Q67" s="190" t="s">
        <v>188</v>
      </c>
      <c r="R67" s="191" t="s">
        <v>188</v>
      </c>
      <c r="S67" s="190">
        <v>0</v>
      </c>
      <c r="T67" s="191">
        <v>660</v>
      </c>
      <c r="U67" s="191">
        <v>-4.7</v>
      </c>
      <c r="V67" s="191">
        <v>0</v>
      </c>
      <c r="W67" s="191">
        <v>655.29999999999995</v>
      </c>
      <c r="X67" s="194"/>
    </row>
    <row r="68" spans="2:24" ht="15.75" customHeight="1">
      <c r="B68" s="181" t="s">
        <v>200</v>
      </c>
      <c r="C68" s="184">
        <v>-4</v>
      </c>
      <c r="D68" s="185">
        <v>-4</v>
      </c>
      <c r="E68" s="184">
        <v>0.91539999999999999</v>
      </c>
      <c r="F68" s="185">
        <v>1.15E-2</v>
      </c>
      <c r="G68" s="184">
        <v>361.56</v>
      </c>
      <c r="H68" s="185">
        <v>0</v>
      </c>
      <c r="I68" s="185">
        <v>0</v>
      </c>
      <c r="J68" s="185">
        <v>0</v>
      </c>
      <c r="K68" s="185">
        <v>361.56</v>
      </c>
      <c r="L68" s="188"/>
      <c r="N68" s="189" t="s">
        <v>285</v>
      </c>
      <c r="O68" s="190">
        <v>0</v>
      </c>
      <c r="P68" s="191">
        <v>0</v>
      </c>
      <c r="Q68" s="190" t="s">
        <v>188</v>
      </c>
      <c r="R68" s="191" t="s">
        <v>188</v>
      </c>
      <c r="S68" s="190">
        <v>0</v>
      </c>
      <c r="T68" s="193">
        <v>1285</v>
      </c>
      <c r="U68" s="191">
        <v>-18.8</v>
      </c>
      <c r="V68" s="191">
        <v>0</v>
      </c>
      <c r="W68" s="193">
        <v>1266.2</v>
      </c>
      <c r="X68" s="194"/>
    </row>
    <row r="69" spans="2:24" ht="15" customHeight="1">
      <c r="B69" s="181" t="s">
        <v>201</v>
      </c>
      <c r="C69" s="184">
        <v>0</v>
      </c>
      <c r="D69" s="185">
        <v>-100</v>
      </c>
      <c r="E69" s="184" t="s">
        <v>188</v>
      </c>
      <c r="F69" s="185">
        <v>0.3</v>
      </c>
      <c r="G69" s="186">
        <v>2250</v>
      </c>
      <c r="H69" s="185">
        <v>660</v>
      </c>
      <c r="I69" s="185">
        <v>-17.87</v>
      </c>
      <c r="J69" s="185">
        <v>0</v>
      </c>
      <c r="K69" s="187">
        <v>2892.13</v>
      </c>
      <c r="L69" s="188"/>
      <c r="N69" s="189" t="s">
        <v>286</v>
      </c>
      <c r="O69" s="190">
        <v>0</v>
      </c>
      <c r="P69" s="191">
        <v>-51</v>
      </c>
      <c r="Q69" s="190" t="s">
        <v>188</v>
      </c>
      <c r="R69" s="191">
        <v>52.5</v>
      </c>
      <c r="S69" s="190">
        <v>0</v>
      </c>
      <c r="T69" s="193">
        <v>2893.5</v>
      </c>
      <c r="U69" s="191">
        <v>-23.97</v>
      </c>
      <c r="V69" s="191">
        <v>0</v>
      </c>
      <c r="W69" s="193">
        <v>2869.53</v>
      </c>
      <c r="X69" s="194"/>
    </row>
    <row r="70" spans="2:24" ht="15" customHeight="1">
      <c r="B70" s="181" t="s">
        <v>202</v>
      </c>
      <c r="C70" s="184">
        <v>0</v>
      </c>
      <c r="D70" s="185">
        <v>-130</v>
      </c>
      <c r="E70" s="184" t="s">
        <v>188</v>
      </c>
      <c r="F70" s="185">
        <v>0.1</v>
      </c>
      <c r="G70" s="186">
        <v>1950</v>
      </c>
      <c r="H70" s="185">
        <v>419</v>
      </c>
      <c r="I70" s="185">
        <v>-48.86</v>
      </c>
      <c r="J70" s="185">
        <v>0</v>
      </c>
      <c r="K70" s="187">
        <v>2320.14</v>
      </c>
      <c r="L70" s="188"/>
      <c r="N70" s="189" t="s">
        <v>287</v>
      </c>
      <c r="O70" s="190">
        <v>0</v>
      </c>
      <c r="P70" s="191">
        <v>0</v>
      </c>
      <c r="Q70" s="190" t="s">
        <v>188</v>
      </c>
      <c r="R70" s="191" t="s">
        <v>188</v>
      </c>
      <c r="S70" s="190">
        <v>0</v>
      </c>
      <c r="T70" s="193">
        <v>3035</v>
      </c>
      <c r="U70" s="191">
        <v>-39.76</v>
      </c>
      <c r="V70" s="191">
        <v>0</v>
      </c>
      <c r="W70" s="193">
        <v>2995.24</v>
      </c>
      <c r="X70" s="194"/>
    </row>
    <row r="71" spans="2:24" ht="15" customHeight="1">
      <c r="B71" s="181" t="s">
        <v>203</v>
      </c>
      <c r="C71" s="184">
        <v>-80</v>
      </c>
      <c r="D71" s="185">
        <v>0</v>
      </c>
      <c r="E71" s="184">
        <v>2.2000000000000002</v>
      </c>
      <c r="F71" s="185" t="s">
        <v>188</v>
      </c>
      <c r="G71" s="184">
        <v>0</v>
      </c>
      <c r="H71" s="187">
        <v>17600</v>
      </c>
      <c r="I71" s="185">
        <v>0</v>
      </c>
      <c r="J71" s="185">
        <v>0</v>
      </c>
      <c r="K71" s="187">
        <v>17600</v>
      </c>
      <c r="L71" s="188"/>
      <c r="N71" s="189" t="s">
        <v>288</v>
      </c>
      <c r="O71" s="190">
        <v>0</v>
      </c>
      <c r="P71" s="191">
        <v>0</v>
      </c>
      <c r="Q71" s="190" t="s">
        <v>188</v>
      </c>
      <c r="R71" s="191" t="s">
        <v>188</v>
      </c>
      <c r="S71" s="190">
        <v>0</v>
      </c>
      <c r="T71" s="193">
        <v>3550</v>
      </c>
      <c r="U71" s="191">
        <v>-28.4</v>
      </c>
      <c r="V71" s="191">
        <v>0</v>
      </c>
      <c r="W71" s="193">
        <v>3521.6</v>
      </c>
      <c r="X71" s="194"/>
    </row>
    <row r="72" spans="2:24" ht="15" customHeight="1">
      <c r="B72" s="181" t="s">
        <v>204</v>
      </c>
      <c r="C72" s="184">
        <v>0</v>
      </c>
      <c r="D72" s="185">
        <v>0</v>
      </c>
      <c r="E72" s="184" t="s">
        <v>188</v>
      </c>
      <c r="F72" s="185" t="s">
        <v>188</v>
      </c>
      <c r="G72" s="186">
        <v>6100</v>
      </c>
      <c r="H72" s="187">
        <v>-1810</v>
      </c>
      <c r="I72" s="185">
        <v>-23.7</v>
      </c>
      <c r="J72" s="185">
        <v>0</v>
      </c>
      <c r="K72" s="187">
        <v>4266.3</v>
      </c>
      <c r="L72" s="188"/>
      <c r="N72" s="189" t="s">
        <v>289</v>
      </c>
      <c r="O72" s="190">
        <v>0</v>
      </c>
      <c r="P72" s="191">
        <v>0</v>
      </c>
      <c r="Q72" s="190" t="s">
        <v>188</v>
      </c>
      <c r="R72" s="191" t="s">
        <v>188</v>
      </c>
      <c r="S72" s="190">
        <v>0</v>
      </c>
      <c r="T72" s="193">
        <v>2600</v>
      </c>
      <c r="U72" s="191">
        <v>-28.4</v>
      </c>
      <c r="V72" s="191">
        <v>0</v>
      </c>
      <c r="W72" s="193">
        <v>2571.6</v>
      </c>
      <c r="X72" s="194"/>
    </row>
    <row r="73" spans="2:24" ht="15" customHeight="1">
      <c r="B73" s="181" t="s">
        <v>205</v>
      </c>
      <c r="C73" s="184">
        <v>0</v>
      </c>
      <c r="D73" s="185">
        <v>0</v>
      </c>
      <c r="E73" s="184" t="s">
        <v>188</v>
      </c>
      <c r="F73" s="185" t="s">
        <v>188</v>
      </c>
      <c r="G73" s="186">
        <v>3240</v>
      </c>
      <c r="H73" s="187">
        <v>-1060</v>
      </c>
      <c r="I73" s="185">
        <v>-23.65</v>
      </c>
      <c r="J73" s="185">
        <v>0</v>
      </c>
      <c r="K73" s="187">
        <v>2156.35</v>
      </c>
      <c r="L73" s="188"/>
      <c r="N73" s="189" t="s">
        <v>290</v>
      </c>
      <c r="O73" s="190">
        <v>0</v>
      </c>
      <c r="P73" s="191">
        <v>0</v>
      </c>
      <c r="Q73" s="190" t="s">
        <v>188</v>
      </c>
      <c r="R73" s="191" t="s">
        <v>188</v>
      </c>
      <c r="S73" s="190">
        <v>0</v>
      </c>
      <c r="T73" s="193">
        <v>-3190</v>
      </c>
      <c r="U73" s="191">
        <v>-28.4</v>
      </c>
      <c r="V73" s="191">
        <v>0</v>
      </c>
      <c r="W73" s="193">
        <v>-3218.4</v>
      </c>
      <c r="X73" s="194"/>
    </row>
    <row r="74" spans="2:24" ht="15" customHeight="1">
      <c r="B74" s="181" t="s">
        <v>207</v>
      </c>
      <c r="C74" s="184">
        <v>0</v>
      </c>
      <c r="D74" s="185">
        <v>-5</v>
      </c>
      <c r="E74" s="184" t="s">
        <v>188</v>
      </c>
      <c r="F74" s="185">
        <v>2.3999999999999998E-3</v>
      </c>
      <c r="G74" s="184">
        <v>188.8</v>
      </c>
      <c r="H74" s="185">
        <v>-90</v>
      </c>
      <c r="I74" s="185">
        <v>-3.45</v>
      </c>
      <c r="J74" s="185">
        <v>0</v>
      </c>
      <c r="K74" s="185">
        <v>95.35</v>
      </c>
      <c r="L74" s="188"/>
      <c r="N74" s="189" t="s">
        <v>291</v>
      </c>
      <c r="O74" s="190">
        <v>0</v>
      </c>
      <c r="P74" s="191">
        <v>0</v>
      </c>
      <c r="Q74" s="190" t="s">
        <v>188</v>
      </c>
      <c r="R74" s="191" t="s">
        <v>188</v>
      </c>
      <c r="S74" s="190">
        <v>0</v>
      </c>
      <c r="T74" s="193">
        <v>5450</v>
      </c>
      <c r="U74" s="191">
        <v>-7.1</v>
      </c>
      <c r="V74" s="191">
        <v>0</v>
      </c>
      <c r="W74" s="193">
        <v>5442.9</v>
      </c>
      <c r="X74" s="194"/>
    </row>
    <row r="75" spans="2:24" ht="15" customHeight="1">
      <c r="B75" s="181" t="s">
        <v>209</v>
      </c>
      <c r="C75" s="184">
        <v>0</v>
      </c>
      <c r="D75" s="185">
        <v>-5</v>
      </c>
      <c r="E75" s="184" t="s">
        <v>188</v>
      </c>
      <c r="F75" s="185">
        <v>1.4999999999999999E-2</v>
      </c>
      <c r="G75" s="184">
        <v>370</v>
      </c>
      <c r="H75" s="185">
        <v>-202.5</v>
      </c>
      <c r="I75" s="185">
        <v>-3.45</v>
      </c>
      <c r="J75" s="185">
        <v>0</v>
      </c>
      <c r="K75" s="185">
        <v>164.05</v>
      </c>
      <c r="L75" s="188"/>
      <c r="N75" s="323" t="s">
        <v>292</v>
      </c>
      <c r="O75" s="323"/>
      <c r="P75" s="323"/>
      <c r="Q75" s="323"/>
      <c r="R75" s="324"/>
      <c r="S75" s="190">
        <v>0</v>
      </c>
      <c r="T75" s="193">
        <v>30666.5</v>
      </c>
      <c r="U75" s="191">
        <v>-261.77999999999997</v>
      </c>
      <c r="V75" s="191">
        <v>0</v>
      </c>
      <c r="W75" s="193">
        <v>30404.720000000001</v>
      </c>
      <c r="X75" s="194"/>
    </row>
    <row r="76" spans="2:24" ht="15" customHeight="1">
      <c r="B76" s="181" t="s">
        <v>211</v>
      </c>
      <c r="C76" s="184">
        <v>0</v>
      </c>
      <c r="D76" s="185">
        <v>-40</v>
      </c>
      <c r="E76" s="184" t="s">
        <v>188</v>
      </c>
      <c r="F76" s="185">
        <v>1.0335000000000001</v>
      </c>
      <c r="G76" s="186">
        <v>5920.4</v>
      </c>
      <c r="H76" s="185">
        <v>-634.4</v>
      </c>
      <c r="I76" s="185">
        <v>-19.87</v>
      </c>
      <c r="J76" s="185">
        <v>0</v>
      </c>
      <c r="K76" s="187">
        <v>5266.13</v>
      </c>
      <c r="L76" s="188"/>
      <c r="N76" s="31"/>
      <c r="O76" s="31"/>
      <c r="P76" s="31"/>
      <c r="Q76" s="31"/>
      <c r="R76" s="33"/>
      <c r="S76" s="31"/>
      <c r="T76" s="34"/>
    </row>
    <row r="77" spans="2:24" ht="15" customHeight="1">
      <c r="B77" s="181" t="s">
        <v>213</v>
      </c>
      <c r="C77" s="184">
        <v>0</v>
      </c>
      <c r="D77" s="185">
        <v>-40</v>
      </c>
      <c r="E77" s="184" t="s">
        <v>188</v>
      </c>
      <c r="F77" s="185">
        <v>0.185</v>
      </c>
      <c r="G77" s="186">
        <v>3100</v>
      </c>
      <c r="H77" s="187">
        <v>4241</v>
      </c>
      <c r="I77" s="185">
        <v>-27.85</v>
      </c>
      <c r="J77" s="185">
        <v>0</v>
      </c>
      <c r="K77" s="187">
        <v>7313.15</v>
      </c>
      <c r="L77" s="188"/>
      <c r="N77" s="31"/>
      <c r="O77" s="31"/>
      <c r="P77" s="31"/>
      <c r="Q77" s="31"/>
      <c r="R77" s="33"/>
      <c r="S77" s="31"/>
      <c r="T77" s="34"/>
    </row>
    <row r="78" spans="2:24" ht="15" customHeight="1">
      <c r="B78" s="181" t="s">
        <v>215</v>
      </c>
      <c r="C78" s="184">
        <v>0</v>
      </c>
      <c r="D78" s="185">
        <v>-80</v>
      </c>
      <c r="E78" s="184" t="s">
        <v>188</v>
      </c>
      <c r="F78" s="185">
        <v>3.5000000000000003E-2</v>
      </c>
      <c r="G78" s="186">
        <v>3680</v>
      </c>
      <c r="H78" s="187">
        <v>2210</v>
      </c>
      <c r="I78" s="185">
        <v>-50.64</v>
      </c>
      <c r="J78" s="185">
        <v>0</v>
      </c>
      <c r="K78" s="187">
        <v>5839.36</v>
      </c>
      <c r="L78" s="188"/>
      <c r="N78" s="31"/>
      <c r="O78" s="31"/>
      <c r="P78" s="31"/>
      <c r="Q78" s="31"/>
      <c r="R78" s="33"/>
      <c r="S78" s="31"/>
      <c r="T78" s="34"/>
    </row>
    <row r="79" spans="2:24" ht="15.75" customHeight="1">
      <c r="B79" s="181" t="s">
        <v>217</v>
      </c>
      <c r="C79" s="184">
        <v>0</v>
      </c>
      <c r="D79" s="185">
        <v>0</v>
      </c>
      <c r="E79" s="184" t="s">
        <v>188</v>
      </c>
      <c r="F79" s="185" t="s">
        <v>188</v>
      </c>
      <c r="G79" s="186">
        <v>2726</v>
      </c>
      <c r="H79" s="187">
        <v>-1668</v>
      </c>
      <c r="I79" s="185">
        <v>-41.23</v>
      </c>
      <c r="J79" s="185">
        <v>0</v>
      </c>
      <c r="K79" s="187">
        <v>1016.77</v>
      </c>
      <c r="L79" s="188"/>
      <c r="N79" s="31"/>
      <c r="O79" s="31"/>
      <c r="P79" s="31"/>
      <c r="Q79" s="31"/>
      <c r="R79" s="33"/>
      <c r="S79" s="31"/>
      <c r="T79" s="34"/>
    </row>
    <row r="80" spans="2:24" ht="15.75" customHeight="1">
      <c r="B80" s="181" t="s">
        <v>219</v>
      </c>
      <c r="C80" s="184">
        <v>0</v>
      </c>
      <c r="D80" s="185">
        <v>-2</v>
      </c>
      <c r="E80" s="184" t="s">
        <v>188</v>
      </c>
      <c r="F80" s="185">
        <v>3.5000000000000003E-2</v>
      </c>
      <c r="G80" s="184">
        <v>0</v>
      </c>
      <c r="H80" s="185">
        <v>19</v>
      </c>
      <c r="I80" s="185">
        <v>-2.38</v>
      </c>
      <c r="J80" s="185">
        <v>0</v>
      </c>
      <c r="K80" s="185">
        <v>16.62</v>
      </c>
      <c r="L80" s="188"/>
      <c r="N80" s="31"/>
      <c r="O80" s="31"/>
      <c r="P80" s="31"/>
      <c r="Q80" s="31"/>
      <c r="R80" s="33"/>
      <c r="S80" s="31"/>
      <c r="T80" s="34"/>
    </row>
    <row r="81" spans="2:20" ht="15.75" customHeight="1">
      <c r="B81" s="181" t="s">
        <v>221</v>
      </c>
      <c r="C81" s="184">
        <v>0</v>
      </c>
      <c r="D81" s="185">
        <v>-58</v>
      </c>
      <c r="E81" s="184" t="s">
        <v>188</v>
      </c>
      <c r="F81" s="185">
        <v>4.4999999999999997E-3</v>
      </c>
      <c r="G81" s="186">
        <v>2148.9</v>
      </c>
      <c r="H81" s="185">
        <v>985</v>
      </c>
      <c r="I81" s="185">
        <v>-45.69</v>
      </c>
      <c r="J81" s="185">
        <v>0</v>
      </c>
      <c r="K81" s="187">
        <v>3088.21</v>
      </c>
      <c r="L81" s="188"/>
      <c r="N81" s="31"/>
      <c r="O81" s="31"/>
      <c r="P81" s="31"/>
      <c r="Q81" s="31"/>
      <c r="R81" s="33"/>
      <c r="S81" s="31"/>
      <c r="T81" s="34"/>
    </row>
    <row r="82" spans="2:20" ht="15.75" customHeight="1">
      <c r="B82" s="181" t="s">
        <v>223</v>
      </c>
      <c r="C82" s="184">
        <v>0</v>
      </c>
      <c r="D82" s="185">
        <v>-45</v>
      </c>
      <c r="E82" s="184" t="s">
        <v>188</v>
      </c>
      <c r="F82" s="185">
        <v>0.43</v>
      </c>
      <c r="G82" s="184">
        <v>0</v>
      </c>
      <c r="H82" s="187">
        <v>2059</v>
      </c>
      <c r="I82" s="185">
        <v>-31.51</v>
      </c>
      <c r="J82" s="185">
        <v>0</v>
      </c>
      <c r="K82" s="187">
        <v>2027.49</v>
      </c>
      <c r="L82" s="188"/>
      <c r="N82" s="31"/>
      <c r="O82" s="31"/>
      <c r="P82" s="31"/>
      <c r="Q82" s="31"/>
      <c r="R82" s="33"/>
      <c r="S82" s="31"/>
      <c r="T82" s="34"/>
    </row>
    <row r="83" spans="2:20" ht="15.75" customHeight="1">
      <c r="B83" s="181" t="s">
        <v>225</v>
      </c>
      <c r="C83" s="184">
        <v>0</v>
      </c>
      <c r="D83" s="185">
        <v>-7</v>
      </c>
      <c r="E83" s="184" t="s">
        <v>188</v>
      </c>
      <c r="F83" s="185">
        <v>2E-3</v>
      </c>
      <c r="G83" s="184">
        <v>884.1</v>
      </c>
      <c r="H83" s="185">
        <v>-6.5</v>
      </c>
      <c r="I83" s="185">
        <v>-4.1100000000000003</v>
      </c>
      <c r="J83" s="185">
        <v>0</v>
      </c>
      <c r="K83" s="185">
        <v>873.49</v>
      </c>
      <c r="L83" s="188"/>
      <c r="N83" s="31"/>
      <c r="O83" s="31"/>
      <c r="P83" s="31"/>
      <c r="Q83" s="31"/>
      <c r="R83" s="33"/>
      <c r="S83" s="31"/>
      <c r="T83" s="34"/>
    </row>
    <row r="84" spans="2:20" ht="15" customHeight="1">
      <c r="B84" s="181" t="s">
        <v>227</v>
      </c>
      <c r="C84" s="184">
        <v>0</v>
      </c>
      <c r="D84" s="185">
        <v>0</v>
      </c>
      <c r="E84" s="184" t="s">
        <v>188</v>
      </c>
      <c r="F84" s="185" t="s">
        <v>188</v>
      </c>
      <c r="G84" s="184">
        <v>0</v>
      </c>
      <c r="H84" s="187">
        <v>1115</v>
      </c>
      <c r="I84" s="185">
        <v>-29.07</v>
      </c>
      <c r="J84" s="185">
        <v>0</v>
      </c>
      <c r="K84" s="187">
        <v>1085.93</v>
      </c>
      <c r="L84" s="188"/>
      <c r="N84" s="31"/>
      <c r="O84" s="31"/>
      <c r="P84" s="31"/>
      <c r="Q84" s="31"/>
      <c r="R84" s="33"/>
      <c r="S84" s="31"/>
      <c r="T84" s="34"/>
    </row>
    <row r="85" spans="2:20" ht="15.75" customHeight="1">
      <c r="B85" s="181" t="s">
        <v>229</v>
      </c>
      <c r="C85" s="184">
        <v>0</v>
      </c>
      <c r="D85" s="185">
        <v>0</v>
      </c>
      <c r="E85" s="184" t="s">
        <v>188</v>
      </c>
      <c r="F85" s="185" t="s">
        <v>188</v>
      </c>
      <c r="G85" s="184">
        <v>0</v>
      </c>
      <c r="H85" s="185">
        <v>200</v>
      </c>
      <c r="I85" s="185">
        <v>-6.9</v>
      </c>
      <c r="J85" s="185">
        <v>0</v>
      </c>
      <c r="K85" s="185">
        <v>193.1</v>
      </c>
      <c r="L85" s="188"/>
      <c r="N85" s="31"/>
      <c r="O85" s="31"/>
      <c r="P85" s="31"/>
      <c r="Q85" s="31"/>
      <c r="R85" s="33"/>
      <c r="S85" s="31"/>
      <c r="T85" s="34"/>
    </row>
    <row r="86" spans="2:20" ht="15.75" customHeight="1">
      <c r="B86" s="181" t="s">
        <v>231</v>
      </c>
      <c r="C86" s="184">
        <v>0</v>
      </c>
      <c r="D86" s="185">
        <v>0</v>
      </c>
      <c r="E86" s="184" t="s">
        <v>188</v>
      </c>
      <c r="F86" s="185" t="s">
        <v>188</v>
      </c>
      <c r="G86" s="186">
        <v>11437.2</v>
      </c>
      <c r="H86" s="185">
        <v>22.8</v>
      </c>
      <c r="I86" s="185">
        <v>-35.200000000000003</v>
      </c>
      <c r="J86" s="185">
        <v>0</v>
      </c>
      <c r="K86" s="187">
        <v>11424.8</v>
      </c>
      <c r="L86" s="188"/>
      <c r="N86" s="31"/>
      <c r="O86" s="31"/>
      <c r="P86" s="31"/>
      <c r="Q86" s="31"/>
      <c r="R86" s="33"/>
      <c r="S86" s="31"/>
      <c r="T86" s="34"/>
    </row>
    <row r="87" spans="2:20" ht="15" customHeight="1">
      <c r="B87" s="181" t="s">
        <v>233</v>
      </c>
      <c r="C87" s="184">
        <v>0</v>
      </c>
      <c r="D87" s="185">
        <v>0</v>
      </c>
      <c r="E87" s="184" t="s">
        <v>188</v>
      </c>
      <c r="F87" s="185" t="s">
        <v>188</v>
      </c>
      <c r="G87" s="184">
        <v>0</v>
      </c>
      <c r="H87" s="185">
        <v>350</v>
      </c>
      <c r="I87" s="185">
        <v>-13.83</v>
      </c>
      <c r="J87" s="185">
        <v>0</v>
      </c>
      <c r="K87" s="185">
        <v>336.17</v>
      </c>
      <c r="L87" s="188"/>
      <c r="N87" s="31"/>
      <c r="O87" s="31"/>
      <c r="P87" s="31"/>
      <c r="Q87" s="31"/>
      <c r="R87" s="33"/>
      <c r="S87" s="31"/>
      <c r="T87" s="34"/>
    </row>
    <row r="88" spans="2:20" ht="15" customHeight="1">
      <c r="B88" s="181" t="s">
        <v>235</v>
      </c>
      <c r="C88" s="184">
        <v>0</v>
      </c>
      <c r="D88" s="185">
        <v>0</v>
      </c>
      <c r="E88" s="184" t="s">
        <v>188</v>
      </c>
      <c r="F88" s="185" t="s">
        <v>188</v>
      </c>
      <c r="G88" s="184">
        <v>0</v>
      </c>
      <c r="H88" s="185">
        <v>500</v>
      </c>
      <c r="I88" s="185">
        <v>-13.82</v>
      </c>
      <c r="J88" s="185">
        <v>0</v>
      </c>
      <c r="K88" s="185">
        <v>486.18</v>
      </c>
      <c r="L88" s="188"/>
      <c r="N88" s="31"/>
      <c r="O88" s="31"/>
      <c r="P88" s="31"/>
      <c r="Q88" s="31"/>
      <c r="R88" s="33"/>
      <c r="S88" s="31"/>
      <c r="T88" s="34"/>
    </row>
    <row r="89" spans="2:20" ht="15" customHeight="1">
      <c r="B89" s="181" t="s">
        <v>237</v>
      </c>
      <c r="C89" s="184">
        <v>0</v>
      </c>
      <c r="D89" s="185">
        <v>0</v>
      </c>
      <c r="E89" s="184" t="s">
        <v>188</v>
      </c>
      <c r="F89" s="185" t="s">
        <v>188</v>
      </c>
      <c r="G89" s="184">
        <v>0</v>
      </c>
      <c r="H89" s="187">
        <v>1290</v>
      </c>
      <c r="I89" s="185">
        <v>-46.06</v>
      </c>
      <c r="J89" s="185">
        <v>0</v>
      </c>
      <c r="K89" s="187">
        <v>1243.94</v>
      </c>
      <c r="L89" s="188"/>
      <c r="N89" s="31"/>
      <c r="O89" s="31"/>
      <c r="P89" s="31"/>
      <c r="Q89" s="31"/>
      <c r="R89" s="33"/>
      <c r="S89" s="31"/>
      <c r="T89" s="34"/>
    </row>
    <row r="90" spans="2:20" ht="15" customHeight="1">
      <c r="B90" s="181" t="s">
        <v>239</v>
      </c>
      <c r="C90" s="184">
        <v>0</v>
      </c>
      <c r="D90" s="185">
        <v>0</v>
      </c>
      <c r="E90" s="184" t="s">
        <v>188</v>
      </c>
      <c r="F90" s="185" t="s">
        <v>188</v>
      </c>
      <c r="G90" s="184">
        <v>0</v>
      </c>
      <c r="H90" s="185">
        <v>200</v>
      </c>
      <c r="I90" s="185">
        <v>-6.9</v>
      </c>
      <c r="J90" s="185">
        <v>0</v>
      </c>
      <c r="K90" s="185">
        <v>193.1</v>
      </c>
      <c r="L90" s="188"/>
      <c r="N90" s="31"/>
      <c r="O90" s="31"/>
      <c r="P90" s="31"/>
      <c r="Q90" s="31"/>
      <c r="R90" s="33"/>
      <c r="S90" s="31"/>
      <c r="T90" s="34"/>
    </row>
    <row r="91" spans="2:20" ht="15.75" customHeight="1">
      <c r="B91" s="181" t="s">
        <v>241</v>
      </c>
      <c r="C91" s="184">
        <v>0</v>
      </c>
      <c r="D91" s="185">
        <v>0</v>
      </c>
      <c r="E91" s="184" t="s">
        <v>188</v>
      </c>
      <c r="F91" s="185" t="s">
        <v>188</v>
      </c>
      <c r="G91" s="184">
        <v>0</v>
      </c>
      <c r="H91" s="185">
        <v>860</v>
      </c>
      <c r="I91" s="185">
        <v>-27.69</v>
      </c>
      <c r="J91" s="185">
        <v>0</v>
      </c>
      <c r="K91" s="185">
        <v>832.31</v>
      </c>
      <c r="L91" s="188"/>
      <c r="N91" s="31"/>
      <c r="O91" s="31"/>
      <c r="P91" s="31"/>
      <c r="Q91" s="31"/>
      <c r="R91" s="33"/>
      <c r="S91" s="31"/>
      <c r="T91" s="34"/>
    </row>
    <row r="92" spans="2:20" ht="15.75" customHeight="1">
      <c r="B92" s="181" t="s">
        <v>243</v>
      </c>
      <c r="C92" s="184">
        <v>0</v>
      </c>
      <c r="D92" s="185">
        <v>0</v>
      </c>
      <c r="E92" s="184" t="s">
        <v>188</v>
      </c>
      <c r="F92" s="185" t="s">
        <v>188</v>
      </c>
      <c r="G92" s="184">
        <v>0</v>
      </c>
      <c r="H92" s="187">
        <v>1190</v>
      </c>
      <c r="I92" s="185">
        <v>-31.32</v>
      </c>
      <c r="J92" s="185">
        <v>0</v>
      </c>
      <c r="K92" s="187">
        <v>1158.68</v>
      </c>
      <c r="L92" s="188"/>
      <c r="R92" s="35"/>
      <c r="T92" s="3"/>
    </row>
    <row r="93" spans="2:20" ht="15" customHeight="1">
      <c r="B93" s="181" t="s">
        <v>245</v>
      </c>
      <c r="C93" s="184">
        <v>0</v>
      </c>
      <c r="D93" s="185">
        <v>0</v>
      </c>
      <c r="E93" s="184" t="s">
        <v>188</v>
      </c>
      <c r="F93" s="185" t="s">
        <v>188</v>
      </c>
      <c r="G93" s="184">
        <v>0</v>
      </c>
      <c r="H93" s="185">
        <v>410</v>
      </c>
      <c r="I93" s="185">
        <v>-11.48</v>
      </c>
      <c r="J93" s="185">
        <v>0</v>
      </c>
      <c r="K93" s="185">
        <v>398.52</v>
      </c>
      <c r="L93" s="188"/>
      <c r="R93" s="35"/>
      <c r="T93" s="3"/>
    </row>
    <row r="94" spans="2:20" ht="15" customHeight="1">
      <c r="B94" s="181" t="s">
        <v>247</v>
      </c>
      <c r="C94" s="184">
        <v>0</v>
      </c>
      <c r="D94" s="185">
        <v>0</v>
      </c>
      <c r="E94" s="184" t="s">
        <v>188</v>
      </c>
      <c r="F94" s="185" t="s">
        <v>188</v>
      </c>
      <c r="G94" s="184">
        <v>0</v>
      </c>
      <c r="H94" s="187">
        <v>8610</v>
      </c>
      <c r="I94" s="185">
        <v>-50.08</v>
      </c>
      <c r="J94" s="185">
        <v>0</v>
      </c>
      <c r="K94" s="187">
        <v>8559.92</v>
      </c>
      <c r="L94" s="188"/>
      <c r="R94" s="35"/>
      <c r="T94" s="3"/>
    </row>
    <row r="95" spans="2:20" ht="15" customHeight="1">
      <c r="B95" s="181" t="s">
        <v>249</v>
      </c>
      <c r="C95" s="184">
        <v>0</v>
      </c>
      <c r="D95" s="185">
        <v>0</v>
      </c>
      <c r="E95" s="184" t="s">
        <v>188</v>
      </c>
      <c r="F95" s="185" t="s">
        <v>188</v>
      </c>
      <c r="G95" s="184">
        <v>545.6</v>
      </c>
      <c r="H95" s="185">
        <v>-270.60000000000002</v>
      </c>
      <c r="I95" s="185">
        <v>-2.58</v>
      </c>
      <c r="J95" s="185">
        <v>0</v>
      </c>
      <c r="K95" s="185">
        <v>272.42</v>
      </c>
      <c r="L95" s="188"/>
      <c r="R95" s="35"/>
      <c r="T95" s="3"/>
    </row>
    <row r="96" spans="2:20" ht="15.75" customHeight="1">
      <c r="B96" s="181" t="s">
        <v>251</v>
      </c>
      <c r="C96" s="184">
        <v>0</v>
      </c>
      <c r="D96" s="185">
        <v>0</v>
      </c>
      <c r="E96" s="184" t="s">
        <v>188</v>
      </c>
      <c r="F96" s="185" t="s">
        <v>188</v>
      </c>
      <c r="G96" s="186">
        <v>2720.84</v>
      </c>
      <c r="H96" s="185">
        <v>-769.84</v>
      </c>
      <c r="I96" s="185">
        <v>-26.62</v>
      </c>
      <c r="J96" s="185">
        <v>0</v>
      </c>
      <c r="K96" s="187">
        <v>1924.38</v>
      </c>
      <c r="L96" s="188"/>
      <c r="R96" s="35"/>
      <c r="T96" s="3"/>
    </row>
    <row r="97" spans="2:20" ht="15.75" customHeight="1">
      <c r="B97" s="181" t="s">
        <v>253</v>
      </c>
      <c r="C97" s="184">
        <v>0</v>
      </c>
      <c r="D97" s="185">
        <v>-15</v>
      </c>
      <c r="E97" s="184" t="s">
        <v>188</v>
      </c>
      <c r="F97" s="185">
        <v>3.3422000000000001</v>
      </c>
      <c r="G97" s="186">
        <v>-3775.8</v>
      </c>
      <c r="H97" s="185">
        <v>73.5</v>
      </c>
      <c r="I97" s="185">
        <v>-8.9700000000000006</v>
      </c>
      <c r="J97" s="185">
        <v>0</v>
      </c>
      <c r="K97" s="187">
        <v>-3711.27</v>
      </c>
      <c r="L97" s="188"/>
      <c r="R97" s="35"/>
      <c r="T97" s="3"/>
    </row>
    <row r="98" spans="2:20" ht="15" customHeight="1">
      <c r="B98" s="181" t="s">
        <v>255</v>
      </c>
      <c r="C98" s="184">
        <v>0</v>
      </c>
      <c r="D98" s="185">
        <v>0</v>
      </c>
      <c r="E98" s="184" t="s">
        <v>188</v>
      </c>
      <c r="F98" s="185" t="s">
        <v>188</v>
      </c>
      <c r="G98" s="184">
        <v>155</v>
      </c>
      <c r="H98" s="185">
        <v>145</v>
      </c>
      <c r="I98" s="185">
        <v>-4.5</v>
      </c>
      <c r="J98" s="185">
        <v>0</v>
      </c>
      <c r="K98" s="185">
        <v>295.5</v>
      </c>
      <c r="L98" s="188"/>
      <c r="R98" s="35"/>
      <c r="T98" s="3"/>
    </row>
    <row r="99" spans="2:20" ht="15.75" customHeight="1">
      <c r="B99" s="181" t="s">
        <v>257</v>
      </c>
      <c r="C99" s="184">
        <v>0</v>
      </c>
      <c r="D99" s="185">
        <v>0</v>
      </c>
      <c r="E99" s="184" t="s">
        <v>188</v>
      </c>
      <c r="F99" s="185" t="s">
        <v>188</v>
      </c>
      <c r="G99" s="184">
        <v>187.5</v>
      </c>
      <c r="H99" s="185">
        <v>222.5</v>
      </c>
      <c r="I99" s="185">
        <v>-17.399999999999999</v>
      </c>
      <c r="J99" s="185">
        <v>0</v>
      </c>
      <c r="K99" s="185">
        <v>392.6</v>
      </c>
      <c r="L99" s="188"/>
      <c r="R99" s="35"/>
      <c r="T99" s="3"/>
    </row>
    <row r="100" spans="2:20" ht="15.75" customHeight="1">
      <c r="B100" s="181" t="s">
        <v>259</v>
      </c>
      <c r="C100" s="184">
        <v>0</v>
      </c>
      <c r="D100" s="185">
        <v>0</v>
      </c>
      <c r="E100" s="184" t="s">
        <v>188</v>
      </c>
      <c r="F100" s="185" t="s">
        <v>188</v>
      </c>
      <c r="G100" s="184">
        <v>31.5</v>
      </c>
      <c r="H100" s="185">
        <v>49.5</v>
      </c>
      <c r="I100" s="185">
        <v>-4.95</v>
      </c>
      <c r="J100" s="185">
        <v>0</v>
      </c>
      <c r="K100" s="185">
        <v>76.05</v>
      </c>
      <c r="L100" s="188"/>
      <c r="R100" s="35"/>
      <c r="T100" s="3"/>
    </row>
    <row r="101" spans="2:20" ht="15.75" customHeight="1">
      <c r="B101" s="181" t="s">
        <v>261</v>
      </c>
      <c r="C101" s="184">
        <v>0</v>
      </c>
      <c r="D101" s="185">
        <v>-22</v>
      </c>
      <c r="E101" s="184" t="s">
        <v>188</v>
      </c>
      <c r="F101" s="185">
        <v>0.125</v>
      </c>
      <c r="G101" s="186">
        <v>1652.2</v>
      </c>
      <c r="H101" s="185">
        <v>-757.2</v>
      </c>
      <c r="I101" s="185">
        <v>-12.8</v>
      </c>
      <c r="J101" s="185">
        <v>0</v>
      </c>
      <c r="K101" s="185">
        <v>882.2</v>
      </c>
      <c r="L101" s="188"/>
      <c r="R101" s="35"/>
      <c r="T101" s="3"/>
    </row>
    <row r="102" spans="2:20" ht="15" customHeight="1">
      <c r="B102" s="181" t="s">
        <v>263</v>
      </c>
      <c r="C102" s="184">
        <v>0</v>
      </c>
      <c r="D102" s="185">
        <v>-22</v>
      </c>
      <c r="E102" s="184" t="s">
        <v>188</v>
      </c>
      <c r="F102" s="185">
        <v>7.0199999999999999E-2</v>
      </c>
      <c r="G102" s="186">
        <v>1242.56</v>
      </c>
      <c r="H102" s="185">
        <v>-479</v>
      </c>
      <c r="I102" s="185">
        <v>-12.32</v>
      </c>
      <c r="J102" s="185">
        <v>0</v>
      </c>
      <c r="K102" s="185">
        <v>751.24</v>
      </c>
      <c r="L102" s="188"/>
      <c r="R102" s="35"/>
      <c r="T102" s="3"/>
    </row>
    <row r="103" spans="2:20" ht="15" customHeight="1">
      <c r="B103" s="181" t="s">
        <v>265</v>
      </c>
      <c r="C103" s="184">
        <v>0</v>
      </c>
      <c r="D103" s="185">
        <v>-44</v>
      </c>
      <c r="E103" s="184" t="s">
        <v>188</v>
      </c>
      <c r="F103" s="185">
        <v>0.23499999999999999</v>
      </c>
      <c r="G103" s="186">
        <v>2024</v>
      </c>
      <c r="H103" s="185">
        <v>-726</v>
      </c>
      <c r="I103" s="185">
        <v>-22.35</v>
      </c>
      <c r="J103" s="185">
        <v>0</v>
      </c>
      <c r="K103" s="187">
        <v>1275.6500000000001</v>
      </c>
      <c r="L103" s="188"/>
      <c r="R103" s="35"/>
      <c r="T103" s="3"/>
    </row>
    <row r="104" spans="2:20" ht="15.75" customHeight="1">
      <c r="B104" s="314" t="s">
        <v>267</v>
      </c>
      <c r="C104" s="314"/>
      <c r="D104" s="314"/>
      <c r="E104" s="314"/>
      <c r="F104" s="315"/>
      <c r="G104" s="186">
        <v>68277.27</v>
      </c>
      <c r="H104" s="187">
        <v>33003.360000000001</v>
      </c>
      <c r="I104" s="185">
        <v>-985.03</v>
      </c>
      <c r="J104" s="185">
        <v>0</v>
      </c>
      <c r="K104" s="187">
        <v>100295.6</v>
      </c>
      <c r="L104" s="188"/>
      <c r="R104" s="35"/>
      <c r="T104" s="3"/>
    </row>
    <row r="105" spans="2:20" ht="15.75" customHeight="1">
      <c r="B105" s="316" t="s">
        <v>269</v>
      </c>
      <c r="C105" s="316"/>
      <c r="D105" s="316"/>
      <c r="E105" s="316"/>
      <c r="F105" s="316"/>
      <c r="G105" s="316"/>
      <c r="H105" s="316"/>
      <c r="I105" s="316"/>
      <c r="J105" s="316"/>
      <c r="K105" s="316"/>
      <c r="L105" s="316"/>
      <c r="R105" s="35"/>
      <c r="T105" s="3"/>
    </row>
    <row r="106" spans="2:20" ht="15.75" customHeight="1">
      <c r="B106" s="181" t="s">
        <v>271</v>
      </c>
      <c r="C106" s="184">
        <v>0</v>
      </c>
      <c r="D106" s="185">
        <v>20</v>
      </c>
      <c r="E106" s="184" t="s">
        <v>188</v>
      </c>
      <c r="F106" s="187">
        <v>19602.5</v>
      </c>
      <c r="G106" s="184">
        <v>0</v>
      </c>
      <c r="H106" s="185">
        <v>-300</v>
      </c>
      <c r="I106" s="185">
        <v>0</v>
      </c>
      <c r="J106" s="185">
        <v>0</v>
      </c>
      <c r="K106" s="185">
        <v>-300</v>
      </c>
      <c r="L106" s="188"/>
      <c r="R106" s="35"/>
      <c r="T106" s="3"/>
    </row>
    <row r="107" spans="2:20">
      <c r="B107" s="314" t="s">
        <v>272</v>
      </c>
      <c r="C107" s="314"/>
      <c r="D107" s="314"/>
      <c r="E107" s="314"/>
      <c r="F107" s="315"/>
      <c r="G107" s="184">
        <v>0</v>
      </c>
      <c r="H107" s="185">
        <v>-300</v>
      </c>
      <c r="I107" s="185">
        <v>0</v>
      </c>
      <c r="J107" s="185">
        <v>0</v>
      </c>
      <c r="K107" s="185">
        <v>-300</v>
      </c>
      <c r="L107" s="188"/>
      <c r="R107" s="35"/>
      <c r="T107" s="3"/>
    </row>
    <row r="108" spans="2:20">
      <c r="B108" s="316" t="s">
        <v>273</v>
      </c>
      <c r="C108" s="316"/>
      <c r="D108" s="316"/>
      <c r="E108" s="316"/>
      <c r="F108" s="316"/>
      <c r="G108" s="316"/>
      <c r="H108" s="316"/>
      <c r="I108" s="316"/>
      <c r="J108" s="316"/>
      <c r="K108" s="316"/>
      <c r="L108" s="316"/>
      <c r="R108" s="35"/>
      <c r="T108" s="3"/>
    </row>
    <row r="109" spans="2:20" ht="27.6">
      <c r="B109" s="181" t="s">
        <v>274</v>
      </c>
      <c r="C109" s="184">
        <v>0</v>
      </c>
      <c r="D109" s="185">
        <v>0</v>
      </c>
      <c r="E109" s="184" t="s">
        <v>188</v>
      </c>
      <c r="F109" s="185" t="s">
        <v>188</v>
      </c>
      <c r="G109" s="184">
        <v>0</v>
      </c>
      <c r="H109" s="185">
        <v>785</v>
      </c>
      <c r="I109" s="185">
        <v>-4.7</v>
      </c>
      <c r="J109" s="185">
        <v>0</v>
      </c>
      <c r="K109" s="185">
        <v>780.3</v>
      </c>
      <c r="L109" s="188"/>
      <c r="R109" s="35"/>
      <c r="T109" s="3"/>
    </row>
    <row r="110" spans="2:20" ht="27.6">
      <c r="B110" s="181" t="s">
        <v>275</v>
      </c>
      <c r="C110" s="184">
        <v>0</v>
      </c>
      <c r="D110" s="185">
        <v>0</v>
      </c>
      <c r="E110" s="184" t="s">
        <v>188</v>
      </c>
      <c r="F110" s="185" t="s">
        <v>188</v>
      </c>
      <c r="G110" s="184">
        <v>0</v>
      </c>
      <c r="H110" s="185">
        <v>749</v>
      </c>
      <c r="I110" s="185">
        <v>-6.58</v>
      </c>
      <c r="J110" s="185">
        <v>0</v>
      </c>
      <c r="K110" s="185">
        <v>742.42</v>
      </c>
      <c r="L110" s="188"/>
      <c r="R110" s="35"/>
      <c r="T110" s="3"/>
    </row>
    <row r="111" spans="2:20" ht="27.6">
      <c r="B111" s="181" t="s">
        <v>276</v>
      </c>
      <c r="C111" s="184">
        <v>0</v>
      </c>
      <c r="D111" s="185">
        <v>0</v>
      </c>
      <c r="E111" s="184" t="s">
        <v>188</v>
      </c>
      <c r="F111" s="185" t="s">
        <v>188</v>
      </c>
      <c r="G111" s="184">
        <v>0</v>
      </c>
      <c r="H111" s="187">
        <v>8705.5</v>
      </c>
      <c r="I111" s="185">
        <v>-23.97</v>
      </c>
      <c r="J111" s="185">
        <v>0</v>
      </c>
      <c r="K111" s="187">
        <v>8681.5300000000007</v>
      </c>
      <c r="L111" s="188"/>
      <c r="R111" s="35"/>
      <c r="T111" s="3"/>
    </row>
    <row r="112" spans="2:20" ht="27.6">
      <c r="B112" s="181" t="s">
        <v>277</v>
      </c>
      <c r="C112" s="184">
        <v>0</v>
      </c>
      <c r="D112" s="185">
        <v>0</v>
      </c>
      <c r="E112" s="184" t="s">
        <v>188</v>
      </c>
      <c r="F112" s="185" t="s">
        <v>188</v>
      </c>
      <c r="G112" s="184">
        <v>0</v>
      </c>
      <c r="H112" s="185">
        <v>655</v>
      </c>
      <c r="I112" s="185">
        <v>-4.7</v>
      </c>
      <c r="J112" s="185">
        <v>0</v>
      </c>
      <c r="K112" s="185">
        <v>650.29999999999995</v>
      </c>
      <c r="L112" s="188"/>
      <c r="R112" s="35"/>
      <c r="T112" s="3"/>
    </row>
    <row r="113" spans="2:20" ht="27.6">
      <c r="B113" s="181" t="s">
        <v>278</v>
      </c>
      <c r="C113" s="184">
        <v>0</v>
      </c>
      <c r="D113" s="185">
        <v>0</v>
      </c>
      <c r="E113" s="184" t="s">
        <v>188</v>
      </c>
      <c r="F113" s="185" t="s">
        <v>188</v>
      </c>
      <c r="G113" s="184">
        <v>0</v>
      </c>
      <c r="H113" s="187">
        <v>1630</v>
      </c>
      <c r="I113" s="185">
        <v>-9.4</v>
      </c>
      <c r="J113" s="185">
        <v>0</v>
      </c>
      <c r="K113" s="187">
        <v>1620.6</v>
      </c>
      <c r="L113" s="188"/>
      <c r="R113" s="35"/>
      <c r="T113" s="3"/>
    </row>
    <row r="114" spans="2:20" ht="27.6">
      <c r="B114" s="181" t="s">
        <v>279</v>
      </c>
      <c r="C114" s="184">
        <v>0</v>
      </c>
      <c r="D114" s="185">
        <v>0</v>
      </c>
      <c r="E114" s="184" t="s">
        <v>188</v>
      </c>
      <c r="F114" s="185" t="s">
        <v>188</v>
      </c>
      <c r="G114" s="184">
        <v>0</v>
      </c>
      <c r="H114" s="187">
        <v>1100</v>
      </c>
      <c r="I114" s="185">
        <v>-4.7</v>
      </c>
      <c r="J114" s="185">
        <v>0</v>
      </c>
      <c r="K114" s="187">
        <v>1095.3</v>
      </c>
      <c r="L114" s="188"/>
      <c r="R114" s="35"/>
      <c r="T114" s="3"/>
    </row>
    <row r="115" spans="2:20" ht="27.6">
      <c r="B115" s="181" t="s">
        <v>280</v>
      </c>
      <c r="C115" s="184">
        <v>0</v>
      </c>
      <c r="D115" s="185">
        <v>0</v>
      </c>
      <c r="E115" s="184" t="s">
        <v>188</v>
      </c>
      <c r="F115" s="185" t="s">
        <v>188</v>
      </c>
      <c r="G115" s="184">
        <v>0</v>
      </c>
      <c r="H115" s="185">
        <v>-114</v>
      </c>
      <c r="I115" s="185">
        <v>-9.4</v>
      </c>
      <c r="J115" s="185">
        <v>0</v>
      </c>
      <c r="K115" s="185">
        <v>-123.4</v>
      </c>
      <c r="L115" s="188"/>
      <c r="R115" s="35"/>
      <c r="T115" s="3"/>
    </row>
    <row r="116" spans="2:20" ht="27.6">
      <c r="B116" s="181" t="s">
        <v>281</v>
      </c>
      <c r="C116" s="184">
        <v>0</v>
      </c>
      <c r="D116" s="185">
        <v>0</v>
      </c>
      <c r="E116" s="184" t="s">
        <v>188</v>
      </c>
      <c r="F116" s="185" t="s">
        <v>188</v>
      </c>
      <c r="G116" s="184">
        <v>0</v>
      </c>
      <c r="H116" s="185">
        <v>220</v>
      </c>
      <c r="I116" s="185">
        <v>-4.7</v>
      </c>
      <c r="J116" s="185">
        <v>0</v>
      </c>
      <c r="K116" s="185">
        <v>215.3</v>
      </c>
      <c r="L116" s="188"/>
      <c r="R116" s="35"/>
      <c r="T116" s="3"/>
    </row>
    <row r="117" spans="2:20" ht="27.6">
      <c r="B117" s="181" t="s">
        <v>282</v>
      </c>
      <c r="C117" s="184">
        <v>0</v>
      </c>
      <c r="D117" s="185">
        <v>0</v>
      </c>
      <c r="E117" s="184" t="s">
        <v>188</v>
      </c>
      <c r="F117" s="185" t="s">
        <v>188</v>
      </c>
      <c r="G117" s="184">
        <v>0</v>
      </c>
      <c r="H117" s="185">
        <v>285</v>
      </c>
      <c r="I117" s="185">
        <v>-7.05</v>
      </c>
      <c r="J117" s="185">
        <v>0</v>
      </c>
      <c r="K117" s="185">
        <v>277.95</v>
      </c>
      <c r="L117" s="188"/>
      <c r="T117" s="3"/>
    </row>
    <row r="118" spans="2:20" ht="27.6">
      <c r="B118" s="181" t="s">
        <v>283</v>
      </c>
      <c r="C118" s="184">
        <v>0</v>
      </c>
      <c r="D118" s="185">
        <v>0</v>
      </c>
      <c r="E118" s="184" t="s">
        <v>188</v>
      </c>
      <c r="F118" s="185" t="s">
        <v>188</v>
      </c>
      <c r="G118" s="184">
        <v>0</v>
      </c>
      <c r="H118" s="185">
        <v>367.5</v>
      </c>
      <c r="I118" s="185">
        <v>-7.05</v>
      </c>
      <c r="J118" s="185">
        <v>0</v>
      </c>
      <c r="K118" s="185">
        <v>360.45</v>
      </c>
      <c r="L118" s="188"/>
      <c r="T118" s="3"/>
    </row>
    <row r="119" spans="2:20" ht="27.6">
      <c r="B119" s="181" t="s">
        <v>284</v>
      </c>
      <c r="C119" s="184">
        <v>0</v>
      </c>
      <c r="D119" s="185">
        <v>0</v>
      </c>
      <c r="E119" s="184" t="s">
        <v>188</v>
      </c>
      <c r="F119" s="185" t="s">
        <v>188</v>
      </c>
      <c r="G119" s="184">
        <v>0</v>
      </c>
      <c r="H119" s="185">
        <v>660</v>
      </c>
      <c r="I119" s="185">
        <v>-4.7</v>
      </c>
      <c r="J119" s="185">
        <v>0</v>
      </c>
      <c r="K119" s="185">
        <v>655.29999999999995</v>
      </c>
      <c r="L119" s="188"/>
      <c r="T119" s="3"/>
    </row>
    <row r="120" spans="2:20" ht="27.6">
      <c r="B120" s="181" t="s">
        <v>285</v>
      </c>
      <c r="C120" s="184">
        <v>0</v>
      </c>
      <c r="D120" s="185">
        <v>0</v>
      </c>
      <c r="E120" s="184" t="s">
        <v>188</v>
      </c>
      <c r="F120" s="185" t="s">
        <v>188</v>
      </c>
      <c r="G120" s="184">
        <v>0</v>
      </c>
      <c r="H120" s="187">
        <v>1285</v>
      </c>
      <c r="I120" s="185">
        <v>-18.8</v>
      </c>
      <c r="J120" s="185">
        <v>0</v>
      </c>
      <c r="K120" s="187">
        <v>1266.2</v>
      </c>
      <c r="L120" s="188"/>
      <c r="T120" s="3"/>
    </row>
    <row r="121" spans="2:20" ht="15" customHeight="1">
      <c r="B121" s="181" t="s">
        <v>286</v>
      </c>
      <c r="C121" s="184">
        <v>0</v>
      </c>
      <c r="D121" s="185">
        <v>-51</v>
      </c>
      <c r="E121" s="184" t="s">
        <v>188</v>
      </c>
      <c r="F121" s="185">
        <v>52.5</v>
      </c>
      <c r="G121" s="184">
        <v>0</v>
      </c>
      <c r="H121" s="187">
        <v>2893.5</v>
      </c>
      <c r="I121" s="185">
        <v>-23.97</v>
      </c>
      <c r="J121" s="185">
        <v>0</v>
      </c>
      <c r="K121" s="187">
        <v>2869.53</v>
      </c>
      <c r="L121" s="188"/>
      <c r="T121" s="3"/>
    </row>
    <row r="122" spans="2:20" ht="15" customHeight="1">
      <c r="B122" s="181" t="s">
        <v>287</v>
      </c>
      <c r="C122" s="184">
        <v>0</v>
      </c>
      <c r="D122" s="185">
        <v>0</v>
      </c>
      <c r="E122" s="184" t="s">
        <v>188</v>
      </c>
      <c r="F122" s="185" t="s">
        <v>188</v>
      </c>
      <c r="G122" s="184">
        <v>0</v>
      </c>
      <c r="H122" s="187">
        <v>3035</v>
      </c>
      <c r="I122" s="185">
        <v>-39.76</v>
      </c>
      <c r="J122" s="185">
        <v>0</v>
      </c>
      <c r="K122" s="187">
        <v>2995.24</v>
      </c>
      <c r="L122" s="188"/>
      <c r="T122" s="3"/>
    </row>
    <row r="123" spans="2:20" ht="15" customHeight="1">
      <c r="B123" s="181" t="s">
        <v>288</v>
      </c>
      <c r="C123" s="184">
        <v>0</v>
      </c>
      <c r="D123" s="185">
        <v>0</v>
      </c>
      <c r="E123" s="184" t="s">
        <v>188</v>
      </c>
      <c r="F123" s="185" t="s">
        <v>188</v>
      </c>
      <c r="G123" s="184">
        <v>0</v>
      </c>
      <c r="H123" s="187">
        <v>3550</v>
      </c>
      <c r="I123" s="185">
        <v>-28.4</v>
      </c>
      <c r="J123" s="185">
        <v>0</v>
      </c>
      <c r="K123" s="187">
        <v>3521.6</v>
      </c>
      <c r="L123" s="188"/>
      <c r="T123" s="3"/>
    </row>
    <row r="124" spans="2:20" ht="15" customHeight="1">
      <c r="B124" s="181" t="s">
        <v>289</v>
      </c>
      <c r="C124" s="184">
        <v>0</v>
      </c>
      <c r="D124" s="185">
        <v>0</v>
      </c>
      <c r="E124" s="184" t="s">
        <v>188</v>
      </c>
      <c r="F124" s="185" t="s">
        <v>188</v>
      </c>
      <c r="G124" s="184">
        <v>0</v>
      </c>
      <c r="H124" s="187">
        <v>2600</v>
      </c>
      <c r="I124" s="185">
        <v>-28.4</v>
      </c>
      <c r="J124" s="185">
        <v>0</v>
      </c>
      <c r="K124" s="187">
        <v>2571.6</v>
      </c>
      <c r="L124" s="188"/>
      <c r="T124" s="3"/>
    </row>
    <row r="125" spans="2:20" ht="27.6">
      <c r="B125" s="181" t="s">
        <v>290</v>
      </c>
      <c r="C125" s="184">
        <v>0</v>
      </c>
      <c r="D125" s="185">
        <v>0</v>
      </c>
      <c r="E125" s="184" t="s">
        <v>188</v>
      </c>
      <c r="F125" s="185" t="s">
        <v>188</v>
      </c>
      <c r="G125" s="184">
        <v>0</v>
      </c>
      <c r="H125" s="187">
        <v>-3190</v>
      </c>
      <c r="I125" s="185">
        <v>-28.4</v>
      </c>
      <c r="J125" s="185">
        <v>0</v>
      </c>
      <c r="K125" s="187">
        <v>-3218.4</v>
      </c>
      <c r="L125" s="188"/>
      <c r="T125" s="3"/>
    </row>
    <row r="126" spans="2:20" ht="27.6">
      <c r="B126" s="181" t="s">
        <v>291</v>
      </c>
      <c r="C126" s="184">
        <v>0</v>
      </c>
      <c r="D126" s="185">
        <v>0</v>
      </c>
      <c r="E126" s="184" t="s">
        <v>188</v>
      </c>
      <c r="F126" s="185" t="s">
        <v>188</v>
      </c>
      <c r="G126" s="184">
        <v>0</v>
      </c>
      <c r="H126" s="187">
        <v>5450</v>
      </c>
      <c r="I126" s="185">
        <v>-7.1</v>
      </c>
      <c r="J126" s="185">
        <v>0</v>
      </c>
      <c r="K126" s="187">
        <v>5442.9</v>
      </c>
      <c r="L126" s="188"/>
      <c r="T126" s="3"/>
    </row>
    <row r="127" spans="2:20">
      <c r="B127" s="314" t="s">
        <v>292</v>
      </c>
      <c r="C127" s="314"/>
      <c r="D127" s="314"/>
      <c r="E127" s="314"/>
      <c r="F127" s="315"/>
      <c r="G127" s="184">
        <v>0</v>
      </c>
      <c r="H127" s="187">
        <v>30666.5</v>
      </c>
      <c r="I127" s="185">
        <v>-261.77999999999997</v>
      </c>
      <c r="J127" s="185">
        <v>0</v>
      </c>
      <c r="K127" s="187">
        <v>30404.720000000001</v>
      </c>
      <c r="L127" s="188"/>
      <c r="T127" s="3"/>
    </row>
    <row r="128" spans="2:20">
      <c r="B128" s="316" t="s">
        <v>293</v>
      </c>
      <c r="C128" s="316"/>
      <c r="D128" s="316"/>
      <c r="E128" s="316"/>
      <c r="F128" s="316"/>
      <c r="G128" s="316"/>
      <c r="H128" s="316"/>
      <c r="I128" s="316"/>
      <c r="J128" s="316"/>
      <c r="K128" s="316"/>
      <c r="L128" s="316"/>
      <c r="T128" s="3"/>
    </row>
    <row r="129" spans="2:20">
      <c r="B129" s="181" t="s">
        <v>294</v>
      </c>
      <c r="C129" s="184">
        <v>0</v>
      </c>
      <c r="D129" s="185">
        <v>0</v>
      </c>
      <c r="E129" s="184">
        <v>0.73380999999999996</v>
      </c>
      <c r="F129" s="185">
        <v>0.72774000000000005</v>
      </c>
      <c r="G129" s="184">
        <v>0</v>
      </c>
      <c r="H129" s="185">
        <v>0</v>
      </c>
      <c r="I129" s="185">
        <v>0</v>
      </c>
      <c r="J129" s="185">
        <v>0</v>
      </c>
      <c r="K129" s="185">
        <v>0</v>
      </c>
      <c r="L129" s="188"/>
      <c r="T129" s="3"/>
    </row>
    <row r="130" spans="2:20">
      <c r="B130" s="181" t="s">
        <v>295</v>
      </c>
      <c r="C130" s="184">
        <v>0</v>
      </c>
      <c r="D130" s="185">
        <v>0</v>
      </c>
      <c r="E130" s="184">
        <v>1.1082000000000001</v>
      </c>
      <c r="F130" s="185">
        <v>1.1187</v>
      </c>
      <c r="G130" s="184">
        <v>0</v>
      </c>
      <c r="H130" s="185">
        <v>0</v>
      </c>
      <c r="I130" s="185">
        <v>0</v>
      </c>
      <c r="J130" s="185">
        <v>0</v>
      </c>
      <c r="K130" s="185">
        <v>0</v>
      </c>
      <c r="L130" s="188"/>
      <c r="T130" s="3"/>
    </row>
    <row r="131" spans="2:20">
      <c r="B131" s="181" t="s">
        <v>296</v>
      </c>
      <c r="C131" s="186">
        <v>-3946358.16</v>
      </c>
      <c r="D131" s="187">
        <v>-3954451.2</v>
      </c>
      <c r="E131" s="184">
        <v>0.13768</v>
      </c>
      <c r="F131" s="185">
        <v>0.13754</v>
      </c>
      <c r="G131" s="184">
        <v>-198.57</v>
      </c>
      <c r="H131" s="185">
        <v>0</v>
      </c>
      <c r="I131" s="185">
        <v>0</v>
      </c>
      <c r="J131" s="185">
        <v>0</v>
      </c>
      <c r="K131" s="185">
        <v>-198.57</v>
      </c>
      <c r="L131" s="188"/>
      <c r="T131" s="3"/>
    </row>
    <row r="132" spans="2:20">
      <c r="B132" s="181" t="s">
        <v>297</v>
      </c>
      <c r="C132" s="184">
        <v>0</v>
      </c>
      <c r="D132" s="187">
        <v>-922018.83</v>
      </c>
      <c r="E132" s="184">
        <v>1.0849</v>
      </c>
      <c r="F132" s="185">
        <v>1.0738000000000001</v>
      </c>
      <c r="G132" s="184">
        <v>-57.72</v>
      </c>
      <c r="H132" s="185">
        <v>0</v>
      </c>
      <c r="I132" s="185">
        <v>0</v>
      </c>
      <c r="J132" s="185">
        <v>0</v>
      </c>
      <c r="K132" s="185">
        <v>-57.72</v>
      </c>
      <c r="L132" s="188"/>
      <c r="T132" s="3"/>
    </row>
    <row r="133" spans="2:20">
      <c r="B133" s="181" t="s">
        <v>298</v>
      </c>
      <c r="C133" s="186">
        <v>-149695109.84</v>
      </c>
      <c r="D133" s="187">
        <v>-154502802.58000001</v>
      </c>
      <c r="E133" s="184">
        <v>0.12789</v>
      </c>
      <c r="F133" s="185">
        <v>0.12803999999999999</v>
      </c>
      <c r="G133" s="186">
        <v>3863.36</v>
      </c>
      <c r="H133" s="185">
        <v>0</v>
      </c>
      <c r="I133" s="185">
        <v>0</v>
      </c>
      <c r="J133" s="185">
        <v>0</v>
      </c>
      <c r="K133" s="187">
        <v>3863.36</v>
      </c>
      <c r="L133" s="188"/>
      <c r="T133" s="3"/>
    </row>
    <row r="134" spans="2:20">
      <c r="B134" s="181" t="s">
        <v>299</v>
      </c>
      <c r="C134" s="184">
        <v>0</v>
      </c>
      <c r="D134" s="185">
        <v>0</v>
      </c>
      <c r="E134" s="184">
        <v>6.3572999999999998E-3</v>
      </c>
      <c r="F134" s="185">
        <v>6.3686999999999997E-3</v>
      </c>
      <c r="G134" s="184">
        <v>0</v>
      </c>
      <c r="H134" s="185">
        <v>0</v>
      </c>
      <c r="I134" s="185">
        <v>0</v>
      </c>
      <c r="J134" s="185">
        <v>0</v>
      </c>
      <c r="K134" s="185">
        <v>0</v>
      </c>
      <c r="L134" s="188"/>
      <c r="T134" s="3"/>
    </row>
    <row r="135" spans="2:20">
      <c r="B135" s="181" t="s">
        <v>300</v>
      </c>
      <c r="C135" s="184">
        <v>0</v>
      </c>
      <c r="D135" s="185">
        <v>0</v>
      </c>
      <c r="E135" s="184">
        <v>5.8713000000000001E-2</v>
      </c>
      <c r="F135" s="185">
        <v>5.4417E-2</v>
      </c>
      <c r="G135" s="184">
        <v>0</v>
      </c>
      <c r="H135" s="185">
        <v>0</v>
      </c>
      <c r="I135" s="185">
        <v>0</v>
      </c>
      <c r="J135" s="185">
        <v>0</v>
      </c>
      <c r="K135" s="185">
        <v>0</v>
      </c>
      <c r="L135" s="188"/>
      <c r="T135" s="3"/>
    </row>
    <row r="136" spans="2:20">
      <c r="B136" s="181" t="s">
        <v>301</v>
      </c>
      <c r="C136" s="184">
        <v>0</v>
      </c>
      <c r="D136" s="185">
        <v>0</v>
      </c>
      <c r="E136" s="184">
        <v>9.4961000000000004E-2</v>
      </c>
      <c r="F136" s="185">
        <v>9.5449000000000006E-2</v>
      </c>
      <c r="G136" s="184">
        <v>0</v>
      </c>
      <c r="H136" s="185">
        <v>0</v>
      </c>
      <c r="I136" s="185">
        <v>0</v>
      </c>
      <c r="J136" s="185">
        <v>0</v>
      </c>
      <c r="K136" s="185">
        <v>0</v>
      </c>
      <c r="L136" s="188"/>
      <c r="T136" s="3"/>
    </row>
    <row r="137" spans="2:20">
      <c r="B137" s="181" t="s">
        <v>302</v>
      </c>
      <c r="C137" s="184">
        <v>0</v>
      </c>
      <c r="D137" s="185">
        <v>0</v>
      </c>
      <c r="E137" s="184">
        <v>0.74004999999999999</v>
      </c>
      <c r="F137" s="185">
        <v>0.74021999999999999</v>
      </c>
      <c r="G137" s="184">
        <v>0</v>
      </c>
      <c r="H137" s="185">
        <v>0</v>
      </c>
      <c r="I137" s="185">
        <v>0</v>
      </c>
      <c r="J137" s="185">
        <v>0</v>
      </c>
      <c r="K137" s="185">
        <v>0</v>
      </c>
      <c r="L137" s="188"/>
      <c r="T137" s="3"/>
    </row>
    <row r="138" spans="2:20">
      <c r="B138" s="181" t="s">
        <v>89</v>
      </c>
      <c r="C138" s="186">
        <v>-100373601.44</v>
      </c>
      <c r="D138" s="187">
        <v>-113028425.97</v>
      </c>
      <c r="E138" s="184">
        <v>1</v>
      </c>
      <c r="F138" s="185">
        <v>1</v>
      </c>
      <c r="G138" s="184">
        <v>0</v>
      </c>
      <c r="H138" s="185">
        <v>0</v>
      </c>
      <c r="I138" s="185">
        <v>0</v>
      </c>
      <c r="J138" s="185">
        <v>0</v>
      </c>
      <c r="K138" s="185">
        <v>0</v>
      </c>
      <c r="L138" s="188"/>
      <c r="T138" s="3"/>
    </row>
    <row r="139" spans="2:20">
      <c r="B139" s="314" t="s">
        <v>303</v>
      </c>
      <c r="C139" s="314"/>
      <c r="D139" s="314"/>
      <c r="E139" s="314"/>
      <c r="F139" s="315"/>
      <c r="G139" s="186">
        <v>3607.07</v>
      </c>
      <c r="H139" s="185">
        <v>0</v>
      </c>
      <c r="I139" s="185">
        <v>0</v>
      </c>
      <c r="J139" s="185">
        <v>0</v>
      </c>
      <c r="K139" s="187">
        <v>3607.07</v>
      </c>
      <c r="L139" s="188"/>
      <c r="T139" s="3"/>
    </row>
    <row r="140" spans="2:20">
      <c r="B140" s="314" t="s">
        <v>304</v>
      </c>
      <c r="C140" s="314"/>
      <c r="D140" s="314"/>
      <c r="E140" s="314"/>
      <c r="F140" s="315"/>
      <c r="G140" s="186">
        <v>4316366.95</v>
      </c>
      <c r="H140" s="187">
        <v>75414.16</v>
      </c>
      <c r="I140" s="187">
        <v>-5772.22</v>
      </c>
      <c r="J140" s="187">
        <v>29228.49</v>
      </c>
      <c r="K140" s="187">
        <v>4415237.38</v>
      </c>
      <c r="L140" s="188"/>
      <c r="T140" s="3"/>
    </row>
    <row r="141" spans="2:20">
      <c r="B141" s="320" t="s">
        <v>305</v>
      </c>
      <c r="C141" s="320"/>
      <c r="D141" s="320"/>
      <c r="E141" s="320"/>
      <c r="F141" s="320"/>
      <c r="G141" s="320"/>
      <c r="H141" s="320"/>
      <c r="I141" s="320"/>
      <c r="J141" s="321"/>
      <c r="K141" s="187">
        <v>-854078.19</v>
      </c>
      <c r="L141" s="188"/>
      <c r="T141" s="3"/>
    </row>
    <row r="142" spans="2:20">
      <c r="B142" s="320" t="s">
        <v>150</v>
      </c>
      <c r="C142" s="320"/>
      <c r="D142" s="320"/>
      <c r="E142" s="320"/>
      <c r="F142" s="320"/>
      <c r="G142" s="320"/>
      <c r="H142" s="320"/>
      <c r="I142" s="320"/>
      <c r="J142" s="321"/>
      <c r="K142" s="185">
        <v>-167.75</v>
      </c>
      <c r="L142" s="188"/>
    </row>
    <row r="143" spans="2:20">
      <c r="B143" s="314" t="s">
        <v>306</v>
      </c>
      <c r="C143" s="314"/>
      <c r="D143" s="314"/>
      <c r="E143" s="314"/>
      <c r="F143" s="314"/>
      <c r="G143" s="314"/>
      <c r="H143" s="314"/>
      <c r="I143" s="314"/>
      <c r="J143" s="315"/>
      <c r="K143" s="187">
        <v>3560991.43</v>
      </c>
      <c r="L143" s="188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4.4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307</v>
      </c>
      <c r="B1" t="s">
        <v>308</v>
      </c>
      <c r="E1" t="s">
        <v>309</v>
      </c>
      <c r="F1" t="s">
        <v>310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" thickBot="1"/>
    <row r="14" spans="1:8" ht="36.6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6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6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6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6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6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6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52"/>
  <sheetViews>
    <sheetView zoomScale="85" zoomScaleNormal="85" workbookViewId="0">
      <pane xSplit="1" ySplit="1" topLeftCell="B1146" activePane="bottomRight" state="frozen"/>
      <selection pane="bottomRight" activeCell="B1173" sqref="B1173"/>
      <selection pane="bottomLeft" activeCell="A2" sqref="A2"/>
      <selection pane="topRight" activeCell="B1" sqref="B1"/>
    </sheetView>
  </sheetViews>
  <sheetFormatPr defaultRowHeight="14.45" outlineLevelCol="1"/>
  <cols>
    <col min="1" max="1" width="16.7109375" style="3" customWidth="1"/>
    <col min="2" max="2" width="16.7109375" style="76" customWidth="1"/>
    <col min="3" max="3" width="16.7109375" style="129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27" customFormat="1" ht="30.75" customHeight="1">
      <c r="A1" s="120" t="s">
        <v>49</v>
      </c>
      <c r="B1" s="121" t="s">
        <v>50</v>
      </c>
      <c r="C1" s="121" t="s">
        <v>51</v>
      </c>
      <c r="D1" s="122" t="s">
        <v>311</v>
      </c>
      <c r="E1" s="122" t="s">
        <v>312</v>
      </c>
      <c r="F1" s="123" t="s">
        <v>52</v>
      </c>
      <c r="G1" s="123" t="s">
        <v>53</v>
      </c>
      <c r="H1" s="123" t="s">
        <v>54</v>
      </c>
      <c r="I1" s="124" t="s">
        <v>8</v>
      </c>
      <c r="J1" s="123" t="s">
        <v>57</v>
      </c>
      <c r="K1" s="123" t="s">
        <v>58</v>
      </c>
      <c r="L1" s="124" t="s">
        <v>59</v>
      </c>
      <c r="M1" s="124" t="s">
        <v>60</v>
      </c>
      <c r="N1" s="124" t="s">
        <v>61</v>
      </c>
      <c r="O1" s="124" t="s">
        <v>62</v>
      </c>
      <c r="P1" s="124" t="s">
        <v>63</v>
      </c>
      <c r="Q1" s="125" t="s">
        <v>64</v>
      </c>
      <c r="R1" s="126" t="s">
        <v>65</v>
      </c>
      <c r="S1" s="125" t="s">
        <v>66</v>
      </c>
      <c r="T1" s="126" t="s">
        <v>67</v>
      </c>
      <c r="U1" s="125" t="s">
        <v>68</v>
      </c>
      <c r="V1" s="126" t="s">
        <v>69</v>
      </c>
      <c r="W1" s="126" t="s">
        <v>17</v>
      </c>
      <c r="X1" s="126" t="s">
        <v>70</v>
      </c>
      <c r="Y1" s="137" t="s">
        <v>71</v>
      </c>
      <c r="Z1" s="137" t="s">
        <v>72</v>
      </c>
      <c r="AA1" s="137" t="s">
        <v>73</v>
      </c>
      <c r="AB1" s="126" t="s">
        <v>18</v>
      </c>
      <c r="AC1" s="126" t="s">
        <v>74</v>
      </c>
      <c r="AD1" s="126" t="s">
        <v>75</v>
      </c>
      <c r="AE1" s="126" t="s">
        <v>76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77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28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38">
        <f>4.5%/252</f>
        <v>1.7857142857142857E-4</v>
      </c>
      <c r="Y909" s="138">
        <f t="shared" si="153"/>
        <v>-4.9428741396759376E-4</v>
      </c>
      <c r="Z909" s="138">
        <f t="shared" si="154"/>
        <v>-4.9428741396759376E-4</v>
      </c>
      <c r="AA909" s="138">
        <f t="shared" si="155"/>
        <v>2.4432004760677138E-7</v>
      </c>
      <c r="AB909" s="140">
        <f>AVERAGE(Y658:Y909)/AVERAGE(AA658:AA909)</f>
        <v>10.862753770151159</v>
      </c>
      <c r="AC909" s="140">
        <f>AVERAGE(I880:I909)-_xlfn.NORM.S.INV(0.95)*_xlfn.STDEV.S(I880:I909)</f>
        <v>-5.2082859904471958E-2</v>
      </c>
      <c r="AD909" s="140">
        <f>AVERAGE(I820:I909)-_xlfn.NORM.S.INV(0.95)*_xlfn.STDEV.S(I820:I909)</f>
        <v>-4.1868441458356012E-2</v>
      </c>
      <c r="AE909" s="140">
        <f>AVERAGE(I545:I909)-_xlfn.NORM.S.INV(0.95)*_xlfn.STDEV.S(I545:I909)</f>
        <v>-3.5077409479119914E-2</v>
      </c>
    </row>
    <row r="910" spans="1:31">
      <c r="A910" s="88">
        <v>45293</v>
      </c>
      <c r="B910" s="128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38">
        <f>4.5%/252</f>
        <v>1.7857142857142857E-4</v>
      </c>
      <c r="Y910" s="135">
        <f t="shared" si="153"/>
        <v>-6.3473782246552188E-2</v>
      </c>
      <c r="Z910" s="135">
        <f t="shared" si="154"/>
        <v>-6.3473782246552188E-2</v>
      </c>
      <c r="AA910" s="135">
        <f t="shared" si="155"/>
        <v>4.0289210326827241E-3</v>
      </c>
      <c r="AB910" s="140">
        <f t="shared" ref="AB910:AB973" si="164">AVERAGE(Y659:Y910)/AVERAGE(AA659:AA910)</f>
        <v>8.7012884371435515</v>
      </c>
      <c r="AC910" s="140">
        <f t="shared" ref="AC910:AC973" si="165">AVERAGE(I881:I910)-_xlfn.NORM.S.INV(0.95)*_xlfn.STDEV.S(I881:I910)</f>
        <v>-5.7913282446722635E-2</v>
      </c>
      <c r="AD910" s="140">
        <f t="shared" ref="AD910:AD973" si="166">AVERAGE(I821:I910)-_xlfn.NORM.S.INV(0.95)*_xlfn.STDEV.S(I821:I910)</f>
        <v>-4.4120407911699182E-2</v>
      </c>
      <c r="AE910" s="140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28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38">
        <f>4.5%/252</f>
        <v>1.7857142857142857E-4</v>
      </c>
      <c r="Y911" s="135">
        <f t="shared" si="153"/>
        <v>-6.0231255081398233E-2</v>
      </c>
      <c r="Z911" s="135">
        <f t="shared" si="154"/>
        <v>-6.0231255081398233E-2</v>
      </c>
      <c r="AA911" s="135">
        <f t="shared" si="155"/>
        <v>3.6278040886804606E-3</v>
      </c>
      <c r="AB911" s="140">
        <f t="shared" si="164"/>
        <v>7.0897836188470125</v>
      </c>
      <c r="AC911" s="140">
        <f t="shared" si="165"/>
        <v>-6.3469883780326558E-2</v>
      </c>
      <c r="AD911" s="140">
        <f t="shared" si="166"/>
        <v>-4.6107566040296484E-2</v>
      </c>
      <c r="AE911" s="140">
        <f t="shared" si="167"/>
        <v>-3.6176064662886386E-2</v>
      </c>
    </row>
    <row r="912" spans="1:31">
      <c r="A912" s="88">
        <v>45295</v>
      </c>
      <c r="B912" s="128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38">
        <f t="shared" ref="X912:X975" si="168">4.5%/252</f>
        <v>1.7857142857142857E-4</v>
      </c>
      <c r="Y912" s="135">
        <f t="shared" si="153"/>
        <v>-8.9139955818648732E-3</v>
      </c>
      <c r="Z912" s="135">
        <f t="shared" si="154"/>
        <v>-8.9139955818648732E-3</v>
      </c>
      <c r="AA912" s="135">
        <f t="shared" si="155"/>
        <v>7.9459317233506485E-5</v>
      </c>
      <c r="AB912" s="140">
        <f t="shared" si="164"/>
        <v>7.0086610027689016</v>
      </c>
      <c r="AC912" s="140">
        <f t="shared" si="165"/>
        <v>-6.3931392382366586E-2</v>
      </c>
      <c r="AD912" s="140">
        <f t="shared" si="166"/>
        <v>-4.6287274862539585E-2</v>
      </c>
      <c r="AE912" s="140">
        <f t="shared" si="167"/>
        <v>-3.6181172865485278E-2</v>
      </c>
    </row>
    <row r="913" spans="1:31">
      <c r="A913" s="88">
        <v>45296</v>
      </c>
      <c r="B913" s="128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38">
        <f t="shared" si="168"/>
        <v>1.7857142857142857E-4</v>
      </c>
      <c r="Y913" s="135">
        <f t="shared" si="153"/>
        <v>6.0970705378987297E-4</v>
      </c>
      <c r="Z913" s="135">
        <f t="shared" si="154"/>
        <v>0</v>
      </c>
      <c r="AA913" s="135">
        <f t="shared" si="155"/>
        <v>0</v>
      </c>
      <c r="AB913" s="140">
        <f t="shared" si="164"/>
        <v>6.9291722044828337</v>
      </c>
      <c r="AC913" s="140">
        <f t="shared" si="165"/>
        <v>-6.3783027039708506E-2</v>
      </c>
      <c r="AD913" s="140">
        <f t="shared" si="166"/>
        <v>-4.6272142704630176E-2</v>
      </c>
      <c r="AE913" s="140">
        <f t="shared" si="167"/>
        <v>-3.6090784938544028E-2</v>
      </c>
    </row>
    <row r="914" spans="1:31">
      <c r="A914" s="88">
        <v>45299</v>
      </c>
      <c r="B914" s="128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38">
        <f t="shared" si="168"/>
        <v>1.7857142857142857E-4</v>
      </c>
      <c r="Y914" s="135">
        <f t="shared" si="153"/>
        <v>2.8496682570806054E-2</v>
      </c>
      <c r="Z914" s="135">
        <f t="shared" si="154"/>
        <v>0</v>
      </c>
      <c r="AA914" s="135">
        <f t="shared" si="155"/>
        <v>0</v>
      </c>
      <c r="AB914" s="140">
        <f t="shared" si="164"/>
        <v>7.5286779031822197</v>
      </c>
      <c r="AC914" s="140">
        <f t="shared" si="165"/>
        <v>-6.3200991071602E-2</v>
      </c>
      <c r="AD914" s="140">
        <f t="shared" si="166"/>
        <v>-4.6145540173811256E-2</v>
      </c>
      <c r="AE914" s="140">
        <f t="shared" si="167"/>
        <v>-3.6093776484001333E-2</v>
      </c>
    </row>
    <row r="915" spans="1:31">
      <c r="A915" s="88">
        <v>45300</v>
      </c>
      <c r="B915" s="128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38">
        <f t="shared" si="168"/>
        <v>1.7857142857142857E-4</v>
      </c>
      <c r="Y915" s="135">
        <f t="shared" si="153"/>
        <v>-1.1387220644610419E-2</v>
      </c>
      <c r="Z915" s="135">
        <f t="shared" si="154"/>
        <v>-1.1387220644610419E-2</v>
      </c>
      <c r="AA915" s="135">
        <f t="shared" si="155"/>
        <v>1.2966879400904172E-4</v>
      </c>
      <c r="AB915" s="140">
        <f t="shared" si="164"/>
        <v>7.0504472094076567</v>
      </c>
      <c r="AC915" s="140">
        <f t="shared" si="165"/>
        <v>-6.41218790696024E-2</v>
      </c>
      <c r="AD915" s="140">
        <f t="shared" si="166"/>
        <v>-4.6291036691684606E-2</v>
      </c>
      <c r="AE915" s="140">
        <f t="shared" si="167"/>
        <v>-3.6158472517288751E-2</v>
      </c>
    </row>
    <row r="916" spans="1:31">
      <c r="A916" s="88">
        <v>45301</v>
      </c>
      <c r="B916" s="128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38">
        <f t="shared" si="168"/>
        <v>1.7857142857142857E-4</v>
      </c>
      <c r="Y916" s="135">
        <f t="shared" si="153"/>
        <v>5.5128545579673774E-3</v>
      </c>
      <c r="Z916" s="135">
        <f t="shared" si="154"/>
        <v>0</v>
      </c>
      <c r="AA916" s="135">
        <f t="shared" si="155"/>
        <v>0</v>
      </c>
      <c r="AB916" s="140">
        <f t="shared" si="164"/>
        <v>6.8483163400451295</v>
      </c>
      <c r="AC916" s="140">
        <f t="shared" si="165"/>
        <v>-6.357102229902753E-2</v>
      </c>
      <c r="AD916" s="140">
        <f t="shared" si="166"/>
        <v>-4.5963377368330963E-2</v>
      </c>
      <c r="AE916" s="140">
        <f t="shared" si="167"/>
        <v>-3.61213830794226E-2</v>
      </c>
    </row>
    <row r="917" spans="1:31">
      <c r="A917" s="88">
        <v>45302</v>
      </c>
      <c r="B917" s="128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38">
        <f t="shared" si="168"/>
        <v>1.7857142857142857E-4</v>
      </c>
      <c r="Y917" s="135">
        <f t="shared" si="153"/>
        <v>-8.0231252022815239E-3</v>
      </c>
      <c r="Z917" s="135">
        <f t="shared" si="154"/>
        <v>-8.0231252022815239E-3</v>
      </c>
      <c r="AA917" s="135">
        <f t="shared" si="155"/>
        <v>6.437053801148494E-5</v>
      </c>
      <c r="AB917" s="140">
        <f t="shared" si="164"/>
        <v>6.6038904142900243</v>
      </c>
      <c r="AC917" s="140">
        <f t="shared" si="165"/>
        <v>-6.3794141846392469E-2</v>
      </c>
      <c r="AD917" s="140">
        <f t="shared" si="166"/>
        <v>-4.5967297476433439E-2</v>
      </c>
      <c r="AE917" s="140">
        <f t="shared" si="167"/>
        <v>-3.6040463559103127E-2</v>
      </c>
    </row>
    <row r="918" spans="1:31">
      <c r="A918" s="88">
        <v>45303</v>
      </c>
      <c r="B918" s="128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38">
        <f t="shared" si="168"/>
        <v>1.7857142857142857E-4</v>
      </c>
      <c r="Y918" s="135">
        <f t="shared" si="153"/>
        <v>-5.315512259112188E-3</v>
      </c>
      <c r="Z918" s="135">
        <f t="shared" si="154"/>
        <v>-5.315512259112188E-3</v>
      </c>
      <c r="AA918" s="135">
        <f t="shared" si="155"/>
        <v>2.8254670576771958E-5</v>
      </c>
      <c r="AB918" s="140">
        <f t="shared" si="164"/>
        <v>6.5108385796554913</v>
      </c>
      <c r="AC918" s="140">
        <f t="shared" si="165"/>
        <v>-6.4689249143734764E-2</v>
      </c>
      <c r="AD918" s="140">
        <f t="shared" si="166"/>
        <v>-4.6095231289061782E-2</v>
      </c>
      <c r="AE918" s="140">
        <f t="shared" si="167"/>
        <v>-3.607053455939558E-2</v>
      </c>
    </row>
    <row r="919" spans="1:31">
      <c r="A919" s="88">
        <v>45306</v>
      </c>
      <c r="B919" s="128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38">
        <f t="shared" si="168"/>
        <v>1.7857142857142857E-4</v>
      </c>
      <c r="Y919" s="135">
        <f t="shared" si="153"/>
        <v>-7.4907719136200416E-4</v>
      </c>
      <c r="Z919" s="135">
        <f t="shared" si="154"/>
        <v>-7.4907719136200416E-4</v>
      </c>
      <c r="AA919" s="135">
        <f t="shared" si="155"/>
        <v>5.6111663861878861E-7</v>
      </c>
      <c r="AB919" s="140">
        <f t="shared" si="164"/>
        <v>6.0083548527650716</v>
      </c>
      <c r="AC919" s="140">
        <f t="shared" si="165"/>
        <v>-6.3099215220968521E-2</v>
      </c>
      <c r="AD919" s="140">
        <f t="shared" si="166"/>
        <v>-4.6236288452643208E-2</v>
      </c>
      <c r="AE919" s="140">
        <f t="shared" si="167"/>
        <v>-3.5871644799467611E-2</v>
      </c>
    </row>
    <row r="920" spans="1:31">
      <c r="A920" s="88">
        <v>45307</v>
      </c>
      <c r="B920" s="128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38">
        <f t="shared" si="168"/>
        <v>1.7857142857142857E-4</v>
      </c>
      <c r="Y920" s="135">
        <f t="shared" si="153"/>
        <v>-2.0788210419834693E-2</v>
      </c>
      <c r="Z920" s="135">
        <f t="shared" si="154"/>
        <v>-2.0788210419834693E-2</v>
      </c>
      <c r="AA920" s="135">
        <f t="shared" si="155"/>
        <v>4.3214969245932371E-4</v>
      </c>
      <c r="AB920" s="140">
        <f t="shared" si="164"/>
        <v>5.5896575965356101</v>
      </c>
      <c r="AC920" s="140">
        <f t="shared" si="165"/>
        <v>-6.4778897399616453E-2</v>
      </c>
      <c r="AD920" s="140">
        <f t="shared" si="166"/>
        <v>-4.6270865602616937E-2</v>
      </c>
      <c r="AE920" s="140">
        <f t="shared" si="167"/>
        <v>-3.5705039233227299E-2</v>
      </c>
    </row>
    <row r="921" spans="1:31">
      <c r="A921" s="88">
        <v>45308</v>
      </c>
      <c r="B921" s="128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38">
        <f t="shared" si="168"/>
        <v>1.7857142857142857E-4</v>
      </c>
      <c r="Y921" s="135">
        <f t="shared" si="153"/>
        <v>-1.2586303087684873E-2</v>
      </c>
      <c r="Z921" s="135">
        <f t="shared" si="154"/>
        <v>-1.2586303087684873E-2</v>
      </c>
      <c r="AA921" s="135">
        <f t="shared" si="155"/>
        <v>1.5841502541506577E-4</v>
      </c>
      <c r="AB921" s="140">
        <f t="shared" si="164"/>
        <v>6.0256006546913667</v>
      </c>
      <c r="AC921" s="140">
        <f t="shared" si="165"/>
        <v>-6.4531913188445714E-2</v>
      </c>
      <c r="AD921" s="140">
        <f t="shared" si="166"/>
        <v>-4.6538116479177979E-2</v>
      </c>
      <c r="AE921" s="140">
        <f t="shared" si="167"/>
        <v>-3.575914851871341E-2</v>
      </c>
    </row>
    <row r="922" spans="1:31">
      <c r="A922" s="88">
        <v>45309</v>
      </c>
      <c r="B922" s="128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38">
        <f t="shared" si="168"/>
        <v>1.7857142857142857E-4</v>
      </c>
      <c r="Y922" s="135">
        <f t="shared" si="153"/>
        <v>5.74281599180799E-3</v>
      </c>
      <c r="Z922" s="135">
        <f t="shared" si="154"/>
        <v>0</v>
      </c>
      <c r="AA922" s="135">
        <f t="shared" si="155"/>
        <v>0</v>
      </c>
      <c r="AB922" s="140">
        <f t="shared" si="164"/>
        <v>5.7684573989552934</v>
      </c>
      <c r="AC922" s="140">
        <f t="shared" si="165"/>
        <v>-6.4959497821427903E-2</v>
      </c>
      <c r="AD922" s="140">
        <f t="shared" si="166"/>
        <v>-4.6602626525068587E-2</v>
      </c>
      <c r="AE922" s="140">
        <f t="shared" si="167"/>
        <v>-3.5755725497871135E-2</v>
      </c>
    </row>
    <row r="923" spans="1:31">
      <c r="A923" s="88">
        <v>45310</v>
      </c>
      <c r="B923" s="128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38">
        <f t="shared" si="168"/>
        <v>1.7857142857142857E-4</v>
      </c>
      <c r="Y923" s="135">
        <f t="shared" si="153"/>
        <v>2.3722810559260388E-2</v>
      </c>
      <c r="Z923" s="135">
        <f t="shared" si="154"/>
        <v>0</v>
      </c>
      <c r="AA923" s="135">
        <f t="shared" si="155"/>
        <v>0</v>
      </c>
      <c r="AB923" s="140">
        <f t="shared" si="164"/>
        <v>5.4677097869812741</v>
      </c>
      <c r="AC923" s="140">
        <f t="shared" si="165"/>
        <v>-6.467674944916299E-2</v>
      </c>
      <c r="AD923" s="140">
        <f t="shared" si="166"/>
        <v>-4.5716398044424816E-2</v>
      </c>
      <c r="AE923" s="140">
        <f t="shared" si="167"/>
        <v>-3.5745732539613599E-2</v>
      </c>
    </row>
    <row r="924" spans="1:31">
      <c r="A924" s="88">
        <v>45313</v>
      </c>
      <c r="B924" s="128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38">
        <f t="shared" si="168"/>
        <v>1.7857142857142857E-4</v>
      </c>
      <c r="Y924" s="135">
        <f t="shared" si="153"/>
        <v>1.2350124522645674E-2</v>
      </c>
      <c r="Z924" s="135">
        <f t="shared" si="154"/>
        <v>0</v>
      </c>
      <c r="AA924" s="135">
        <f t="shared" si="155"/>
        <v>0</v>
      </c>
      <c r="AB924" s="140">
        <f t="shared" si="164"/>
        <v>5.0533181245168821</v>
      </c>
      <c r="AC924" s="140">
        <f t="shared" si="165"/>
        <v>-6.4727940736665185E-2</v>
      </c>
      <c r="AD924" s="140">
        <f t="shared" si="166"/>
        <v>-4.5548744312893796E-2</v>
      </c>
      <c r="AE924" s="140">
        <f t="shared" si="167"/>
        <v>-3.5181953101091366E-2</v>
      </c>
    </row>
    <row r="925" spans="1:31">
      <c r="A925" s="88">
        <v>45314</v>
      </c>
      <c r="B925" s="128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38">
        <f t="shared" si="168"/>
        <v>1.7857142857142857E-4</v>
      </c>
      <c r="Y925" s="135">
        <f t="shared" si="153"/>
        <v>2.527954100243058E-3</v>
      </c>
      <c r="Z925" s="135">
        <f t="shared" si="154"/>
        <v>0</v>
      </c>
      <c r="AA925" s="135">
        <f t="shared" si="155"/>
        <v>0</v>
      </c>
      <c r="AB925" s="140">
        <f t="shared" si="164"/>
        <v>5.7726992168028266</v>
      </c>
      <c r="AC925" s="140">
        <f t="shared" si="165"/>
        <v>-6.523302373857387E-2</v>
      </c>
      <c r="AD925" s="140">
        <f t="shared" si="166"/>
        <v>-4.5444798463007537E-2</v>
      </c>
      <c r="AE925" s="140">
        <f t="shared" si="167"/>
        <v>-3.511492470443256E-2</v>
      </c>
    </row>
    <row r="926" spans="1:31">
      <c r="A926" s="88">
        <v>45315</v>
      </c>
      <c r="B926" s="128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38">
        <f t="shared" si="168"/>
        <v>1.7857142857142857E-4</v>
      </c>
      <c r="Y926" s="135">
        <f t="shared" si="153"/>
        <v>-6.2938722010968283E-3</v>
      </c>
      <c r="Z926" s="135">
        <f t="shared" si="154"/>
        <v>-6.2938722010968283E-3</v>
      </c>
      <c r="AA926" s="135">
        <f t="shared" si="155"/>
        <v>3.9612827283739431E-5</v>
      </c>
      <c r="AB926" s="140">
        <f t="shared" si="164"/>
        <v>6.0881952375052268</v>
      </c>
      <c r="AC926" s="140">
        <f t="shared" si="165"/>
        <v>-5.6297707488872778E-2</v>
      </c>
      <c r="AD926" s="140">
        <f t="shared" si="166"/>
        <v>-4.4993545690817142E-2</v>
      </c>
      <c r="AE926" s="140">
        <f t="shared" si="167"/>
        <v>-3.503011666912359E-2</v>
      </c>
    </row>
    <row r="927" spans="1:31">
      <c r="A927" s="88">
        <v>45316</v>
      </c>
      <c r="B927" s="128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38">
        <f t="shared" si="168"/>
        <v>1.7857142857142857E-4</v>
      </c>
      <c r="Y927" s="135">
        <f t="shared" si="153"/>
        <v>-9.1391668603997035E-3</v>
      </c>
      <c r="Z927" s="135">
        <f t="shared" si="154"/>
        <v>-9.1391668603997035E-3</v>
      </c>
      <c r="AA927" s="135">
        <f t="shared" si="155"/>
        <v>8.3524370902228169E-5</v>
      </c>
      <c r="AB927" s="140">
        <f t="shared" si="164"/>
        <v>5.5689490716958758</v>
      </c>
      <c r="AC927" s="140">
        <f t="shared" si="165"/>
        <v>-5.5812594424229985E-2</v>
      </c>
      <c r="AD927" s="140">
        <f t="shared" si="166"/>
        <v>-4.4146825361653506E-2</v>
      </c>
      <c r="AE927" s="140">
        <f t="shared" si="167"/>
        <v>-3.5010377141031952E-2</v>
      </c>
    </row>
    <row r="928" spans="1:31">
      <c r="A928" s="88">
        <v>45317</v>
      </c>
      <c r="B928" s="128">
        <v>47691210.270000003</v>
      </c>
      <c r="C928" s="129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38">
        <f t="shared" si="168"/>
        <v>1.7857142857142857E-4</v>
      </c>
      <c r="Y928" s="135">
        <f t="shared" si="153"/>
        <v>-5.3335927590096579E-3</v>
      </c>
      <c r="Z928" s="135">
        <f t="shared" si="154"/>
        <v>-5.3335927590096579E-3</v>
      </c>
      <c r="AA928" s="135">
        <f t="shared" si="155"/>
        <v>2.8447211718960256E-5</v>
      </c>
      <c r="AB928" s="140">
        <f t="shared" si="164"/>
        <v>5.7911102367895273</v>
      </c>
      <c r="AC928" s="140">
        <f t="shared" si="165"/>
        <v>-5.5527573332180918E-2</v>
      </c>
      <c r="AD928" s="140">
        <f t="shared" si="166"/>
        <v>-4.4281601785617047E-2</v>
      </c>
      <c r="AE928" s="140">
        <f t="shared" si="167"/>
        <v>-3.5008680549556644E-2</v>
      </c>
    </row>
    <row r="929" spans="1:31">
      <c r="A929" s="88">
        <v>45320</v>
      </c>
      <c r="B929" s="128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38">
        <f t="shared" si="168"/>
        <v>1.7857142857142857E-4</v>
      </c>
      <c r="Y929" s="135">
        <f t="shared" si="153"/>
        <v>2.891681516665736E-2</v>
      </c>
      <c r="Z929" s="135">
        <f t="shared" si="154"/>
        <v>0</v>
      </c>
      <c r="AA929" s="135">
        <f t="shared" si="155"/>
        <v>0</v>
      </c>
      <c r="AB929" s="140">
        <f t="shared" si="164"/>
        <v>6.672611237702708</v>
      </c>
      <c r="AC929" s="140">
        <f t="shared" si="165"/>
        <v>-5.5548792907093525E-2</v>
      </c>
      <c r="AD929" s="140">
        <f t="shared" si="166"/>
        <v>-4.4180895652827901E-2</v>
      </c>
      <c r="AE929" s="140">
        <f t="shared" si="167"/>
        <v>-3.4938304993747935E-2</v>
      </c>
    </row>
    <row r="930" spans="1:31">
      <c r="A930" s="88">
        <v>45321</v>
      </c>
      <c r="B930" s="128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38">
        <f t="shared" si="168"/>
        <v>1.7857142857142857E-4</v>
      </c>
      <c r="Y930" s="135">
        <f t="shared" si="153"/>
        <v>-3.7608070167969567E-3</v>
      </c>
      <c r="Z930" s="135">
        <f t="shared" si="154"/>
        <v>-3.7608070167969567E-3</v>
      </c>
      <c r="AA930" s="135">
        <f t="shared" si="155"/>
        <v>1.4143669417589225E-5</v>
      </c>
      <c r="AB930" s="140">
        <f t="shared" si="164"/>
        <v>6.8040210993697228</v>
      </c>
      <c r="AC930" s="140">
        <f t="shared" si="165"/>
        <v>-5.4526650831508511E-2</v>
      </c>
      <c r="AD930" s="140">
        <f t="shared" si="166"/>
        <v>-4.3711697751237608E-2</v>
      </c>
      <c r="AE930" s="140">
        <f t="shared" si="167"/>
        <v>-3.4951110931935904E-2</v>
      </c>
    </row>
    <row r="931" spans="1:31" s="47" customFormat="1">
      <c r="A931" s="90">
        <v>45322</v>
      </c>
      <c r="B931" s="130">
        <v>47476839.770000003</v>
      </c>
      <c r="C931" s="131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2">
        <f t="shared" si="156"/>
        <v>-4.0974236783851428</v>
      </c>
      <c r="X931" s="139">
        <f t="shared" si="168"/>
        <v>1.7857142857142857E-4</v>
      </c>
      <c r="Y931" s="136">
        <f t="shared" si="153"/>
        <v>-2.9341466852789544E-2</v>
      </c>
      <c r="Z931" s="136">
        <f t="shared" si="154"/>
        <v>-2.9341466852789544E-2</v>
      </c>
      <c r="AA931" s="136">
        <f t="shared" si="155"/>
        <v>8.6092167707334754E-4</v>
      </c>
      <c r="AB931" s="141">
        <f t="shared" si="164"/>
        <v>5.8372450714821271</v>
      </c>
      <c r="AC931" s="141">
        <f t="shared" si="165"/>
        <v>-4.676662570212238E-2</v>
      </c>
      <c r="AD931" s="141">
        <f t="shared" si="166"/>
        <v>-4.4458202239178492E-2</v>
      </c>
      <c r="AE931" s="141">
        <f t="shared" si="167"/>
        <v>-3.5066651330024338E-2</v>
      </c>
    </row>
    <row r="932" spans="1:31">
      <c r="A932" s="88">
        <v>45323</v>
      </c>
      <c r="B932" s="128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38">
        <f t="shared" si="168"/>
        <v>1.7857142857142857E-4</v>
      </c>
      <c r="Y932" s="135">
        <f t="shared" si="153"/>
        <v>1.6035628247086417E-2</v>
      </c>
      <c r="Z932" s="135">
        <f t="shared" si="154"/>
        <v>0</v>
      </c>
      <c r="AA932" s="135">
        <f t="shared" si="155"/>
        <v>0</v>
      </c>
      <c r="AB932" s="140">
        <f t="shared" si="164"/>
        <v>5.9834943377964214</v>
      </c>
      <c r="AC932" s="140">
        <f t="shared" si="165"/>
        <v>-4.3851118213630781E-2</v>
      </c>
      <c r="AD932" s="140">
        <f t="shared" si="166"/>
        <v>-4.4411764794122656E-2</v>
      </c>
      <c r="AE932" s="140">
        <f t="shared" si="167"/>
        <v>-3.5048938334142181E-2</v>
      </c>
    </row>
    <row r="933" spans="1:31">
      <c r="A933" s="88">
        <v>45324</v>
      </c>
      <c r="B933" s="128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38">
        <f t="shared" si="168"/>
        <v>1.7857142857142857E-4</v>
      </c>
      <c r="Y933" s="135">
        <f t="shared" si="153"/>
        <v>-4.5102141191542709E-3</v>
      </c>
      <c r="Z933" s="135">
        <f t="shared" si="154"/>
        <v>-4.5102141191542709E-3</v>
      </c>
      <c r="AA933" s="135">
        <f t="shared" si="155"/>
        <v>2.0342031400618535E-5</v>
      </c>
      <c r="AB933" s="140">
        <f t="shared" si="164"/>
        <v>5.8571653615885229</v>
      </c>
      <c r="AC933" s="140">
        <f t="shared" si="165"/>
        <v>-4.4135669012037172E-2</v>
      </c>
      <c r="AD933" s="140">
        <f t="shared" si="166"/>
        <v>-4.4428944888575107E-2</v>
      </c>
      <c r="AE933" s="140">
        <f t="shared" si="167"/>
        <v>-3.5075146649033627E-2</v>
      </c>
    </row>
    <row r="934" spans="1:31">
      <c r="A934" s="88">
        <v>45327</v>
      </c>
      <c r="B934" s="128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38">
        <f t="shared" si="168"/>
        <v>1.7857142857142857E-4</v>
      </c>
      <c r="Y934" s="135">
        <f t="shared" si="153"/>
        <v>-2.946737167563046E-2</v>
      </c>
      <c r="Z934" s="135">
        <f t="shared" si="154"/>
        <v>-2.946737167563046E-2</v>
      </c>
      <c r="AA934" s="135">
        <f t="shared" si="155"/>
        <v>8.6832599346974829E-4</v>
      </c>
      <c r="AB934" s="140">
        <f t="shared" si="164"/>
        <v>6.0040464796888067</v>
      </c>
      <c r="AC934" s="140">
        <f t="shared" si="165"/>
        <v>-4.5821370655977994E-2</v>
      </c>
      <c r="AD934" s="140">
        <f t="shared" si="166"/>
        <v>-4.5137300674722144E-2</v>
      </c>
      <c r="AE934" s="140">
        <f t="shared" si="167"/>
        <v>-3.5236550683913806E-2</v>
      </c>
    </row>
    <row r="935" spans="1:31">
      <c r="A935" s="88">
        <v>45328</v>
      </c>
      <c r="B935" s="128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38">
        <f t="shared" si="168"/>
        <v>1.7857142857142857E-4</v>
      </c>
      <c r="Y935" s="135">
        <f t="shared" si="153"/>
        <v>1.2307388688547898E-2</v>
      </c>
      <c r="Z935" s="135">
        <f t="shared" si="154"/>
        <v>0</v>
      </c>
      <c r="AA935" s="135">
        <f t="shared" si="155"/>
        <v>0</v>
      </c>
      <c r="AB935" s="140">
        <f t="shared" si="164"/>
        <v>6.5895954072785168</v>
      </c>
      <c r="AC935" s="140">
        <f t="shared" si="165"/>
        <v>-4.4412220377766327E-2</v>
      </c>
      <c r="AD935" s="140">
        <f t="shared" si="166"/>
        <v>-4.4171221370128563E-2</v>
      </c>
      <c r="AE935" s="140">
        <f t="shared" si="167"/>
        <v>-3.5234986407656502E-2</v>
      </c>
    </row>
    <row r="936" spans="1:31">
      <c r="A936" s="88">
        <v>45329</v>
      </c>
      <c r="B936" s="128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38">
        <f t="shared" si="168"/>
        <v>1.7857142857142857E-4</v>
      </c>
      <c r="Y936" s="135">
        <f t="shared" si="153"/>
        <v>5.0755819898099961E-3</v>
      </c>
      <c r="Z936" s="135">
        <f t="shared" si="154"/>
        <v>0</v>
      </c>
      <c r="AA936" s="135">
        <f t="shared" si="155"/>
        <v>0</v>
      </c>
      <c r="AB936" s="140">
        <f t="shared" si="164"/>
        <v>6.6953605231082598</v>
      </c>
      <c r="AC936" s="140">
        <f t="shared" si="165"/>
        <v>-4.3202493551122712E-2</v>
      </c>
      <c r="AD936" s="140">
        <f t="shared" si="166"/>
        <v>-4.4250322459552023E-2</v>
      </c>
      <c r="AE936" s="140">
        <f t="shared" si="167"/>
        <v>-3.4392667124521048E-2</v>
      </c>
    </row>
    <row r="937" spans="1:31">
      <c r="A937" s="88">
        <v>45330</v>
      </c>
      <c r="B937" s="128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38">
        <f t="shared" si="168"/>
        <v>1.7857142857142857E-4</v>
      </c>
      <c r="Y937" s="135">
        <f t="shared" si="153"/>
        <v>-1.1832716792248359E-2</v>
      </c>
      <c r="Z937" s="135">
        <f t="shared" si="154"/>
        <v>-1.1832716792248359E-2</v>
      </c>
      <c r="AA937" s="135">
        <f t="shared" si="155"/>
        <v>1.4001318668555629E-4</v>
      </c>
      <c r="AB937" s="140">
        <f t="shared" si="164"/>
        <v>7.3039842871822307</v>
      </c>
      <c r="AC937" s="140">
        <f t="shared" si="165"/>
        <v>-4.3014965594802529E-2</v>
      </c>
      <c r="AD937" s="140">
        <f t="shared" si="166"/>
        <v>-4.4289100584044144E-2</v>
      </c>
      <c r="AE937" s="140">
        <f t="shared" si="167"/>
        <v>-3.4461796274452533E-2</v>
      </c>
    </row>
    <row r="938" spans="1:31">
      <c r="A938" s="88">
        <v>45331</v>
      </c>
      <c r="B938" s="128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38">
        <f t="shared" si="168"/>
        <v>1.7857142857142857E-4</v>
      </c>
      <c r="Y938" s="135">
        <f t="shared" si="153"/>
        <v>-2.5618017711488495E-3</v>
      </c>
      <c r="Z938" s="135">
        <f t="shared" si="154"/>
        <v>-2.5618017711488495E-3</v>
      </c>
      <c r="AA938" s="135">
        <f t="shared" si="155"/>
        <v>6.562828314661382E-6</v>
      </c>
      <c r="AB938" s="140">
        <f t="shared" si="164"/>
        <v>7.270674995554872</v>
      </c>
      <c r="AC938" s="140">
        <f t="shared" si="165"/>
        <v>-3.9340419330024107E-2</v>
      </c>
      <c r="AD938" s="140">
        <f t="shared" si="166"/>
        <v>-4.4383620741443211E-2</v>
      </c>
      <c r="AE938" s="140">
        <f t="shared" si="167"/>
        <v>-3.4350412911469848E-2</v>
      </c>
    </row>
    <row r="939" spans="1:31">
      <c r="A939" s="88">
        <v>45334</v>
      </c>
      <c r="B939" s="128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38">
        <f t="shared" si="168"/>
        <v>1.7857142857142857E-4</v>
      </c>
      <c r="Y939" s="135">
        <f t="shared" si="153"/>
        <v>8.2347028507285293E-3</v>
      </c>
      <c r="Z939" s="135">
        <f t="shared" si="154"/>
        <v>0</v>
      </c>
      <c r="AA939" s="135">
        <f t="shared" si="155"/>
        <v>0</v>
      </c>
      <c r="AB939" s="140">
        <f t="shared" si="164"/>
        <v>7.2037111112886985</v>
      </c>
      <c r="AC939" s="140">
        <f t="shared" si="165"/>
        <v>-3.9257527055421494E-2</v>
      </c>
      <c r="AD939" s="140">
        <f t="shared" si="166"/>
        <v>-4.4361432792836782E-2</v>
      </c>
      <c r="AE939" s="140">
        <f t="shared" si="167"/>
        <v>-3.4303966630021415E-2</v>
      </c>
    </row>
    <row r="940" spans="1:31">
      <c r="A940" s="88">
        <v>45335</v>
      </c>
      <c r="B940" s="128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38">
        <f t="shared" si="168"/>
        <v>1.7857142857142857E-4</v>
      </c>
      <c r="Y940" s="135">
        <f t="shared" si="153"/>
        <v>-2.2395162737336063E-2</v>
      </c>
      <c r="Z940" s="135">
        <f t="shared" si="154"/>
        <v>-2.2395162737336063E-2</v>
      </c>
      <c r="AA940" s="135">
        <f t="shared" si="155"/>
        <v>5.0154331403176567E-4</v>
      </c>
      <c r="AB940" s="140">
        <f t="shared" si="164"/>
        <v>7.0830311942313013</v>
      </c>
      <c r="AC940" s="140">
        <f t="shared" si="165"/>
        <v>-3.3287261908268771E-2</v>
      </c>
      <c r="AD940" s="140">
        <f t="shared" si="166"/>
        <v>-4.490055959373504E-2</v>
      </c>
      <c r="AE940" s="140">
        <f t="shared" si="167"/>
        <v>-3.4434512828670237E-2</v>
      </c>
    </row>
    <row r="941" spans="1:31">
      <c r="A941" s="88">
        <v>45336</v>
      </c>
      <c r="B941" s="128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38">
        <f t="shared" si="168"/>
        <v>1.7857142857142857E-4</v>
      </c>
      <c r="Y941" s="135">
        <f t="shared" si="153"/>
        <v>2.0277302256378665E-2</v>
      </c>
      <c r="Z941" s="135">
        <f t="shared" si="154"/>
        <v>0</v>
      </c>
      <c r="AA941" s="135">
        <f t="shared" si="155"/>
        <v>0</v>
      </c>
      <c r="AB941" s="140">
        <f t="shared" si="164"/>
        <v>7.336318305409228</v>
      </c>
      <c r="AC941" s="140">
        <f t="shared" si="165"/>
        <v>-2.5736447536456371E-2</v>
      </c>
      <c r="AD941" s="140">
        <f t="shared" si="166"/>
        <v>-4.4869541197054323E-2</v>
      </c>
      <c r="AE941" s="140">
        <f t="shared" si="167"/>
        <v>-3.4389577672854235E-2</v>
      </c>
    </row>
    <row r="942" spans="1:31">
      <c r="A942" s="88">
        <v>45337</v>
      </c>
      <c r="B942" s="128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38">
        <f t="shared" si="168"/>
        <v>1.7857142857142857E-4</v>
      </c>
      <c r="Y942" s="135">
        <f t="shared" si="153"/>
        <v>1.1215725430866819E-2</v>
      </c>
      <c r="Z942" s="135">
        <f t="shared" si="154"/>
        <v>0</v>
      </c>
      <c r="AA942" s="135">
        <f t="shared" si="155"/>
        <v>0</v>
      </c>
      <c r="AB942" s="140">
        <f t="shared" si="164"/>
        <v>7.611073879205045</v>
      </c>
      <c r="AC942" s="140">
        <f t="shared" si="165"/>
        <v>-2.5182240784489145E-2</v>
      </c>
      <c r="AD942" s="140">
        <f t="shared" si="166"/>
        <v>-4.4658789032274666E-2</v>
      </c>
      <c r="AE942" s="140">
        <f t="shared" si="167"/>
        <v>-3.4301710710188761E-2</v>
      </c>
    </row>
    <row r="943" spans="1:31">
      <c r="A943" s="88">
        <v>45338</v>
      </c>
      <c r="B943" s="128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38">
        <f t="shared" si="168"/>
        <v>1.7857142857142857E-4</v>
      </c>
      <c r="Y943" s="135">
        <f t="shared" si="153"/>
        <v>1.0477577831733698E-3</v>
      </c>
      <c r="Z943" s="135">
        <f t="shared" si="154"/>
        <v>0</v>
      </c>
      <c r="AA943" s="135">
        <f t="shared" si="155"/>
        <v>0</v>
      </c>
      <c r="AB943" s="140">
        <f t="shared" si="164"/>
        <v>7.8369708608281732</v>
      </c>
      <c r="AC943" s="140">
        <f t="shared" si="165"/>
        <v>-2.5169099585360837E-2</v>
      </c>
      <c r="AD943" s="140">
        <f t="shared" si="166"/>
        <v>-4.4276919199908289E-2</v>
      </c>
      <c r="AE943" s="140">
        <f t="shared" si="167"/>
        <v>-3.4253266905543429E-2</v>
      </c>
    </row>
    <row r="944" spans="1:31">
      <c r="A944" s="88">
        <v>45342</v>
      </c>
      <c r="B944" s="128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38">
        <f t="shared" si="168"/>
        <v>1.7857142857142857E-4</v>
      </c>
      <c r="Y944" s="135">
        <f t="shared" si="153"/>
        <v>-6.1981436356908009E-3</v>
      </c>
      <c r="Z944" s="135">
        <f t="shared" si="154"/>
        <v>-6.1981436356908009E-3</v>
      </c>
      <c r="AA944" s="135">
        <f t="shared" si="155"/>
        <v>3.8416984528654382E-5</v>
      </c>
      <c r="AB944" s="140">
        <f t="shared" si="164"/>
        <v>7.4851686515949041</v>
      </c>
      <c r="AC944" s="140">
        <f t="shared" si="165"/>
        <v>-2.4767374846209896E-2</v>
      </c>
      <c r="AD944" s="140">
        <f t="shared" si="166"/>
        <v>-4.4502406788055886E-2</v>
      </c>
      <c r="AE944" s="140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38">
        <f t="shared" si="168"/>
        <v>1.7857142857142857E-4</v>
      </c>
      <c r="Y945" s="135">
        <f t="shared" si="153"/>
        <v>-1.0994083812264173E-2</v>
      </c>
      <c r="Z945" s="135">
        <f t="shared" si="154"/>
        <v>-1.0994083812264173E-2</v>
      </c>
      <c r="AA945" s="135">
        <f t="shared" si="155"/>
        <v>1.2086987887108912E-4</v>
      </c>
      <c r="AB945" s="140">
        <f t="shared" si="164"/>
        <v>6.7178388627908161</v>
      </c>
      <c r="AC945" s="140">
        <f t="shared" si="165"/>
        <v>-2.4738845149612537E-2</v>
      </c>
      <c r="AD945" s="140">
        <f t="shared" si="166"/>
        <v>-4.4583305290924746E-2</v>
      </c>
      <c r="AE945" s="140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38">
        <f t="shared" si="168"/>
        <v>1.7857142857142857E-4</v>
      </c>
      <c r="Y946" s="135">
        <f t="shared" si="153"/>
        <v>2.1060330030299966E-2</v>
      </c>
      <c r="Z946" s="135">
        <f t="shared" si="154"/>
        <v>0</v>
      </c>
      <c r="AA946" s="135">
        <f t="shared" si="155"/>
        <v>0</v>
      </c>
      <c r="AB946" s="140">
        <f t="shared" si="164"/>
        <v>7.0654518366840549</v>
      </c>
      <c r="AC946" s="140">
        <f t="shared" si="165"/>
        <v>-2.5076321069589215E-2</v>
      </c>
      <c r="AD946" s="140">
        <f t="shared" si="166"/>
        <v>-4.3941531272326903E-2</v>
      </c>
      <c r="AE946" s="140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38">
        <f t="shared" si="168"/>
        <v>1.7857142857142857E-4</v>
      </c>
      <c r="Y947" s="135">
        <f t="shared" si="153"/>
        <v>-1.0359647165081611E-3</v>
      </c>
      <c r="Z947" s="135">
        <f t="shared" si="154"/>
        <v>-1.0359647165081611E-3</v>
      </c>
      <c r="AA947" s="135">
        <f t="shared" si="155"/>
        <v>1.0732228938498346E-6</v>
      </c>
      <c r="AB947" s="140">
        <f t="shared" si="164"/>
        <v>7.4977608569536605</v>
      </c>
      <c r="AC947" s="140">
        <f t="shared" si="165"/>
        <v>-2.4738268815693108E-2</v>
      </c>
      <c r="AD947" s="140">
        <f t="shared" si="166"/>
        <v>-4.3596760075896149E-2</v>
      </c>
      <c r="AE947" s="140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38">
        <f t="shared" si="168"/>
        <v>1.7857142857142857E-4</v>
      </c>
      <c r="Y948" s="135">
        <f t="shared" si="153"/>
        <v>-1.0693167861930277E-2</v>
      </c>
      <c r="Z948" s="135">
        <f t="shared" si="154"/>
        <v>-1.0693167861930277E-2</v>
      </c>
      <c r="AA948" s="135">
        <f t="shared" si="155"/>
        <v>1.1434383892341854E-4</v>
      </c>
      <c r="AB948" s="140">
        <f t="shared" si="164"/>
        <v>7.2685756135469441</v>
      </c>
      <c r="AC948" s="140">
        <f t="shared" si="165"/>
        <v>-2.5069979832799863E-2</v>
      </c>
      <c r="AD948" s="140">
        <f t="shared" si="166"/>
        <v>-4.3072192353358296E-2</v>
      </c>
      <c r="AE948" s="140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38">
        <f t="shared" si="168"/>
        <v>1.7857142857142857E-4</v>
      </c>
      <c r="Y949" s="135">
        <f t="shared" si="153"/>
        <v>-2.3463052572196543E-3</v>
      </c>
      <c r="Z949" s="135">
        <f t="shared" si="154"/>
        <v>-2.3463052572196543E-3</v>
      </c>
      <c r="AA949" s="135">
        <f t="shared" si="155"/>
        <v>5.5051483600565887E-6</v>
      </c>
      <c r="AB949" s="140">
        <f t="shared" si="164"/>
        <v>7.7873150226622236</v>
      </c>
      <c r="AC949" s="140">
        <f t="shared" si="165"/>
        <v>-2.5128561938322375E-2</v>
      </c>
      <c r="AD949" s="140">
        <f t="shared" si="166"/>
        <v>-4.314396208341556E-2</v>
      </c>
      <c r="AE949" s="140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38">
        <f t="shared" si="168"/>
        <v>1.7857142857142857E-4</v>
      </c>
      <c r="Y950" s="135">
        <f t="shared" si="153"/>
        <v>-7.2779096240366895E-3</v>
      </c>
      <c r="Z950" s="135">
        <f t="shared" si="154"/>
        <v>-7.2779096240366895E-3</v>
      </c>
      <c r="AA950" s="135">
        <f t="shared" si="155"/>
        <v>5.2967968495645867E-5</v>
      </c>
      <c r="AB950" s="140">
        <f t="shared" si="164"/>
        <v>7.9379375875176557</v>
      </c>
      <c r="AC950" s="140">
        <f t="shared" si="165"/>
        <v>-2.3973462155542899E-2</v>
      </c>
      <c r="AD950" s="140">
        <f t="shared" si="166"/>
        <v>-4.3402079060762447E-2</v>
      </c>
      <c r="AE950" s="140">
        <f t="shared" si="167"/>
        <v>-3.4093982507731921E-2</v>
      </c>
    </row>
    <row r="951" spans="1:31" s="47" customFormat="1">
      <c r="A951" s="90">
        <v>45351</v>
      </c>
      <c r="B951" s="133">
        <v>47170258.159999996</v>
      </c>
      <c r="C951" s="131"/>
      <c r="D951" s="62">
        <v>278364.5</v>
      </c>
      <c r="E951" s="134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2">
        <f t="shared" si="156"/>
        <v>-2.7172387638634068</v>
      </c>
      <c r="X951" s="139">
        <f t="shared" si="168"/>
        <v>1.7857142857142857E-4</v>
      </c>
      <c r="Y951" s="136">
        <f t="shared" si="153"/>
        <v>5.7055892542576302E-3</v>
      </c>
      <c r="Z951" s="136">
        <f t="shared" si="154"/>
        <v>0</v>
      </c>
      <c r="AA951" s="136">
        <f t="shared" si="155"/>
        <v>0</v>
      </c>
      <c r="AB951" s="141">
        <f t="shared" si="164"/>
        <v>8.0329323976571825</v>
      </c>
      <c r="AC951" s="141">
        <f t="shared" si="165"/>
        <v>-2.3112361046083028E-2</v>
      </c>
      <c r="AD951" s="141">
        <f t="shared" si="166"/>
        <v>-4.2053174769526844E-2</v>
      </c>
      <c r="AE951" s="141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38">
        <f t="shared" si="168"/>
        <v>1.7857142857142857E-4</v>
      </c>
      <c r="Y952" s="135">
        <f t="shared" si="153"/>
        <v>3.6637110904764396E-2</v>
      </c>
      <c r="Z952" s="135">
        <f t="shared" si="154"/>
        <v>0</v>
      </c>
      <c r="AA952" s="135">
        <f t="shared" si="155"/>
        <v>0</v>
      </c>
      <c r="AB952" s="140">
        <f t="shared" si="164"/>
        <v>8.266380113851346</v>
      </c>
      <c r="AC952" s="140">
        <f t="shared" si="165"/>
        <v>-2.4439121844878186E-2</v>
      </c>
      <c r="AD952" s="140">
        <f t="shared" si="166"/>
        <v>-4.0906499055082139E-2</v>
      </c>
      <c r="AE952" s="140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38">
        <f t="shared" si="168"/>
        <v>1.7857142857142857E-4</v>
      </c>
      <c r="Y953" s="135">
        <f t="shared" si="153"/>
        <v>9.4851118899544756E-3</v>
      </c>
      <c r="Z953" s="135">
        <f t="shared" si="154"/>
        <v>0</v>
      </c>
      <c r="AA953" s="135">
        <f t="shared" si="155"/>
        <v>0</v>
      </c>
      <c r="AB953" s="140">
        <f t="shared" si="164"/>
        <v>8.4240219704263293</v>
      </c>
      <c r="AC953" s="140">
        <f t="shared" si="165"/>
        <v>-2.4112870216956409E-2</v>
      </c>
      <c r="AD953" s="140">
        <f t="shared" si="166"/>
        <v>-4.0903244717206903E-2</v>
      </c>
      <c r="AE953" s="140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38">
        <f t="shared" si="168"/>
        <v>1.7857142857142857E-4</v>
      </c>
      <c r="Y954" s="135">
        <f t="shared" si="153"/>
        <v>-1.8314886561022245E-2</v>
      </c>
      <c r="Z954" s="135">
        <f t="shared" si="154"/>
        <v>-1.8314886561022245E-2</v>
      </c>
      <c r="AA954" s="135">
        <f t="shared" si="155"/>
        <v>3.3543506974311322E-4</v>
      </c>
      <c r="AB954" s="140">
        <f t="shared" si="164"/>
        <v>7.3654891490387815</v>
      </c>
      <c r="AC954" s="140">
        <f t="shared" si="165"/>
        <v>-2.5517281162816562E-2</v>
      </c>
      <c r="AD954" s="140">
        <f t="shared" si="166"/>
        <v>-4.1432719944686419E-2</v>
      </c>
      <c r="AE954" s="140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38">
        <f t="shared" si="168"/>
        <v>1.7857142857142857E-4</v>
      </c>
      <c r="Y955" s="135">
        <f t="shared" si="153"/>
        <v>2.6794954786550716E-2</v>
      </c>
      <c r="Z955" s="135">
        <f t="shared" si="154"/>
        <v>0</v>
      </c>
      <c r="AA955" s="135">
        <f t="shared" si="155"/>
        <v>0</v>
      </c>
      <c r="AB955" s="140">
        <f t="shared" si="164"/>
        <v>8.0634070548989811</v>
      </c>
      <c r="AC955" s="140">
        <f t="shared" si="165"/>
        <v>-2.5948111716303526E-2</v>
      </c>
      <c r="AD955" s="140">
        <f t="shared" si="166"/>
        <v>-4.1405411821555174E-2</v>
      </c>
      <c r="AE955" s="140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38">
        <f t="shared" si="168"/>
        <v>1.7857142857142857E-4</v>
      </c>
      <c r="Y956" s="135">
        <f t="shared" si="153"/>
        <v>2.6842686006073181E-2</v>
      </c>
      <c r="Z956" s="135">
        <f t="shared" si="154"/>
        <v>0</v>
      </c>
      <c r="AA956" s="135">
        <f t="shared" si="155"/>
        <v>0</v>
      </c>
      <c r="AB956" s="140">
        <f t="shared" si="164"/>
        <v>8.5274496647758475</v>
      </c>
      <c r="AC956" s="140">
        <f t="shared" si="165"/>
        <v>-2.5862389639895299E-2</v>
      </c>
      <c r="AD956" s="140">
        <f t="shared" si="166"/>
        <v>-4.1354250152934431E-2</v>
      </c>
      <c r="AE956" s="140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38">
        <f t="shared" si="168"/>
        <v>1.7857142857142857E-4</v>
      </c>
      <c r="Y957" s="135">
        <f t="shared" si="153"/>
        <v>-1.7794067168912239E-2</v>
      </c>
      <c r="Z957" s="135">
        <f t="shared" si="154"/>
        <v>-1.7794067168912239E-2</v>
      </c>
      <c r="AA957" s="135">
        <f t="shared" si="155"/>
        <v>3.1662882641176043E-4</v>
      </c>
      <c r="AB957" s="140">
        <f t="shared" si="164"/>
        <v>8.1143612035754185</v>
      </c>
      <c r="AC957" s="140">
        <f t="shared" si="165"/>
        <v>-2.6586260861807685E-2</v>
      </c>
      <c r="AD957" s="140">
        <f t="shared" si="166"/>
        <v>-4.1785076168458134E-2</v>
      </c>
      <c r="AE957" s="140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38">
        <f t="shared" si="168"/>
        <v>1.7857142857142857E-4</v>
      </c>
      <c r="Y958" s="135">
        <f t="shared" si="153"/>
        <v>-2.6688114585070762E-2</v>
      </c>
      <c r="Z958" s="135">
        <f t="shared" si="154"/>
        <v>-2.6688114585070762E-2</v>
      </c>
      <c r="AA958" s="135">
        <f t="shared" si="155"/>
        <v>7.1225546010586667E-4</v>
      </c>
      <c r="AB958" s="140">
        <f t="shared" si="164"/>
        <v>7.7256711389105188</v>
      </c>
      <c r="AC958" s="140">
        <f t="shared" si="165"/>
        <v>-2.8483151606661983E-2</v>
      </c>
      <c r="AD958" s="140">
        <f t="shared" si="166"/>
        <v>-4.2524121371315164E-2</v>
      </c>
      <c r="AE958" s="140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38">
        <f t="shared" si="168"/>
        <v>1.7857142857142857E-4</v>
      </c>
      <c r="Y959" s="135">
        <f t="shared" si="153"/>
        <v>3.1031620600829327E-2</v>
      </c>
      <c r="Z959" s="135">
        <f t="shared" si="154"/>
        <v>0</v>
      </c>
      <c r="AA959" s="135">
        <f t="shared" si="155"/>
        <v>0</v>
      </c>
      <c r="AB959" s="140">
        <f t="shared" si="164"/>
        <v>7.8601378592814291</v>
      </c>
      <c r="AC959" s="140">
        <f t="shared" si="165"/>
        <v>-2.8606967758754029E-2</v>
      </c>
      <c r="AD959" s="140">
        <f t="shared" si="166"/>
        <v>-4.2496748047174557E-2</v>
      </c>
      <c r="AE959" s="140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38">
        <f t="shared" si="168"/>
        <v>1.7857142857142857E-4</v>
      </c>
      <c r="Y960" s="135">
        <f t="shared" si="153"/>
        <v>-2.2914878612881676E-2</v>
      </c>
      <c r="Z960" s="135">
        <f t="shared" si="154"/>
        <v>-2.2914878612881676E-2</v>
      </c>
      <c r="AA960" s="135">
        <f t="shared" si="155"/>
        <v>5.2509166184310202E-4</v>
      </c>
      <c r="AB960" s="140">
        <f t="shared" si="164"/>
        <v>7.1554772202930694</v>
      </c>
      <c r="AC960" s="140">
        <f t="shared" si="165"/>
        <v>-3.00713058321685E-2</v>
      </c>
      <c r="AD960" s="140">
        <f t="shared" si="166"/>
        <v>-4.3115877470068099E-2</v>
      </c>
      <c r="AE960" s="140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38">
        <f t="shared" si="168"/>
        <v>1.7857142857142857E-4</v>
      </c>
      <c r="Y961" s="135">
        <f t="shared" si="153"/>
        <v>-1.7104247549519305E-2</v>
      </c>
      <c r="Z961" s="135">
        <f t="shared" si="154"/>
        <v>-1.7104247549519305E-2</v>
      </c>
      <c r="AA961" s="135">
        <f t="shared" si="155"/>
        <v>2.9255528423523713E-4</v>
      </c>
      <c r="AB961" s="140">
        <f t="shared" si="164"/>
        <v>7.292415174411591</v>
      </c>
      <c r="AC961" s="140">
        <f t="shared" si="165"/>
        <v>-2.8763898320379094E-2</v>
      </c>
      <c r="AD961" s="140">
        <f t="shared" si="166"/>
        <v>-4.3475240664682849E-2</v>
      </c>
      <c r="AE961" s="140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38">
        <f t="shared" si="168"/>
        <v>1.7857142857142857E-4</v>
      </c>
      <c r="Y962" s="135">
        <f t="shared" si="153"/>
        <v>-1.7297224181377576E-2</v>
      </c>
      <c r="Z962" s="135">
        <f t="shared" si="154"/>
        <v>-1.7297224181377576E-2</v>
      </c>
      <c r="AA962" s="135">
        <f t="shared" si="155"/>
        <v>2.9919396438083317E-4</v>
      </c>
      <c r="AB962" s="140">
        <f t="shared" si="164"/>
        <v>7.1241878496511069</v>
      </c>
      <c r="AC962" s="140">
        <f t="shared" si="165"/>
        <v>-2.9951526999944453E-2</v>
      </c>
      <c r="AD962" s="140">
        <f t="shared" si="166"/>
        <v>-4.3437447968744353E-2</v>
      </c>
      <c r="AE962" s="140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38">
        <f t="shared" si="168"/>
        <v>1.7857142857142857E-4</v>
      </c>
      <c r="Y963" s="135">
        <f t="shared" si="153"/>
        <v>1.2632768727241927E-2</v>
      </c>
      <c r="Z963" s="135">
        <f t="shared" si="154"/>
        <v>0</v>
      </c>
      <c r="AA963" s="135">
        <f t="shared" si="155"/>
        <v>0</v>
      </c>
      <c r="AB963" s="140">
        <f t="shared" si="164"/>
        <v>7.0288852729436391</v>
      </c>
      <c r="AC963" s="140">
        <f t="shared" si="165"/>
        <v>-2.9607355214012247E-2</v>
      </c>
      <c r="AD963" s="140">
        <f t="shared" si="166"/>
        <v>-4.3272435064807914E-2</v>
      </c>
      <c r="AE963" s="140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38">
        <f t="shared" si="168"/>
        <v>1.7857142857142857E-4</v>
      </c>
      <c r="Y964" s="135">
        <f t="shared" si="153"/>
        <v>6.8649570460025547E-3</v>
      </c>
      <c r="Z964" s="135">
        <f t="shared" si="154"/>
        <v>0</v>
      </c>
      <c r="AA964" s="135">
        <f t="shared" si="155"/>
        <v>0</v>
      </c>
      <c r="AB964" s="140">
        <f t="shared" si="164"/>
        <v>6.9544075458808505</v>
      </c>
      <c r="AC964" s="140">
        <f t="shared" si="165"/>
        <v>-2.700095854111486E-2</v>
      </c>
      <c r="AD964" s="140">
        <f t="shared" si="166"/>
        <v>-4.3114431462874893E-2</v>
      </c>
      <c r="AE964" s="140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38">
        <f t="shared" si="168"/>
        <v>1.7857142857142857E-4</v>
      </c>
      <c r="Y965" s="135">
        <f t="shared" si="153"/>
        <v>4.2517293917622739E-2</v>
      </c>
      <c r="Z965" s="135">
        <f t="shared" si="154"/>
        <v>0</v>
      </c>
      <c r="AA965" s="135">
        <f t="shared" si="155"/>
        <v>0</v>
      </c>
      <c r="AB965" s="140">
        <f t="shared" si="164"/>
        <v>7.2882016294408665</v>
      </c>
      <c r="AC965" s="140">
        <f t="shared" si="165"/>
        <v>-2.8420243206887151E-2</v>
      </c>
      <c r="AD965" s="140">
        <f t="shared" si="166"/>
        <v>-4.3185230138585252E-2</v>
      </c>
      <c r="AE965" s="140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38">
        <f t="shared" si="168"/>
        <v>1.7857142857142857E-4</v>
      </c>
      <c r="Y966" s="135">
        <f t="shared" si="153"/>
        <v>2.8121605960707209E-2</v>
      </c>
      <c r="Z966" s="135">
        <f t="shared" si="154"/>
        <v>0</v>
      </c>
      <c r="AA966" s="135">
        <f t="shared" si="155"/>
        <v>0</v>
      </c>
      <c r="AB966" s="140">
        <f t="shared" si="164"/>
        <v>7.6913545345888936</v>
      </c>
      <c r="AC966" s="140">
        <f t="shared" si="165"/>
        <v>-2.8602395987518788E-2</v>
      </c>
      <c r="AD966" s="140">
        <f t="shared" si="166"/>
        <v>-4.3058472253806615E-2</v>
      </c>
      <c r="AE966" s="140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38">
        <f t="shared" si="168"/>
        <v>1.7857142857142857E-4</v>
      </c>
      <c r="Y967" s="135">
        <f t="shared" si="153"/>
        <v>-4.8696685412379414E-3</v>
      </c>
      <c r="Z967" s="135">
        <f t="shared" si="154"/>
        <v>-4.8696685412379414E-3</v>
      </c>
      <c r="AA967" s="135">
        <f t="shared" si="155"/>
        <v>2.3713671701522459E-5</v>
      </c>
      <c r="AB967" s="140">
        <f t="shared" si="164"/>
        <v>7.5466994329529786</v>
      </c>
      <c r="AC967" s="140">
        <f t="shared" si="165"/>
        <v>-2.8133710414750619E-2</v>
      </c>
      <c r="AD967" s="140">
        <f t="shared" si="166"/>
        <v>-4.3142964550434218E-2</v>
      </c>
      <c r="AE967" s="140">
        <f t="shared" si="167"/>
        <v>-3.4385851298976408E-2</v>
      </c>
    </row>
    <row r="968" spans="1:31">
      <c r="A968" s="88">
        <v>45376</v>
      </c>
      <c r="B968" s="78">
        <v>54501565.909999996</v>
      </c>
      <c r="C968" s="129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38">
        <f t="shared" si="168"/>
        <v>1.7857142857142857E-4</v>
      </c>
      <c r="Y968" s="135">
        <f t="shared" si="153"/>
        <v>-4.9181048152228931E-3</v>
      </c>
      <c r="Z968" s="135">
        <f t="shared" si="154"/>
        <v>-4.9181048152228931E-3</v>
      </c>
      <c r="AA968" s="135">
        <f t="shared" si="155"/>
        <v>2.4187754973518609E-5</v>
      </c>
      <c r="AB968" s="140">
        <f t="shared" si="164"/>
        <v>7.4947151156196599</v>
      </c>
      <c r="AC968" s="140">
        <f t="shared" si="165"/>
        <v>-2.8261075980346918E-2</v>
      </c>
      <c r="AD968" s="140">
        <f t="shared" si="166"/>
        <v>-4.3234705143577579E-2</v>
      </c>
      <c r="AE968" s="140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38">
        <f t="shared" si="168"/>
        <v>1.7857142857142857E-4</v>
      </c>
      <c r="Y969" s="135">
        <f t="shared" si="153"/>
        <v>-9.5963525772377479E-3</v>
      </c>
      <c r="Z969" s="135">
        <f t="shared" si="154"/>
        <v>-9.5963525772377479E-3</v>
      </c>
      <c r="AA969" s="135">
        <f t="shared" si="155"/>
        <v>9.2089982786657562E-5</v>
      </c>
      <c r="AB969" s="140">
        <f t="shared" si="164"/>
        <v>7.113398151017531</v>
      </c>
      <c r="AC969" s="140">
        <f t="shared" si="165"/>
        <v>-2.9045817557525704E-2</v>
      </c>
      <c r="AD969" s="140">
        <f t="shared" si="166"/>
        <v>-4.3523494741796516E-2</v>
      </c>
      <c r="AE969" s="140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38">
        <f t="shared" si="168"/>
        <v>1.7857142857142857E-4</v>
      </c>
      <c r="Y970" s="135">
        <f t="shared" si="153"/>
        <v>1.1015967953001908E-2</v>
      </c>
      <c r="Z970" s="135">
        <f t="shared" si="154"/>
        <v>0</v>
      </c>
      <c r="AA970" s="135">
        <f t="shared" si="155"/>
        <v>0</v>
      </c>
      <c r="AB970" s="140">
        <f t="shared" si="164"/>
        <v>7.3897042812545966</v>
      </c>
      <c r="AC970" s="140">
        <f t="shared" si="165"/>
        <v>-2.7049185133168237E-2</v>
      </c>
      <c r="AD970" s="140">
        <f t="shared" si="166"/>
        <v>-4.3381620402802849E-2</v>
      </c>
      <c r="AE970" s="140">
        <f t="shared" si="167"/>
        <v>-3.4322401778496756E-2</v>
      </c>
    </row>
    <row r="971" spans="1:31" s="47" customFormat="1">
      <c r="A971" s="90">
        <v>45379</v>
      </c>
      <c r="B971" s="133">
        <v>54958718.710000001</v>
      </c>
      <c r="C971" s="131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2">
        <f t="shared" si="156"/>
        <v>-0.45472110166155622</v>
      </c>
      <c r="X971" s="139">
        <f t="shared" si="168"/>
        <v>1.7857142857142857E-4</v>
      </c>
      <c r="Y971" s="136">
        <f t="shared" ref="Y971:Y1021" si="177">I971-X971</f>
        <v>6.526774977945007E-3</v>
      </c>
      <c r="Z971" s="136">
        <f t="shared" ref="Z971:Z1021" si="178">IF(Y971&lt;0,Y971,0)</f>
        <v>0</v>
      </c>
      <c r="AA971" s="136">
        <f t="shared" ref="AA971:AA1021" si="179">Z971^2</f>
        <v>0</v>
      </c>
      <c r="AB971" s="141">
        <f t="shared" si="164"/>
        <v>7.5959482478492895</v>
      </c>
      <c r="AC971" s="141">
        <f t="shared" si="165"/>
        <v>-2.7096903415193635E-2</v>
      </c>
      <c r="AD971" s="141">
        <f t="shared" si="166"/>
        <v>-4.3411149078748511E-2</v>
      </c>
      <c r="AE971" s="141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38">
        <f t="shared" si="168"/>
        <v>1.7857142857142857E-4</v>
      </c>
      <c r="Y972" s="135">
        <f t="shared" si="177"/>
        <v>-4.9950110438537459E-3</v>
      </c>
      <c r="Z972" s="135">
        <f t="shared" si="178"/>
        <v>-4.9950110438537459E-3</v>
      </c>
      <c r="AA972" s="135">
        <f t="shared" si="179"/>
        <v>2.4950135328220889E-5</v>
      </c>
      <c r="AB972" s="140">
        <f t="shared" si="164"/>
        <v>7.7414979001707831</v>
      </c>
      <c r="AC972" s="140">
        <f t="shared" si="165"/>
        <v>-2.7634032845952797E-2</v>
      </c>
      <c r="AD972" s="140">
        <f t="shared" si="166"/>
        <v>-4.3492549551162087E-2</v>
      </c>
      <c r="AE972" s="140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38">
        <f t="shared" si="168"/>
        <v>1.7857142857142857E-4</v>
      </c>
      <c r="Y973" s="135">
        <f t="shared" si="177"/>
        <v>-1.870976429110234E-2</v>
      </c>
      <c r="Z973" s="135">
        <f t="shared" si="178"/>
        <v>-1.870976429110234E-2</v>
      </c>
      <c r="AA973" s="135">
        <f t="shared" si="179"/>
        <v>3.5005527982860825E-4</v>
      </c>
      <c r="AB973" s="140">
        <f t="shared" si="164"/>
        <v>7.5490081865818865</v>
      </c>
      <c r="AC973" s="140">
        <f t="shared" si="165"/>
        <v>-2.8964783986933432E-2</v>
      </c>
      <c r="AD973" s="140">
        <f t="shared" si="166"/>
        <v>-4.3815556337103906E-2</v>
      </c>
      <c r="AE973" s="140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38">
        <f t="shared" si="168"/>
        <v>1.7857142857142857E-4</v>
      </c>
      <c r="Y974" s="135">
        <f t="shared" si="177"/>
        <v>1.3197624720299637E-2</v>
      </c>
      <c r="Z974" s="135">
        <f t="shared" si="178"/>
        <v>0</v>
      </c>
      <c r="AA974" s="135">
        <f t="shared" si="179"/>
        <v>0</v>
      </c>
      <c r="AB974" s="140">
        <f t="shared" ref="AB974:AB1008" si="188">AVERAGE(Y723:Y974)/AVERAGE(AA723:AA974)</f>
        <v>7.3336763396799576</v>
      </c>
      <c r="AC974" s="140">
        <f t="shared" ref="AC974:AC1008" si="189">AVERAGE(I945:I974)-_xlfn.NORM.S.INV(0.95)*_xlfn.STDEV.S(I945:I974)</f>
        <v>-2.8379568760066424E-2</v>
      </c>
      <c r="AD974" s="140">
        <f t="shared" ref="AD974:AD1008" si="190">AVERAGE(I885:I974)-_xlfn.NORM.S.INV(0.95)*_xlfn.STDEV.S(I885:I974)</f>
        <v>-4.3738827672089566E-2</v>
      </c>
      <c r="AE974" s="140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38">
        <f t="shared" si="168"/>
        <v>1.7857142857142857E-4</v>
      </c>
      <c r="Y975" s="135">
        <f t="shared" si="177"/>
        <v>-5.8477032476157619E-2</v>
      </c>
      <c r="Z975" s="135">
        <f t="shared" si="178"/>
        <v>-5.8477032476157619E-2</v>
      </c>
      <c r="AA975" s="135">
        <f t="shared" si="179"/>
        <v>3.4195633272175929E-3</v>
      </c>
      <c r="AB975" s="140">
        <f t="shared" si="188"/>
        <v>6.2764594495367625</v>
      </c>
      <c r="AC975" s="140">
        <f t="shared" si="189"/>
        <v>-3.4783030808407188E-2</v>
      </c>
      <c r="AD975" s="140">
        <f t="shared" si="190"/>
        <v>-4.5675095286502737E-2</v>
      </c>
      <c r="AE975" s="140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38">
        <f t="shared" ref="X976:X1202" si="192">4.5%/252</f>
        <v>1.7857142857142857E-4</v>
      </c>
      <c r="Y976" s="135">
        <f t="shared" si="177"/>
        <v>3.9425973349622043E-2</v>
      </c>
      <c r="Z976" s="135">
        <f t="shared" si="178"/>
        <v>0</v>
      </c>
      <c r="AA976" s="135">
        <f t="shared" si="179"/>
        <v>0</v>
      </c>
      <c r="AB976" s="140">
        <f t="shared" si="188"/>
        <v>7.21401682836298</v>
      </c>
      <c r="AC976" s="140">
        <f t="shared" si="189"/>
        <v>-3.5509377023382936E-2</v>
      </c>
      <c r="AD976" s="140">
        <f t="shared" si="190"/>
        <v>-4.5548344550441273E-2</v>
      </c>
      <c r="AE976" s="140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38">
        <f t="shared" si="192"/>
        <v>1.7857142857142857E-4</v>
      </c>
      <c r="Y977" s="135">
        <f t="shared" si="177"/>
        <v>2.7157164666828091E-3</v>
      </c>
      <c r="Z977" s="135">
        <f t="shared" si="178"/>
        <v>0</v>
      </c>
      <c r="AA977" s="135">
        <f t="shared" si="179"/>
        <v>0</v>
      </c>
      <c r="AB977" s="140">
        <f t="shared" si="188"/>
        <v>7.197950732963549</v>
      </c>
      <c r="AC977" s="140">
        <f t="shared" si="189"/>
        <v>-3.5374842095046488E-2</v>
      </c>
      <c r="AD977" s="140">
        <f t="shared" si="190"/>
        <v>-4.5462261478081516E-2</v>
      </c>
      <c r="AE977" s="140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38">
        <f t="shared" si="192"/>
        <v>1.7857142857142857E-4</v>
      </c>
      <c r="Y978" s="135">
        <f t="shared" si="177"/>
        <v>3.1490981428901883E-3</v>
      </c>
      <c r="Z978" s="135">
        <f t="shared" si="178"/>
        <v>0</v>
      </c>
      <c r="AA978" s="135">
        <f t="shared" si="179"/>
        <v>0</v>
      </c>
      <c r="AB978" s="140">
        <f t="shared" si="188"/>
        <v>7.4296725518862283</v>
      </c>
      <c r="AC978" s="140">
        <f t="shared" si="189"/>
        <v>-3.470884359711647E-2</v>
      </c>
      <c r="AD978" s="140">
        <f t="shared" si="190"/>
        <v>-4.5404956360575129E-2</v>
      </c>
      <c r="AE978" s="140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38">
        <f t="shared" si="192"/>
        <v>1.7857142857142857E-4</v>
      </c>
      <c r="Y979" s="135">
        <f t="shared" si="177"/>
        <v>-4.8062612655126201E-2</v>
      </c>
      <c r="Z979" s="135">
        <f t="shared" si="178"/>
        <v>-4.8062612655126201E-2</v>
      </c>
      <c r="AA979" s="135">
        <f t="shared" si="179"/>
        <v>2.310014735236697E-3</v>
      </c>
      <c r="AB979" s="140">
        <f t="shared" si="188"/>
        <v>6.3111367042854898</v>
      </c>
      <c r="AC979" s="140">
        <f t="shared" si="189"/>
        <v>-3.918541835247169E-2</v>
      </c>
      <c r="AD979" s="140">
        <f t="shared" si="190"/>
        <v>-4.6170539645990043E-2</v>
      </c>
      <c r="AE979" s="140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38">
        <f t="shared" si="192"/>
        <v>1.7857142857142857E-4</v>
      </c>
      <c r="Y980" s="135">
        <f t="shared" si="177"/>
        <v>5.9865489177499988E-2</v>
      </c>
      <c r="Z980" s="135">
        <f t="shared" si="178"/>
        <v>0</v>
      </c>
      <c r="AA980" s="135">
        <f t="shared" si="179"/>
        <v>0</v>
      </c>
      <c r="AB980" s="140">
        <f t="shared" si="188"/>
        <v>7.3576198989382826</v>
      </c>
      <c r="AC980" s="140">
        <f t="shared" si="189"/>
        <v>-4.0571829499422896E-2</v>
      </c>
      <c r="AD980" s="140">
        <f t="shared" si="190"/>
        <v>-4.6632546159236801E-2</v>
      </c>
      <c r="AE980" s="140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38">
        <f t="shared" si="192"/>
        <v>1.7857142857142857E-4</v>
      </c>
      <c r="Y981" s="135">
        <f t="shared" si="177"/>
        <v>-9.187447981361424E-2</v>
      </c>
      <c r="Z981" s="135">
        <f t="shared" si="178"/>
        <v>-9.187447981361424E-2</v>
      </c>
      <c r="AA981" s="135">
        <f t="shared" si="179"/>
        <v>8.440920041022211E-3</v>
      </c>
      <c r="AB981" s="140">
        <f t="shared" si="188"/>
        <v>4.9540748794860798</v>
      </c>
      <c r="AC981" s="140">
        <f t="shared" si="189"/>
        <v>-5.2263054904553762E-2</v>
      </c>
      <c r="AD981" s="140">
        <f t="shared" si="190"/>
        <v>-5.0012873412469794E-2</v>
      </c>
      <c r="AE981" s="140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38">
        <f t="shared" si="192"/>
        <v>1.7857142857142857E-4</v>
      </c>
      <c r="Y982" s="135">
        <f t="shared" si="177"/>
        <v>-4.9447849874598451E-2</v>
      </c>
      <c r="Z982" s="135">
        <f t="shared" si="178"/>
        <v>-4.9447849874598451E-2</v>
      </c>
      <c r="AA982" s="135">
        <f t="shared" si="179"/>
        <v>2.4450898572208261E-3</v>
      </c>
      <c r="AB982" s="140">
        <f t="shared" si="188"/>
        <v>4.1812718981241312</v>
      </c>
      <c r="AC982" s="140">
        <f t="shared" si="189"/>
        <v>-5.586642686063617E-2</v>
      </c>
      <c r="AD982" s="140">
        <f t="shared" si="190"/>
        <v>-5.1404601468952579E-2</v>
      </c>
      <c r="AE982" s="140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38">
        <f t="shared" si="192"/>
        <v>1.7857142857142857E-4</v>
      </c>
      <c r="Y983" s="135">
        <f t="shared" si="177"/>
        <v>-1.8553362307231609E-2</v>
      </c>
      <c r="Z983" s="135">
        <f t="shared" si="178"/>
        <v>-1.8553362307231609E-2</v>
      </c>
      <c r="AA983" s="135">
        <f t="shared" si="179"/>
        <v>3.442272529034026E-4</v>
      </c>
      <c r="AB983" s="140">
        <f t="shared" si="188"/>
        <v>4.0803470555972208</v>
      </c>
      <c r="AC983" s="140">
        <f t="shared" si="189"/>
        <v>-5.6852213719398345E-2</v>
      </c>
      <c r="AD983" s="140">
        <f t="shared" si="190"/>
        <v>-5.1804808589151777E-2</v>
      </c>
      <c r="AE983" s="140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38">
        <f t="shared" si="192"/>
        <v>1.7857142857142857E-4</v>
      </c>
      <c r="Y984" s="135">
        <f t="shared" si="177"/>
        <v>-6.3487085763295176E-2</v>
      </c>
      <c r="Z984" s="135">
        <f t="shared" si="178"/>
        <v>-6.3487085763295176E-2</v>
      </c>
      <c r="AA984" s="135">
        <f t="shared" si="179"/>
        <v>4.0306100587159969E-3</v>
      </c>
      <c r="AB984" s="140">
        <f t="shared" si="188"/>
        <v>2.5400102694972517</v>
      </c>
      <c r="AC984" s="140">
        <f t="shared" si="189"/>
        <v>-6.1157680911040541E-2</v>
      </c>
      <c r="AD984" s="140">
        <f t="shared" si="190"/>
        <v>-5.3780767167830042E-2</v>
      </c>
      <c r="AE984" s="140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38">
        <f t="shared" si="192"/>
        <v>1.7857142857142857E-4</v>
      </c>
      <c r="Y985" s="135">
        <f t="shared" si="177"/>
        <v>-2.0671502651849888E-2</v>
      </c>
      <c r="Z985" s="135">
        <f t="shared" si="178"/>
        <v>-2.0671502651849888E-2</v>
      </c>
      <c r="AA985" s="135">
        <f t="shared" si="179"/>
        <v>4.2731102188543697E-4</v>
      </c>
      <c r="AB985" s="140">
        <f t="shared" si="188"/>
        <v>1.9113190577196275</v>
      </c>
      <c r="AC985" s="140">
        <f t="shared" si="189"/>
        <v>-6.1995986969980328E-2</v>
      </c>
      <c r="AD985" s="140">
        <f t="shared" si="190"/>
        <v>-5.4165381131790993E-2</v>
      </c>
      <c r="AE985" s="140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38">
        <f t="shared" si="192"/>
        <v>1.7857142857142857E-4</v>
      </c>
      <c r="Y986" s="135">
        <f t="shared" si="177"/>
        <v>-7.852461281517735E-2</v>
      </c>
      <c r="Z986" s="135">
        <f t="shared" si="178"/>
        <v>-7.852461281517735E-2</v>
      </c>
      <c r="AA986" s="135">
        <f t="shared" si="179"/>
        <v>6.166114817773515E-3</v>
      </c>
      <c r="AB986" s="140">
        <f t="shared" si="188"/>
        <v>1.1764162459473919</v>
      </c>
      <c r="AC986" s="140">
        <f t="shared" si="189"/>
        <v>-6.8466406897128157E-2</v>
      </c>
      <c r="AD986" s="140">
        <f t="shared" si="190"/>
        <v>-5.2462395111610084E-2</v>
      </c>
      <c r="AE986" s="140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38">
        <f t="shared" si="192"/>
        <v>1.7857142857142857E-4</v>
      </c>
      <c r="Y987" s="135">
        <f t="shared" si="177"/>
        <v>5.7160723815037409E-2</v>
      </c>
      <c r="Z987" s="135">
        <f t="shared" si="178"/>
        <v>0</v>
      </c>
      <c r="AA987" s="135">
        <f t="shared" si="179"/>
        <v>0</v>
      </c>
      <c r="AB987" s="140">
        <f t="shared" si="188"/>
        <v>1.7207419961966197</v>
      </c>
      <c r="AC987" s="140">
        <f t="shared" si="189"/>
        <v>-6.9360188684141663E-2</v>
      </c>
      <c r="AD987" s="140">
        <f t="shared" si="190"/>
        <v>-5.2510833216810528E-2</v>
      </c>
      <c r="AE987" s="140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38">
        <f t="shared" si="192"/>
        <v>1.7857142857142857E-4</v>
      </c>
      <c r="Y988" s="135">
        <f t="shared" si="177"/>
        <v>6.9062550803804246E-2</v>
      </c>
      <c r="Z988" s="135">
        <f t="shared" si="178"/>
        <v>0</v>
      </c>
      <c r="AA988" s="135">
        <f t="shared" si="179"/>
        <v>0</v>
      </c>
      <c r="AB988" s="140">
        <f t="shared" si="188"/>
        <v>2.6993633917748672</v>
      </c>
      <c r="AC988" s="140">
        <f t="shared" si="189"/>
        <v>-7.0064052126932147E-2</v>
      </c>
      <c r="AD988" s="140">
        <f t="shared" si="190"/>
        <v>-5.3125619444278918E-2</v>
      </c>
      <c r="AE988" s="140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38">
        <f t="shared" si="192"/>
        <v>1.7857142857142857E-4</v>
      </c>
      <c r="Y989" s="135">
        <f t="shared" si="177"/>
        <v>5.2931580363080226E-3</v>
      </c>
      <c r="Z989" s="135">
        <f t="shared" si="178"/>
        <v>0</v>
      </c>
      <c r="AA989" s="135">
        <f t="shared" si="179"/>
        <v>0</v>
      </c>
      <c r="AB989" s="140">
        <f t="shared" si="188"/>
        <v>2.7925676865361249</v>
      </c>
      <c r="AC989" s="140">
        <f t="shared" si="189"/>
        <v>-7.0054269089845245E-2</v>
      </c>
      <c r="AD989" s="140">
        <f t="shared" si="190"/>
        <v>-5.3140092638448051E-2</v>
      </c>
      <c r="AE989" s="140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38">
        <f t="shared" si="192"/>
        <v>1.7857142857142857E-4</v>
      </c>
      <c r="Y990" s="135">
        <f t="shared" si="177"/>
        <v>1.6863880417069189E-2</v>
      </c>
      <c r="Z990" s="135">
        <f t="shared" si="178"/>
        <v>0</v>
      </c>
      <c r="AA990" s="135">
        <f t="shared" si="179"/>
        <v>0</v>
      </c>
      <c r="AB990" s="140">
        <f t="shared" si="188"/>
        <v>2.8067759192453052</v>
      </c>
      <c r="AC990" s="140">
        <f t="shared" si="189"/>
        <v>-6.8845768598961563E-2</v>
      </c>
      <c r="AD990" s="140">
        <f t="shared" si="190"/>
        <v>-5.2660394263796401E-2</v>
      </c>
      <c r="AE990" s="140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38">
        <f t="shared" si="192"/>
        <v>1.7857142857142857E-4</v>
      </c>
      <c r="Y991" s="135">
        <f t="shared" si="177"/>
        <v>7.0544547884922745E-2</v>
      </c>
      <c r="Z991" s="135">
        <f t="shared" si="178"/>
        <v>0</v>
      </c>
      <c r="AA991" s="135">
        <f t="shared" si="179"/>
        <v>0</v>
      </c>
      <c r="AB991" s="140">
        <f t="shared" si="188"/>
        <v>3.8357824444714765</v>
      </c>
      <c r="AC991" s="140">
        <f t="shared" si="189"/>
        <v>-6.9574993976112873E-2</v>
      </c>
      <c r="AD991" s="140">
        <f t="shared" si="190"/>
        <v>-5.0391336694776148E-2</v>
      </c>
      <c r="AE991" s="140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38">
        <f t="shared" si="192"/>
        <v>1.7857142857142857E-4</v>
      </c>
      <c r="Y992" s="135">
        <f t="shared" si="177"/>
        <v>1.6479685275708651E-2</v>
      </c>
      <c r="Z992" s="135">
        <f t="shared" si="178"/>
        <v>0</v>
      </c>
      <c r="AA992" s="135">
        <f t="shared" si="179"/>
        <v>0</v>
      </c>
      <c r="AB992" s="140">
        <f t="shared" si="188"/>
        <v>4.1052467007637166</v>
      </c>
      <c r="AC992" s="140">
        <f t="shared" si="189"/>
        <v>-6.8472749063940463E-2</v>
      </c>
      <c r="AD992" s="140">
        <f t="shared" si="190"/>
        <v>-4.9669257384517836E-2</v>
      </c>
      <c r="AE992" s="140">
        <f t="shared" si="191"/>
        <v>-3.852541636722584E-2</v>
      </c>
    </row>
    <row r="993" spans="1:31" s="47" customFormat="1">
      <c r="A993" s="90">
        <v>45412</v>
      </c>
      <c r="B993" s="133">
        <v>45196322.469999999</v>
      </c>
      <c r="C993" s="131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2">
        <f t="shared" si="181"/>
        <v>-1.2682050447873532</v>
      </c>
      <c r="X993" s="139">
        <f t="shared" si="192"/>
        <v>1.7857142857142857E-4</v>
      </c>
      <c r="Y993" s="136">
        <f t="shared" si="177"/>
        <v>-7.38495649453247E-2</v>
      </c>
      <c r="Z993" s="136">
        <f t="shared" si="178"/>
        <v>-7.38495649453247E-2</v>
      </c>
      <c r="AA993" s="136">
        <f t="shared" si="179"/>
        <v>5.4537582426137307E-3</v>
      </c>
      <c r="AB993" s="141">
        <f t="shared" si="188"/>
        <v>2.6642952986338071</v>
      </c>
      <c r="AC993" s="141">
        <f t="shared" si="189"/>
        <v>-7.4678206962796354E-2</v>
      </c>
      <c r="AD993" s="141">
        <f t="shared" si="190"/>
        <v>-5.2160682576613257E-2</v>
      </c>
      <c r="AE993" s="141">
        <f t="shared" si="191"/>
        <v>-3.9265080746546631E-2</v>
      </c>
    </row>
    <row r="994" spans="1:31">
      <c r="A994" s="168">
        <f>'Historical NAV'!A994</f>
        <v>45413</v>
      </c>
      <c r="B994" s="169">
        <f>'Historical NAV'!B994</f>
        <v>43019740.469999999</v>
      </c>
      <c r="C994" s="169">
        <f>'Historical NAV'!C994</f>
        <v>0</v>
      </c>
      <c r="D994" s="169" t="e">
        <f>'Historical NAV'!#REF!</f>
        <v>#REF!</v>
      </c>
      <c r="E994" s="169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2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38">
        <f t="shared" si="192"/>
        <v>1.7857142857142857E-4</v>
      </c>
      <c r="Y994" s="135">
        <f t="shared" si="177"/>
        <v>-4.8336958683303309E-2</v>
      </c>
      <c r="Z994" s="135">
        <f t="shared" si="178"/>
        <v>-4.8336958683303309E-2</v>
      </c>
      <c r="AA994" s="135">
        <f t="shared" si="179"/>
        <v>2.3364615747513712E-3</v>
      </c>
      <c r="AB994" s="140">
        <f t="shared" si="188"/>
        <v>1.9412700895880914</v>
      </c>
      <c r="AC994" s="140">
        <f t="shared" si="189"/>
        <v>-7.7700450693419951E-2</v>
      </c>
      <c r="AD994" s="140">
        <f t="shared" si="190"/>
        <v>-5.3324531937345376E-2</v>
      </c>
      <c r="AE994" s="140">
        <f t="shared" si="191"/>
        <v>-3.9623117716486689E-2</v>
      </c>
    </row>
    <row r="995" spans="1:31">
      <c r="A995" s="168">
        <f>'Historical NAV'!A995</f>
        <v>45414</v>
      </c>
      <c r="B995" s="169">
        <f>'Historical NAV'!B995</f>
        <v>45778333.640000001</v>
      </c>
      <c r="C995" s="169">
        <f>'Historical NAV'!C995</f>
        <v>0</v>
      </c>
      <c r="D995" s="169" t="e">
        <f>'Historical NAV'!#REF!</f>
        <v>#REF!</v>
      </c>
      <c r="E995" s="169" t="e">
        <f>'Historical NAV'!#REF!</f>
        <v>#REF!</v>
      </c>
      <c r="F995" s="147">
        <f t="shared" si="194"/>
        <v>45778333.640000001</v>
      </c>
      <c r="G995" s="67">
        <f t="shared" si="176"/>
        <v>45196322.469999999</v>
      </c>
      <c r="H995" s="172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38">
        <f t="shared" si="192"/>
        <v>1.7857142857142857E-4</v>
      </c>
      <c r="Y995" s="135">
        <f t="shared" si="177"/>
        <v>6.3945320065467645E-2</v>
      </c>
      <c r="Z995" s="135">
        <f t="shared" si="178"/>
        <v>0</v>
      </c>
      <c r="AA995" s="135">
        <f t="shared" si="179"/>
        <v>0</v>
      </c>
      <c r="AB995" s="140">
        <f t="shared" si="188"/>
        <v>2.8214294265679145</v>
      </c>
      <c r="AC995" s="140">
        <f t="shared" si="189"/>
        <v>-7.8560679766911945E-2</v>
      </c>
      <c r="AD995" s="140">
        <f t="shared" si="190"/>
        <v>-5.3769174329535395E-2</v>
      </c>
      <c r="AE995" s="140">
        <f t="shared" si="191"/>
        <v>-3.9722349794236549E-2</v>
      </c>
    </row>
    <row r="996" spans="1:31">
      <c r="A996" s="168">
        <f>'Historical NAV'!A996</f>
        <v>45415</v>
      </c>
      <c r="B996" s="169">
        <f>'Historical NAV'!B996</f>
        <v>49014173.869999997</v>
      </c>
      <c r="C996" s="169">
        <f>'Historical NAV'!C996</f>
        <v>0</v>
      </c>
      <c r="D996" s="169" t="e">
        <f>'Historical NAV'!#REF!</f>
        <v>#REF!</v>
      </c>
      <c r="E996" s="169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2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38">
        <f t="shared" si="192"/>
        <v>1.7857142857142857E-4</v>
      </c>
      <c r="Y996" s="135">
        <f t="shared" si="177"/>
        <v>7.0506400537568417E-2</v>
      </c>
      <c r="Z996" s="135">
        <f t="shared" si="178"/>
        <v>0</v>
      </c>
      <c r="AA996" s="135">
        <f t="shared" si="179"/>
        <v>0</v>
      </c>
      <c r="AB996" s="140">
        <f t="shared" si="188"/>
        <v>3.6650629281077882</v>
      </c>
      <c r="AC996" s="140">
        <f t="shared" si="189"/>
        <v>-7.9913023741876033E-2</v>
      </c>
      <c r="AD996" s="140">
        <f t="shared" si="190"/>
        <v>-5.4474745232662339E-2</v>
      </c>
      <c r="AE996" s="140">
        <f t="shared" si="191"/>
        <v>-3.9921013488802046E-2</v>
      </c>
    </row>
    <row r="997" spans="1:31">
      <c r="A997" s="168">
        <f>'Historical NAV'!A997</f>
        <v>45418</v>
      </c>
      <c r="B997" s="169">
        <f>'Historical NAV'!B997</f>
        <v>51602916.840000004</v>
      </c>
      <c r="C997" s="169">
        <f>'Historical NAV'!C997</f>
        <v>0</v>
      </c>
      <c r="D997" s="169" t="e">
        <f>'Historical NAV'!#REF!</f>
        <v>#REF!</v>
      </c>
      <c r="E997" s="169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2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38">
        <f t="shared" si="192"/>
        <v>1.7857142857142857E-4</v>
      </c>
      <c r="Y997" s="135">
        <f t="shared" si="177"/>
        <v>5.2637639997660378E-2</v>
      </c>
      <c r="Z997" s="135">
        <f t="shared" si="178"/>
        <v>0</v>
      </c>
      <c r="AA997" s="135">
        <f t="shared" si="179"/>
        <v>0</v>
      </c>
      <c r="AB997" s="140">
        <f t="shared" si="188"/>
        <v>4.3877036173450632</v>
      </c>
      <c r="AC997" s="140">
        <f t="shared" si="189"/>
        <v>-7.977558069496514E-2</v>
      </c>
      <c r="AD997" s="140">
        <f t="shared" si="190"/>
        <v>-5.4515978337941036E-2</v>
      </c>
      <c r="AE997" s="140">
        <f t="shared" si="191"/>
        <v>-4.0023712515494352E-2</v>
      </c>
    </row>
    <row r="998" spans="1:31">
      <c r="A998" s="168">
        <f>'Historical NAV'!A998</f>
        <v>45419</v>
      </c>
      <c r="B998" s="169">
        <f>'Historical NAV'!B998</f>
        <v>50913463.380000003</v>
      </c>
      <c r="C998" s="169">
        <f>'Historical NAV'!C998</f>
        <v>0</v>
      </c>
      <c r="D998" s="169" t="e">
        <f>'Historical NAV'!#REF!</f>
        <v>#REF!</v>
      </c>
      <c r="E998" s="169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2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38">
        <f t="shared" si="192"/>
        <v>1.7857142857142857E-4</v>
      </c>
      <c r="Y998" s="135">
        <f t="shared" si="177"/>
        <v>-1.3539317336360327E-2</v>
      </c>
      <c r="Z998" s="135">
        <f t="shared" si="178"/>
        <v>-1.3539317336360327E-2</v>
      </c>
      <c r="AA998" s="135">
        <f t="shared" si="179"/>
        <v>1.8331311393466731E-4</v>
      </c>
      <c r="AB998" s="140">
        <f t="shared" si="188"/>
        <v>4.0189114900697138</v>
      </c>
      <c r="AC998" s="140">
        <f t="shared" si="189"/>
        <v>-8.0144935060494582E-2</v>
      </c>
      <c r="AD998" s="140">
        <f t="shared" si="190"/>
        <v>-5.3591726319038226E-2</v>
      </c>
      <c r="AE998" s="140">
        <f t="shared" si="191"/>
        <v>-4.0094787034206547E-2</v>
      </c>
    </row>
    <row r="999" spans="1:31">
      <c r="A999" s="168">
        <f>'Historical NAV'!A999</f>
        <v>45420</v>
      </c>
      <c r="B999" s="169">
        <f>'Historical NAV'!B999</f>
        <v>50852301.509999998</v>
      </c>
      <c r="C999" s="169">
        <f>'Historical NAV'!C999</f>
        <v>0</v>
      </c>
      <c r="D999" s="169" t="e">
        <f>'Historical NAV'!#REF!</f>
        <v>#REF!</v>
      </c>
      <c r="E999" s="169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2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38">
        <f t="shared" si="192"/>
        <v>1.7857142857142857E-4</v>
      </c>
      <c r="Y999" s="135">
        <f t="shared" si="177"/>
        <v>-1.3798621273305033E-3</v>
      </c>
      <c r="Z999" s="135">
        <f t="shared" si="178"/>
        <v>-1.3798621273305033E-3</v>
      </c>
      <c r="AA999" s="135">
        <f t="shared" si="179"/>
        <v>1.904019490441062E-6</v>
      </c>
      <c r="AB999" s="140">
        <f t="shared" si="188"/>
        <v>3.738321114021582</v>
      </c>
      <c r="AC999" s="140">
        <f t="shared" si="189"/>
        <v>-7.9829311317651655E-2</v>
      </c>
      <c r="AD999" s="140">
        <f t="shared" si="190"/>
        <v>-5.3601502945814852E-2</v>
      </c>
      <c r="AE999" s="140">
        <f t="shared" si="191"/>
        <v>-4.0016647718407877E-2</v>
      </c>
    </row>
    <row r="1000" spans="1:31">
      <c r="A1000" s="168">
        <f>'Historical NAV'!A1000</f>
        <v>45421</v>
      </c>
      <c r="B1000" s="169">
        <f>'Historical NAV'!B1000</f>
        <v>51220956.68</v>
      </c>
      <c r="C1000" s="169">
        <f>'Historical NAV'!C1000</f>
        <v>0</v>
      </c>
      <c r="D1000" s="169" t="e">
        <f>'Historical NAV'!#REF!</f>
        <v>#REF!</v>
      </c>
      <c r="E1000" s="169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2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38">
        <f t="shared" si="192"/>
        <v>1.7857142857142857E-4</v>
      </c>
      <c r="Y1000" s="135">
        <f t="shared" si="177"/>
        <v>7.070956302784182E-3</v>
      </c>
      <c r="Z1000" s="135">
        <f t="shared" si="178"/>
        <v>0</v>
      </c>
      <c r="AA1000" s="135">
        <f t="shared" si="179"/>
        <v>0</v>
      </c>
      <c r="AB1000" s="140">
        <f t="shared" si="188"/>
        <v>3.9031488759831916</v>
      </c>
      <c r="AC1000" s="140">
        <f t="shared" si="189"/>
        <v>-7.9913438873892823E-2</v>
      </c>
      <c r="AD1000" s="140">
        <f t="shared" si="190"/>
        <v>-5.1685641056016994E-2</v>
      </c>
      <c r="AE1000" s="140">
        <f t="shared" si="191"/>
        <v>-4.0020795534448636E-2</v>
      </c>
    </row>
    <row r="1001" spans="1:31">
      <c r="A1001" s="168">
        <f>'Historical NAV'!A1001</f>
        <v>45422</v>
      </c>
      <c r="B1001" s="169">
        <f>'Historical NAV'!B1001</f>
        <v>52543620.479999997</v>
      </c>
      <c r="C1001" s="169">
        <f>'Historical NAV'!C1001</f>
        <v>0</v>
      </c>
      <c r="D1001" s="169" t="e">
        <f>'Historical NAV'!#REF!</f>
        <v>#REF!</v>
      </c>
      <c r="E1001" s="169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2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38">
        <f t="shared" si="192"/>
        <v>1.7857142857142857E-4</v>
      </c>
      <c r="Y1001" s="135">
        <f t="shared" si="177"/>
        <v>2.5644136418594792E-2</v>
      </c>
      <c r="Z1001" s="135">
        <f t="shared" si="178"/>
        <v>0</v>
      </c>
      <c r="AA1001" s="135">
        <f t="shared" si="179"/>
        <v>0</v>
      </c>
      <c r="AB1001" s="140">
        <f t="shared" si="188"/>
        <v>4.2830455282630968</v>
      </c>
      <c r="AC1001" s="140">
        <f t="shared" si="189"/>
        <v>-7.9658353646636398E-2</v>
      </c>
      <c r="AD1001" s="140">
        <f t="shared" si="190"/>
        <v>-4.9838639258303209E-2</v>
      </c>
      <c r="AE1001" s="140">
        <f t="shared" si="191"/>
        <v>-4.0027589294085938E-2</v>
      </c>
    </row>
    <row r="1002" spans="1:31">
      <c r="A1002" s="168">
        <f>'Historical NAV'!A1002</f>
        <v>45425</v>
      </c>
      <c r="B1002" s="169">
        <f>'Historical NAV'!B1002</f>
        <v>52296576.380000003</v>
      </c>
      <c r="C1002" s="169">
        <f>'Historical NAV'!C1002</f>
        <v>0</v>
      </c>
      <c r="D1002" s="169" t="e">
        <f>'Historical NAV'!#REF!</f>
        <v>#REF!</v>
      </c>
      <c r="E1002" s="169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2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38">
        <f t="shared" si="192"/>
        <v>1.7857142857142857E-4</v>
      </c>
      <c r="Y1002" s="135">
        <f t="shared" si="177"/>
        <v>-4.8802668531192665E-3</v>
      </c>
      <c r="Z1002" s="135">
        <f t="shared" si="178"/>
        <v>-4.8802668531192665E-3</v>
      </c>
      <c r="AA1002" s="135">
        <f t="shared" si="179"/>
        <v>2.3817004557654627E-5</v>
      </c>
      <c r="AB1002" s="140">
        <f t="shared" si="188"/>
        <v>4.6198851507593277</v>
      </c>
      <c r="AC1002" s="140">
        <f t="shared" si="189"/>
        <v>-7.9653935523654587E-2</v>
      </c>
      <c r="AD1002" s="140">
        <f t="shared" si="190"/>
        <v>-4.9775450992848538E-2</v>
      </c>
      <c r="AE1002" s="140">
        <f t="shared" si="191"/>
        <v>-3.9994983363668905E-2</v>
      </c>
    </row>
    <row r="1003" spans="1:31">
      <c r="A1003" s="168">
        <f>'Historical NAV'!A1003</f>
        <v>45426</v>
      </c>
      <c r="B1003" s="169">
        <f>'Historical NAV'!B1003</f>
        <v>53525324.399999999</v>
      </c>
      <c r="C1003" s="169">
        <f>'Historical NAV'!C1003</f>
        <v>0</v>
      </c>
      <c r="D1003" s="169" t="e">
        <f>'Historical NAV'!#REF!</f>
        <v>#REF!</v>
      </c>
      <c r="E1003" s="169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2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38">
        <f t="shared" si="192"/>
        <v>1.7857142857142857E-4</v>
      </c>
      <c r="Y1003" s="135">
        <f t="shared" si="177"/>
        <v>2.3317192635821726E-2</v>
      </c>
      <c r="Z1003" s="135">
        <f t="shared" si="178"/>
        <v>0</v>
      </c>
      <c r="AA1003" s="135">
        <f t="shared" si="179"/>
        <v>0</v>
      </c>
      <c r="AB1003" s="140">
        <f t="shared" si="188"/>
        <v>5.0949947751662661</v>
      </c>
      <c r="AC1003" s="140">
        <f t="shared" si="189"/>
        <v>-7.8359000298952555E-2</v>
      </c>
      <c r="AD1003" s="140">
        <f t="shared" si="190"/>
        <v>-4.9674407322804981E-2</v>
      </c>
      <c r="AE1003" s="140">
        <f t="shared" si="191"/>
        <v>-3.9717088497755355E-2</v>
      </c>
    </row>
    <row r="1004" spans="1:31">
      <c r="A1004" s="168">
        <f>'Historical NAV'!A1004</f>
        <v>45427</v>
      </c>
      <c r="B1004" s="169">
        <f>'Historical NAV'!B1004</f>
        <v>56275447.950000003</v>
      </c>
      <c r="C1004" s="169">
        <f>'Historical NAV'!C1004</f>
        <v>0</v>
      </c>
      <c r="D1004" s="169" t="e">
        <f>'Historical NAV'!#REF!</f>
        <v>#REF!</v>
      </c>
      <c r="E1004" s="169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2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38">
        <f t="shared" si="192"/>
        <v>1.7857142857142857E-4</v>
      </c>
      <c r="Y1004" s="135">
        <f t="shared" si="177"/>
        <v>5.1201286252403305E-2</v>
      </c>
      <c r="Z1004" s="135">
        <f t="shared" si="178"/>
        <v>0</v>
      </c>
      <c r="AA1004" s="135">
        <f t="shared" si="179"/>
        <v>0</v>
      </c>
      <c r="AB1004" s="140">
        <f t="shared" si="188"/>
        <v>5.3103779657422923</v>
      </c>
      <c r="AC1004" s="140">
        <f t="shared" si="189"/>
        <v>-7.845177426916991E-2</v>
      </c>
      <c r="AD1004" s="140">
        <f t="shared" si="190"/>
        <v>-4.9945732754975346E-2</v>
      </c>
      <c r="AE1004" s="140">
        <f t="shared" si="191"/>
        <v>-3.9704332393367507E-2</v>
      </c>
    </row>
    <row r="1005" spans="1:31">
      <c r="A1005" s="168">
        <f>'Historical NAV'!A1005</f>
        <v>45428</v>
      </c>
      <c r="B1005" s="169">
        <f>'Historical NAV'!B1005</f>
        <v>55642300.700000003</v>
      </c>
      <c r="C1005" s="169">
        <f>'Historical NAV'!C1005</f>
        <v>0</v>
      </c>
      <c r="D1005" s="169" t="e">
        <f>'Historical NAV'!#REF!</f>
        <v>#REF!</v>
      </c>
      <c r="E1005" s="169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2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38">
        <f t="shared" si="192"/>
        <v>1.7857142857142857E-4</v>
      </c>
      <c r="Y1005" s="135">
        <f t="shared" si="177"/>
        <v>-1.1429432560099748E-2</v>
      </c>
      <c r="Z1005" s="135">
        <f t="shared" si="178"/>
        <v>-1.1429432560099748E-2</v>
      </c>
      <c r="AA1005" s="135">
        <f t="shared" si="179"/>
        <v>1.3063192864586827E-4</v>
      </c>
      <c r="AB1005" s="140">
        <f t="shared" si="188"/>
        <v>4.6631332883754526</v>
      </c>
      <c r="AC1005" s="140">
        <f t="shared" si="189"/>
        <v>-7.4798631978956406E-2</v>
      </c>
      <c r="AD1005" s="140">
        <f t="shared" si="190"/>
        <v>-4.9946517416222247E-2</v>
      </c>
      <c r="AE1005" s="140">
        <f t="shared" si="191"/>
        <v>-3.9602385777075276E-2</v>
      </c>
    </row>
    <row r="1006" spans="1:31">
      <c r="A1006" s="168">
        <f>'Historical NAV'!A1006</f>
        <v>45429</v>
      </c>
      <c r="B1006" s="169">
        <f>'Historical NAV'!B1006</f>
        <v>55873372.060000002</v>
      </c>
      <c r="C1006" s="169">
        <f>'Historical NAV'!C1006</f>
        <v>0</v>
      </c>
      <c r="D1006" s="169" t="e">
        <f>'Historical NAV'!#REF!</f>
        <v>#REF!</v>
      </c>
      <c r="E1006" s="169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2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38">
        <f t="shared" si="192"/>
        <v>1.7857142857142857E-4</v>
      </c>
      <c r="Y1006" s="135">
        <f t="shared" si="177"/>
        <v>3.9742288168001542E-3</v>
      </c>
      <c r="Z1006" s="135">
        <f t="shared" si="178"/>
        <v>0</v>
      </c>
      <c r="AA1006" s="135">
        <f t="shared" si="179"/>
        <v>0</v>
      </c>
      <c r="AB1006" s="140">
        <f t="shared" si="188"/>
        <v>4.6920728527897309</v>
      </c>
      <c r="AC1006" s="140">
        <f t="shared" si="189"/>
        <v>-7.5194635220387884E-2</v>
      </c>
      <c r="AD1006" s="140">
        <f t="shared" si="190"/>
        <v>-4.996039692632142E-2</v>
      </c>
      <c r="AE1006" s="140">
        <f t="shared" si="191"/>
        <v>-3.9477710908843014E-2</v>
      </c>
    </row>
    <row r="1007" spans="1:31">
      <c r="A1007" s="168">
        <f>'Historical NAV'!A1007</f>
        <v>45432</v>
      </c>
      <c r="B1007" s="169">
        <f>'Historical NAV'!B1007</f>
        <v>56786088.689999998</v>
      </c>
      <c r="C1007" s="169">
        <f>'Historical NAV'!C1007</f>
        <v>0</v>
      </c>
      <c r="D1007" s="169" t="e">
        <f>'Historical NAV'!#REF!</f>
        <v>#REF!</v>
      </c>
      <c r="E1007" s="169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2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38">
        <f t="shared" si="192"/>
        <v>1.7857142857142857E-4</v>
      </c>
      <c r="Y1007" s="135">
        <f t="shared" si="177"/>
        <v>1.6156877754983635E-2</v>
      </c>
      <c r="Z1007" s="135">
        <f t="shared" si="178"/>
        <v>0</v>
      </c>
      <c r="AA1007" s="135">
        <f t="shared" si="179"/>
        <v>0</v>
      </c>
      <c r="AB1007" s="140">
        <f t="shared" si="188"/>
        <v>4.6812202840167085</v>
      </c>
      <c r="AC1007" s="140">
        <f t="shared" si="189"/>
        <v>-7.4854379040152672E-2</v>
      </c>
      <c r="AD1007" s="140">
        <f t="shared" si="190"/>
        <v>-4.9730774356453657E-2</v>
      </c>
      <c r="AE1007" s="140">
        <f t="shared" si="191"/>
        <v>-3.9477579405281543E-2</v>
      </c>
    </row>
    <row r="1008" spans="1:31">
      <c r="A1008" s="168">
        <f>'Historical NAV'!A1008</f>
        <v>45433</v>
      </c>
      <c r="B1008" s="169">
        <f>'Historical NAV'!B1008</f>
        <v>56786088.689999998</v>
      </c>
      <c r="C1008" s="169">
        <f>'Historical NAV'!C1008</f>
        <v>0</v>
      </c>
      <c r="D1008" s="169" t="e">
        <f>'Historical NAV'!#REF!</f>
        <v>#REF!</v>
      </c>
      <c r="E1008" s="169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2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38">
        <f t="shared" si="192"/>
        <v>1.7857142857142857E-4</v>
      </c>
      <c r="Y1008" s="135">
        <f t="shared" si="177"/>
        <v>-1.3048746887302378E-4</v>
      </c>
      <c r="Z1008" s="135">
        <f t="shared" si="178"/>
        <v>-1.3048746887302378E-4</v>
      </c>
      <c r="AA1008" s="135">
        <f t="shared" si="179"/>
        <v>1.702697953288835E-8</v>
      </c>
      <c r="AB1008" s="140">
        <f t="shared" si="188"/>
        <v>4.7695737849181361</v>
      </c>
      <c r="AC1008" s="140">
        <f t="shared" si="189"/>
        <v>-7.4969179693130369E-2</v>
      </c>
      <c r="AD1008" s="140">
        <f t="shared" si="190"/>
        <v>-4.9660201342835185E-2</v>
      </c>
      <c r="AE1008" s="140">
        <f t="shared" si="191"/>
        <v>-3.9338915512420407E-2</v>
      </c>
    </row>
    <row r="1009" spans="1:31">
      <c r="A1009" s="168">
        <f>'Historical NAV'!A1009</f>
        <v>45434</v>
      </c>
      <c r="B1009" s="169">
        <f>'Historical NAV'!B1009</f>
        <v>55307218.119999997</v>
      </c>
      <c r="C1009" s="169">
        <f>'Historical NAV'!C1009</f>
        <v>0</v>
      </c>
      <c r="D1009" s="169" t="e">
        <f>'Historical NAV'!#REF!</f>
        <v>#REF!</v>
      </c>
      <c r="E1009" s="169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2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38">
        <f t="shared" si="192"/>
        <v>1.7857142857142857E-4</v>
      </c>
      <c r="Y1009" s="135">
        <f t="shared" si="177"/>
        <v>-2.6711861891298518E-2</v>
      </c>
      <c r="Z1009" s="135">
        <f t="shared" si="178"/>
        <v>-2.6711861891298518E-2</v>
      </c>
      <c r="AA1009" s="135">
        <f t="shared" si="179"/>
        <v>7.1352356569980599E-4</v>
      </c>
      <c r="AB1009" s="140">
        <f>AVERAGE(Y757:Y1009)/AVERAGE(AA757:AA1009)</f>
        <v>4.423332199846338</v>
      </c>
      <c r="AC1009" s="140">
        <f>AVERAGE(I979:I1009)-_xlfn.NORM.S.INV(0.95)*_xlfn.STDEV.S(I979:I1009)</f>
        <v>-7.5107572291990304E-2</v>
      </c>
      <c r="AD1009" s="140">
        <f>AVERAGE(I919:I1009)-_xlfn.NORM.S.INV(0.95)*_xlfn.STDEV.S(I919:I1009)</f>
        <v>-4.9915968826964752E-2</v>
      </c>
      <c r="AE1009" s="140">
        <f>AVERAGE(I644:I1009)-_xlfn.NORM.S.INV(0.95)*_xlfn.STDEV.S(I644:I1009)</f>
        <v>-3.9432312546959218E-2</v>
      </c>
    </row>
    <row r="1010" spans="1:31">
      <c r="A1010" s="168">
        <f>'Historical NAV'!A1010</f>
        <v>45435</v>
      </c>
      <c r="B1010" s="169">
        <f>'Historical NAV'!B1010</f>
        <v>54702574.68</v>
      </c>
      <c r="C1010" s="169">
        <f>'Historical NAV'!C1010</f>
        <v>0</v>
      </c>
      <c r="D1010" s="169" t="e">
        <f>'Historical NAV'!#REF!</f>
        <v>#REF!</v>
      </c>
      <c r="E1010" s="169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2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38">
        <f t="shared" si="192"/>
        <v>1.7857142857142857E-4</v>
      </c>
      <c r="Y1010" s="135">
        <f t="shared" si="177"/>
        <v>-1.0737900569532347E-2</v>
      </c>
      <c r="Z1010" s="135">
        <f t="shared" si="178"/>
        <v>-1.0737900569532347E-2</v>
      </c>
      <c r="AA1010" s="135">
        <f t="shared" si="179"/>
        <v>1.1530250864116308E-4</v>
      </c>
      <c r="AB1010" s="140">
        <f>AVERAGE(Y758:Y1010)/AVERAGE(AA758:AA1010)</f>
        <v>4.0282557845010061</v>
      </c>
      <c r="AC1010" s="140">
        <f>AVERAGE(I980:I1010)-_xlfn.NORM.S.INV(0.95)*_xlfn.STDEV.S(I980:I1010)</f>
        <v>-7.249955374881939E-2</v>
      </c>
      <c r="AD1010" s="140">
        <f>AVERAGE(I920:I1010)-_xlfn.NORM.S.INV(0.95)*_xlfn.STDEV.S(I920:I1010)</f>
        <v>-5.0066148754829516E-2</v>
      </c>
      <c r="AE1010" s="140">
        <f>AVERAGE(I645:I1010)-_xlfn.NORM.S.INV(0.95)*_xlfn.STDEV.S(I645:I1010)</f>
        <v>-3.9439496537196354E-2</v>
      </c>
    </row>
    <row r="1011" spans="1:31">
      <c r="A1011" s="168">
        <f>'Historical NAV'!A1011</f>
        <v>45436</v>
      </c>
      <c r="B1011" s="169">
        <f>'Historical NAV'!B1011</f>
        <v>56086654.789999999</v>
      </c>
      <c r="C1011" s="169">
        <f>'Historical NAV'!C1011</f>
        <v>0</v>
      </c>
      <c r="D1011" s="169" t="e">
        <f>'Historical NAV'!#REF!</f>
        <v>#REF!</v>
      </c>
      <c r="E1011" s="169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2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38">
        <f t="shared" si="192"/>
        <v>1.7857142857142857E-4</v>
      </c>
      <c r="Y1011" s="135">
        <f t="shared" si="177"/>
        <v>2.5828130419049893E-2</v>
      </c>
      <c r="Z1011" s="135">
        <f t="shared" si="178"/>
        <v>0</v>
      </c>
      <c r="AA1011" s="135">
        <f t="shared" si="179"/>
        <v>0</v>
      </c>
      <c r="AB1011" s="140">
        <f>AVERAGE(Y759:Y1011)/AVERAGE(AA759:AA1011)</f>
        <v>4.1915606433958432</v>
      </c>
      <c r="AC1011" s="140">
        <f>AVERAGE(I981:I1011)-_xlfn.NORM.S.INV(0.95)*_xlfn.STDEV.S(I981:I1011)</f>
        <v>-7.1947386966878177E-2</v>
      </c>
      <c r="AD1011" s="140">
        <f>AVERAGE(I921:I1011)-_xlfn.NORM.S.INV(0.95)*_xlfn.STDEV.S(I921:I1011)</f>
        <v>-4.958534450929377E-2</v>
      </c>
      <c r="AE1011" s="140">
        <f>AVERAGE(I646:I1011)-_xlfn.NORM.S.INV(0.95)*_xlfn.STDEV.S(I646:I1011)</f>
        <v>-3.9415867844128705E-2</v>
      </c>
    </row>
    <row r="1012" spans="1:31">
      <c r="A1012" s="168">
        <f>'Historical NAV'!A1012</f>
        <v>45439</v>
      </c>
      <c r="B1012" s="169">
        <f>'Historical NAV'!B1012</f>
        <v>56086654.789999999</v>
      </c>
      <c r="C1012" s="169">
        <f>'Historical NAV'!C1012</f>
        <v>0</v>
      </c>
      <c r="D1012" s="169" t="e">
        <f>'Historical NAV'!#REF!</f>
        <v>#REF!</v>
      </c>
      <c r="E1012" s="169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2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38">
        <f t="shared" si="192"/>
        <v>1.7857142857142857E-4</v>
      </c>
      <c r="Y1012" s="135">
        <f t="shared" si="177"/>
        <v>-2.9088465817849298E-3</v>
      </c>
      <c r="Z1012" s="135">
        <f t="shared" si="178"/>
        <v>-2.9088465817849298E-3</v>
      </c>
      <c r="AA1012" s="135">
        <f t="shared" si="179"/>
        <v>8.4613884363618694E-6</v>
      </c>
      <c r="AB1012" s="140">
        <f>AVERAGE(Y760:Y1012)/AVERAGE(AA760:AA1012)</f>
        <v>4.1453753326297793</v>
      </c>
      <c r="AC1012" s="140">
        <f>AVERAGE(I982:I1012)-_xlfn.NORM.S.INV(0.95)*_xlfn.STDEV.S(I982:I1012)</f>
        <v>-6.3355073629945996E-2</v>
      </c>
      <c r="AD1012" s="140">
        <f>AVERAGE(I922:I1012)-_xlfn.NORM.S.INV(0.95)*_xlfn.STDEV.S(I922:I1012)</f>
        <v>-4.9425621192649656E-2</v>
      </c>
      <c r="AE1012" s="140">
        <f>AVERAGE(I647:I1012)-_xlfn.NORM.S.INV(0.95)*_xlfn.STDEV.S(I647:I1012)</f>
        <v>-3.9259009537285311E-2</v>
      </c>
    </row>
    <row r="1013" spans="1:31">
      <c r="A1013" s="168">
        <f>'Historical NAV'!A1013</f>
        <v>45440</v>
      </c>
      <c r="B1013" s="169">
        <f>'Historical NAV'!B1013</f>
        <v>57578540.920000002</v>
      </c>
      <c r="C1013" s="169">
        <f>'Historical NAV'!C1013</f>
        <v>0</v>
      </c>
      <c r="D1013" s="169" t="e">
        <f>'Historical NAV'!#REF!</f>
        <v>#REF!</v>
      </c>
      <c r="E1013" s="169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2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38">
        <f t="shared" si="192"/>
        <v>1.7857142857142857E-4</v>
      </c>
      <c r="Y1013" s="135">
        <f t="shared" si="177"/>
        <v>2.6386780446642503E-2</v>
      </c>
      <c r="Z1013" s="135">
        <f t="shared" si="178"/>
        <v>0</v>
      </c>
      <c r="AA1013" s="135">
        <f t="shared" si="179"/>
        <v>0</v>
      </c>
      <c r="AB1013" s="140">
        <f t="shared" ref="AB1013:AB1023" si="201">AVERAGE(Y760:Y1013)/AVERAGE(AA760:AA1013)</f>
        <v>4.4483206775521476</v>
      </c>
      <c r="AC1013" s="140">
        <f t="shared" ref="AC1013:AC1023" si="202">AVERAGE(I982:I1013)-_xlfn.NORM.S.INV(0.95)*_xlfn.STDEV.S(I982:I1013)</f>
        <v>-6.1860503958517346E-2</v>
      </c>
      <c r="AD1013" s="140">
        <f t="shared" ref="AD1013:AD1023" si="203">AVERAGE(I922:I1013)-_xlfn.NORM.S.INV(0.95)*_xlfn.STDEV.S(I922:I1013)</f>
        <v>-4.9049596103208415E-2</v>
      </c>
      <c r="AE1013" s="140">
        <f t="shared" ref="AE1013:AE1023" si="204">AVERAGE(I647:I1013)-_xlfn.NORM.S.INV(0.95)*_xlfn.STDEV.S(I647:I1013)</f>
        <v>-3.9190004904353648E-2</v>
      </c>
    </row>
    <row r="1014" spans="1:31">
      <c r="A1014" s="168">
        <f>'Historical NAV'!A1014</f>
        <v>45441</v>
      </c>
      <c r="B1014" s="169">
        <f>'Historical NAV'!B1014</f>
        <v>56010419.289999999</v>
      </c>
      <c r="C1014" s="169">
        <f>'Historical NAV'!C1014</f>
        <v>0</v>
      </c>
      <c r="D1014" s="169" t="e">
        <f>'Historical NAV'!#REF!</f>
        <v>#REF!</v>
      </c>
      <c r="E1014" s="169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2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38">
        <f t="shared" si="192"/>
        <v>1.7857142857142857E-4</v>
      </c>
      <c r="Y1014" s="135">
        <f t="shared" si="177"/>
        <v>-2.727872376080949E-2</v>
      </c>
      <c r="Z1014" s="135">
        <f t="shared" si="178"/>
        <v>-2.727872376080949E-2</v>
      </c>
      <c r="AA1014" s="135">
        <f t="shared" si="179"/>
        <v>7.4412877001855222E-4</v>
      </c>
      <c r="AB1014" s="140">
        <f t="shared" si="201"/>
        <v>4.094651869959633</v>
      </c>
      <c r="AC1014" s="140">
        <f t="shared" si="202"/>
        <v>-5.9888661406250439E-2</v>
      </c>
      <c r="AD1014" s="140">
        <f t="shared" si="203"/>
        <v>-4.964917285239745E-2</v>
      </c>
      <c r="AE1014" s="140">
        <f t="shared" si="204"/>
        <v>-3.9227593182156982E-2</v>
      </c>
    </row>
    <row r="1015" spans="1:31">
      <c r="A1015" s="168">
        <f>'Historical NAV'!A1015</f>
        <v>45442</v>
      </c>
      <c r="B1015" s="169">
        <f>'Historical NAV'!B1015</f>
        <v>54746627.030000001</v>
      </c>
      <c r="C1015" s="169">
        <f>'Historical NAV'!C1015</f>
        <v>0</v>
      </c>
      <c r="D1015" s="169" t="e">
        <f>'Historical NAV'!#REF!</f>
        <v>#REF!</v>
      </c>
      <c r="E1015" s="169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2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38">
        <f t="shared" si="192"/>
        <v>1.7857142857142857E-4</v>
      </c>
      <c r="Y1015" s="135">
        <f t="shared" si="177"/>
        <v>-2.2819992008445786E-2</v>
      </c>
      <c r="Z1015" s="135">
        <f t="shared" si="178"/>
        <v>-2.2819992008445786E-2</v>
      </c>
      <c r="AA1015" s="135">
        <f t="shared" si="179"/>
        <v>5.2075203526552951E-4</v>
      </c>
      <c r="AB1015" s="140">
        <f t="shared" si="201"/>
        <v>4.2763544255403136</v>
      </c>
      <c r="AC1015" s="140">
        <f t="shared" si="202"/>
        <v>-6.0172661925910441E-2</v>
      </c>
      <c r="AD1015" s="140">
        <f t="shared" si="203"/>
        <v>-5.0180173904035723E-2</v>
      </c>
      <c r="AE1015" s="140">
        <f t="shared" si="204"/>
        <v>-3.9360059196359147E-2</v>
      </c>
    </row>
    <row r="1016" spans="1:31" s="47" customFormat="1">
      <c r="A1016" s="170">
        <f>'Historical NAV'!A1016</f>
        <v>45443</v>
      </c>
      <c r="B1016" s="171">
        <f>'Historical NAV'!B1016</f>
        <v>55303668.579999998</v>
      </c>
      <c r="C1016" s="171">
        <f>'Historical NAV'!C1016</f>
        <v>0</v>
      </c>
      <c r="D1016" s="171" t="e">
        <f>'Historical NAV'!#REF!</f>
        <v>#REF!</v>
      </c>
      <c r="E1016" s="171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3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2">
        <f t="shared" si="181"/>
        <v>2.735736253839513E-2</v>
      </c>
      <c r="X1016" s="139">
        <f t="shared" si="192"/>
        <v>1.7857142857142857E-4</v>
      </c>
      <c r="Y1016" s="136">
        <f t="shared" si="177"/>
        <v>1.0097186741730539E-2</v>
      </c>
      <c r="Z1016" s="136">
        <f t="shared" si="178"/>
        <v>0</v>
      </c>
      <c r="AA1016" s="136">
        <f t="shared" si="179"/>
        <v>0</v>
      </c>
      <c r="AB1016" s="141">
        <f t="shared" si="201"/>
        <v>4.0678894694513019</v>
      </c>
      <c r="AC1016" s="141">
        <f t="shared" si="202"/>
        <v>-5.4507079625934679E-2</v>
      </c>
      <c r="AD1016" s="141">
        <f t="shared" si="203"/>
        <v>-5.0191517237594685E-2</v>
      </c>
      <c r="AE1016" s="141">
        <f t="shared" si="204"/>
        <v>-3.9329054454649549E-2</v>
      </c>
    </row>
    <row r="1017" spans="1:31">
      <c r="A1017" s="168">
        <f>'Historical NAV'!A1017</f>
        <v>45446</v>
      </c>
      <c r="B1017" s="169">
        <f>'Historical NAV'!B1017</f>
        <v>56386012.329999998</v>
      </c>
      <c r="C1017" s="169">
        <f>'Historical NAV'!C1017</f>
        <v>0</v>
      </c>
      <c r="D1017" s="169" t="e">
        <f>'Historical NAV'!#REF!</f>
        <v>#REF!</v>
      </c>
      <c r="E1017" s="169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2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38">
        <f t="shared" si="192"/>
        <v>1.7857142857142857E-4</v>
      </c>
      <c r="Y1017" s="135">
        <f t="shared" si="177"/>
        <v>1.9108968392715416E-2</v>
      </c>
      <c r="Z1017" s="135">
        <f t="shared" si="178"/>
        <v>0</v>
      </c>
      <c r="AA1017" s="135">
        <f t="shared" si="179"/>
        <v>0</v>
      </c>
      <c r="AB1017" s="140">
        <f t="shared" si="201"/>
        <v>4.2134435676751512</v>
      </c>
      <c r="AC1017" s="140">
        <f t="shared" si="202"/>
        <v>-5.2721871678412142E-2</v>
      </c>
      <c r="AD1017" s="140">
        <f t="shared" si="203"/>
        <v>-5.0103337384233233E-2</v>
      </c>
      <c r="AE1017" s="140">
        <f t="shared" si="204"/>
        <v>-3.9305773843292487E-2</v>
      </c>
    </row>
    <row r="1018" spans="1:31">
      <c r="A1018" s="168">
        <f>'Historical NAV'!A1018</f>
        <v>45447</v>
      </c>
      <c r="B1018" s="169">
        <f>'Historical NAV'!B1018</f>
        <v>55100256.009999998</v>
      </c>
      <c r="C1018" s="169">
        <f>'Historical NAV'!C1018</f>
        <v>0</v>
      </c>
      <c r="D1018" s="169" t="e">
        <f>'Historical NAV'!#REF!</f>
        <v>#REF!</v>
      </c>
      <c r="E1018" s="169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2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38">
        <f t="shared" si="192"/>
        <v>1.7857142857142857E-4</v>
      </c>
      <c r="Y1018" s="135">
        <f t="shared" si="177"/>
        <v>-2.312550802744831E-2</v>
      </c>
      <c r="Z1018" s="135">
        <f t="shared" si="178"/>
        <v>-2.312550802744831E-2</v>
      </c>
      <c r="AA1018" s="135">
        <f t="shared" si="179"/>
        <v>5.3478912152757623E-4</v>
      </c>
      <c r="AB1018" s="140">
        <f t="shared" si="201"/>
        <v>3.6638128895039879</v>
      </c>
      <c r="AC1018" s="140">
        <f t="shared" si="202"/>
        <v>-4.6054393866699496E-2</v>
      </c>
      <c r="AD1018" s="140">
        <f t="shared" si="203"/>
        <v>-5.0440410763979003E-2</v>
      </c>
      <c r="AE1018" s="140">
        <f t="shared" si="204"/>
        <v>-3.9446486511972717E-2</v>
      </c>
    </row>
    <row r="1019" spans="1:31">
      <c r="A1019" s="168">
        <f>'Historical NAV'!A1019</f>
        <v>45448</v>
      </c>
      <c r="B1019" s="169">
        <f>'Historical NAV'!B1019</f>
        <v>57653609.700000003</v>
      </c>
      <c r="C1019" s="169">
        <f>'Historical NAV'!C1019</f>
        <v>0</v>
      </c>
      <c r="D1019" s="169" t="e">
        <f>'Historical NAV'!#REF!</f>
        <v>#REF!</v>
      </c>
      <c r="E1019" s="169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2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38">
        <f t="shared" si="192"/>
        <v>1.7857142857142857E-4</v>
      </c>
      <c r="Y1019" s="135">
        <f t="shared" si="177"/>
        <v>4.6558562057026784E-2</v>
      </c>
      <c r="Z1019" s="135">
        <f t="shared" si="178"/>
        <v>0</v>
      </c>
      <c r="AA1019" s="135">
        <f t="shared" si="179"/>
        <v>0</v>
      </c>
      <c r="AB1019" s="140">
        <f t="shared" si="201"/>
        <v>4.0976706168848978</v>
      </c>
      <c r="AC1019" s="140">
        <f t="shared" si="202"/>
        <v>-4.5729166894235902E-2</v>
      </c>
      <c r="AD1019" s="140">
        <f t="shared" si="203"/>
        <v>-5.0385994028919905E-2</v>
      </c>
      <c r="AE1019" s="140">
        <f t="shared" si="204"/>
        <v>-3.9474757855899406E-2</v>
      </c>
    </row>
    <row r="1020" spans="1:31">
      <c r="A1020" s="168">
        <f>'Historical NAV'!A1020</f>
        <v>45449</v>
      </c>
      <c r="B1020" s="169">
        <f>'Historical NAV'!B1020</f>
        <v>57942916.079999998</v>
      </c>
      <c r="C1020" s="169">
        <f>'Historical NAV'!C1020</f>
        <v>0</v>
      </c>
      <c r="D1020" s="169" t="e">
        <f>'Historical NAV'!#REF!</f>
        <v>#REF!</v>
      </c>
      <c r="E1020" s="169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2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38">
        <f t="shared" si="192"/>
        <v>1.7857142857142857E-4</v>
      </c>
      <c r="Y1020" s="135">
        <f t="shared" si="177"/>
        <v>4.7990868914070204E-3</v>
      </c>
      <c r="Z1020" s="135">
        <f t="shared" si="178"/>
        <v>0</v>
      </c>
      <c r="AA1020" s="135">
        <f t="shared" si="179"/>
        <v>0</v>
      </c>
      <c r="AB1020" s="140">
        <f t="shared" si="201"/>
        <v>4.0221475584499071</v>
      </c>
      <c r="AC1020" s="140">
        <f t="shared" si="202"/>
        <v>-4.5025232037344293E-2</v>
      </c>
      <c r="AD1020" s="140">
        <f t="shared" si="203"/>
        <v>-5.0264140168041108E-2</v>
      </c>
      <c r="AE1020" s="140">
        <f t="shared" si="204"/>
        <v>-3.9419772788815886E-2</v>
      </c>
    </row>
    <row r="1021" spans="1:31">
      <c r="A1021" s="168">
        <f>'Historical NAV'!A1021</f>
        <v>45450</v>
      </c>
      <c r="B1021" s="169">
        <f>'Historical NAV'!B1021</f>
        <v>57040146.130000003</v>
      </c>
      <c r="C1021" s="169">
        <f>'Historical NAV'!C1021</f>
        <v>0</v>
      </c>
      <c r="D1021" s="169" t="e">
        <f>'Historical NAV'!#REF!</f>
        <v>#REF!</v>
      </c>
      <c r="E1021" s="169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2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38">
        <f t="shared" si="192"/>
        <v>1.7857142857142857E-4</v>
      </c>
      <c r="Y1021" s="135">
        <f t="shared" si="177"/>
        <v>-1.6303212251101387E-2</v>
      </c>
      <c r="Z1021" s="135">
        <f t="shared" si="178"/>
        <v>-1.6303212251101387E-2</v>
      </c>
      <c r="AA1021" s="135">
        <f t="shared" si="179"/>
        <v>2.6579472970446235E-4</v>
      </c>
      <c r="AB1021" s="140">
        <f t="shared" si="201"/>
        <v>3.5677220764622199</v>
      </c>
      <c r="AC1021" s="140">
        <f t="shared" si="202"/>
        <v>-4.6191574429966187E-2</v>
      </c>
      <c r="AD1021" s="140">
        <f t="shared" si="203"/>
        <v>-5.0633792413460506E-2</v>
      </c>
      <c r="AE1021" s="140">
        <f t="shared" si="204"/>
        <v>-3.9486563238825698E-2</v>
      </c>
    </row>
    <row r="1022" spans="1:31">
      <c r="A1022" s="168">
        <f>'Historical NAV'!A1022</f>
        <v>45453</v>
      </c>
      <c r="B1022" s="169">
        <f>'Historical NAV'!B1022</f>
        <v>57731262.640000001</v>
      </c>
      <c r="C1022" s="169">
        <f>'Historical NAV'!C1022</f>
        <v>0</v>
      </c>
      <c r="D1022" s="169" t="e">
        <f>'Historical NAV'!#REF!</f>
        <v>#REF!</v>
      </c>
      <c r="E1022" s="169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2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38">
        <f t="shared" si="192"/>
        <v>1.7857142857142857E-4</v>
      </c>
      <c r="Y1022" s="135">
        <f t="shared" ref="Y1022:Y1053" si="217">I1022-X1022</f>
        <v>1.1640966313555984E-2</v>
      </c>
      <c r="Z1022" s="135">
        <f t="shared" ref="Z1022:Z1053" si="218">IF(Y1022&lt;0,Y1022,0)</f>
        <v>0</v>
      </c>
      <c r="AA1022" s="135">
        <f t="shared" ref="AA1022:AA1053" si="219">Z1022^2</f>
        <v>0</v>
      </c>
      <c r="AB1022" s="140">
        <f t="shared" si="201"/>
        <v>3.7993902647990216</v>
      </c>
      <c r="AC1022" s="140">
        <f t="shared" si="202"/>
        <v>-4.6305060537204235E-2</v>
      </c>
      <c r="AD1022" s="140">
        <f t="shared" si="203"/>
        <v>-5.0488572308107695E-2</v>
      </c>
      <c r="AE1022" s="140">
        <f t="shared" si="204"/>
        <v>-3.9475916165434458E-2</v>
      </c>
    </row>
    <row r="1023" spans="1:31">
      <c r="A1023" s="168">
        <f>'Historical NAV'!A1023</f>
        <v>45454</v>
      </c>
      <c r="B1023" s="169">
        <f>'Historical NAV'!B1023</f>
        <v>57371169.270000003</v>
      </c>
      <c r="C1023" s="169">
        <f>'Historical NAV'!C1023</f>
        <v>0</v>
      </c>
      <c r="D1023" s="169" t="e">
        <f>'Historical NAV'!#REF!</f>
        <v>#REF!</v>
      </c>
      <c r="E1023" s="169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2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38">
        <f t="shared" si="192"/>
        <v>1.7857142857142857E-4</v>
      </c>
      <c r="Y1023" s="135">
        <f t="shared" si="217"/>
        <v>-6.7103203070157979E-3</v>
      </c>
      <c r="Z1023" s="135">
        <f t="shared" si="218"/>
        <v>-6.7103203070157979E-3</v>
      </c>
      <c r="AA1023" s="135">
        <f t="shared" si="219"/>
        <v>4.5028398622748589E-5</v>
      </c>
      <c r="AB1023" s="140">
        <f t="shared" si="201"/>
        <v>3.7284178979236819</v>
      </c>
      <c r="AC1023" s="140">
        <f t="shared" si="202"/>
        <v>-4.5554951468422672E-2</v>
      </c>
      <c r="AD1023" s="140">
        <f t="shared" si="203"/>
        <v>-4.9988559888292795E-2</v>
      </c>
      <c r="AE1023" s="140">
        <f t="shared" si="204"/>
        <v>-3.9505235037157881E-2</v>
      </c>
    </row>
    <row r="1024" spans="1:31">
      <c r="A1024" s="168">
        <f>'Historical NAV'!A1024</f>
        <v>45455</v>
      </c>
      <c r="B1024" s="169">
        <f>'Historical NAV'!B1024</f>
        <v>59450600.979999997</v>
      </c>
      <c r="C1024" s="169">
        <f>'Historical NAV'!C1024</f>
        <v>0</v>
      </c>
      <c r="D1024" s="169" t="e">
        <f>'Historical NAV'!#REF!</f>
        <v>#REF!</v>
      </c>
      <c r="E1024" s="169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2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38">
        <f t="shared" si="192"/>
        <v>1.7857142857142857E-4</v>
      </c>
      <c r="Y1024" s="135">
        <f t="shared" si="217"/>
        <v>3.5693264306806347E-2</v>
      </c>
      <c r="Z1024" s="135">
        <f t="shared" si="218"/>
        <v>0</v>
      </c>
      <c r="AA1024" s="135">
        <f t="shared" si="219"/>
        <v>0</v>
      </c>
      <c r="AB1024" s="140">
        <f t="shared" ref="AB1024:AB1055" si="224">AVERAGE(Y771:Y1024)/AVERAGE(AA771:AA1024)</f>
        <v>4.2641830804799952</v>
      </c>
      <c r="AC1024" s="140">
        <f t="shared" ref="AC1024:AC1055" si="225">AVERAGE(I993:I1024)-_xlfn.NORM.S.INV(0.95)*_xlfn.STDEV.S(I993:I1024)</f>
        <v>-4.5601359205239368E-2</v>
      </c>
      <c r="AD1024" s="140">
        <f t="shared" ref="AD1024:AD1055" si="226">AVERAGE(I933:I1024)-_xlfn.NORM.S.INV(0.95)*_xlfn.STDEV.S(I933:I1024)</f>
        <v>-5.0044573966736262E-2</v>
      </c>
      <c r="AE1024" s="140">
        <f t="shared" ref="AE1024:AE1055" si="227">AVERAGE(I658:I1024)-_xlfn.NORM.S.INV(0.95)*_xlfn.STDEV.S(I658:I1024)</f>
        <v>-3.9536317865875061E-2</v>
      </c>
    </row>
    <row r="1025" spans="1:31">
      <c r="A1025" s="168">
        <f>'Historical NAV'!A1025</f>
        <v>45456</v>
      </c>
      <c r="B1025" s="169">
        <f>'Historical NAV'!B1025</f>
        <v>59759941.460000001</v>
      </c>
      <c r="C1025" s="169">
        <f>'Historical NAV'!C1025</f>
        <v>0</v>
      </c>
      <c r="D1025" s="169" t="e">
        <f>'Historical NAV'!#REF!</f>
        <v>#REF!</v>
      </c>
      <c r="E1025" s="169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2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38">
        <f t="shared" si="192"/>
        <v>1.7857142857142857E-4</v>
      </c>
      <c r="Y1025" s="135">
        <f t="shared" si="217"/>
        <v>4.3592563738886455E-3</v>
      </c>
      <c r="Z1025" s="135">
        <f t="shared" si="218"/>
        <v>0</v>
      </c>
      <c r="AA1025" s="135">
        <f t="shared" si="219"/>
        <v>0</v>
      </c>
      <c r="AB1025" s="140">
        <f t="shared" si="224"/>
        <v>4.5547990770441391</v>
      </c>
      <c r="AC1025" s="140">
        <f t="shared" si="225"/>
        <v>-3.7285010926536875E-2</v>
      </c>
      <c r="AD1025" s="140">
        <f t="shared" si="226"/>
        <v>-4.9937654751771414E-2</v>
      </c>
      <c r="AE1025" s="140">
        <f t="shared" si="227"/>
        <v>-3.9540590883911202E-2</v>
      </c>
    </row>
    <row r="1026" spans="1:31">
      <c r="A1026" s="168">
        <f>'Historical NAV'!A1026</f>
        <v>45457</v>
      </c>
      <c r="B1026" s="169">
        <f>'Historical NAV'!B1026</f>
        <v>59759368.4374597</v>
      </c>
      <c r="C1026" s="169">
        <f>'Historical NAV'!C1026</f>
        <v>0</v>
      </c>
      <c r="D1026" s="169" t="e">
        <f>'Historical NAV'!#REF!</f>
        <v>#REF!</v>
      </c>
      <c r="E1026" s="169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2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38">
        <f t="shared" si="192"/>
        <v>1.7857142857142857E-4</v>
      </c>
      <c r="Y1026" s="135">
        <f t="shared" si="217"/>
        <v>-2.4824339341242432E-4</v>
      </c>
      <c r="Z1026" s="135">
        <f t="shared" si="218"/>
        <v>-2.4824339341242432E-4</v>
      </c>
      <c r="AA1026" s="135">
        <f t="shared" si="219"/>
        <v>6.1624782372915666E-8</v>
      </c>
      <c r="AB1026" s="140">
        <f t="shared" si="224"/>
        <v>4.432504596340455</v>
      </c>
      <c r="AC1026" s="140">
        <f t="shared" si="225"/>
        <v>-3.2601934829408583E-2</v>
      </c>
      <c r="AD1026" s="140">
        <f t="shared" si="226"/>
        <v>-4.9335039229462703E-2</v>
      </c>
      <c r="AE1026" s="140">
        <f t="shared" si="227"/>
        <v>-3.953767068571775E-2</v>
      </c>
    </row>
    <row r="1027" spans="1:31">
      <c r="A1027" s="168">
        <f>'Historical NAV'!A1027</f>
        <v>45460</v>
      </c>
      <c r="B1027" s="169">
        <f>'Historical NAV'!B1027</f>
        <v>60455080.460000001</v>
      </c>
      <c r="C1027" s="169">
        <f>'Historical NAV'!C1027</f>
        <v>0</v>
      </c>
      <c r="D1027" s="169" t="e">
        <f>'Historical NAV'!#REF!</f>
        <v>#REF!</v>
      </c>
      <c r="E1027" s="169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2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38">
        <f t="shared" si="192"/>
        <v>1.7857142857142857E-4</v>
      </c>
      <c r="Y1027" s="135">
        <f t="shared" si="217"/>
        <v>1.0993496483073345E-2</v>
      </c>
      <c r="Z1027" s="135">
        <f t="shared" si="218"/>
        <v>0</v>
      </c>
      <c r="AA1027" s="135">
        <f t="shared" si="219"/>
        <v>0</v>
      </c>
      <c r="AB1027" s="140">
        <f t="shared" si="224"/>
        <v>4.7265522484144746</v>
      </c>
      <c r="AC1027" s="140">
        <f t="shared" si="225"/>
        <v>-3.1147456588707125E-2</v>
      </c>
      <c r="AD1027" s="140">
        <f t="shared" si="226"/>
        <v>-4.9342327615686042E-2</v>
      </c>
      <c r="AE1027" s="140">
        <f t="shared" si="227"/>
        <v>-3.9499010335061417E-2</v>
      </c>
    </row>
    <row r="1028" spans="1:31">
      <c r="A1028" s="168">
        <f>'Historical NAV'!A1028</f>
        <v>45461</v>
      </c>
      <c r="B1028" s="169">
        <f>'Historical NAV'!B1028</f>
        <v>61701123.100000001</v>
      </c>
      <c r="C1028" s="169">
        <f>'Historical NAV'!C1028</f>
        <v>0</v>
      </c>
      <c r="D1028" s="169" t="e">
        <f>'Historical NAV'!#REF!</f>
        <v>#REF!</v>
      </c>
      <c r="E1028" s="169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2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38">
        <f t="shared" si="192"/>
        <v>1.7857142857142857E-4</v>
      </c>
      <c r="Y1028" s="135">
        <f t="shared" si="217"/>
        <v>2.0204476457955204E-2</v>
      </c>
      <c r="Z1028" s="135">
        <f t="shared" si="218"/>
        <v>0</v>
      </c>
      <c r="AA1028" s="135">
        <f t="shared" si="219"/>
        <v>0</v>
      </c>
      <c r="AB1028" s="140">
        <f t="shared" si="224"/>
        <v>5.2017569911884474</v>
      </c>
      <c r="AC1028" s="140">
        <f t="shared" si="225"/>
        <v>-2.8372402763282095E-2</v>
      </c>
      <c r="AD1028" s="140">
        <f t="shared" si="226"/>
        <v>-4.9266264451384954E-2</v>
      </c>
      <c r="AE1028" s="140">
        <f t="shared" si="227"/>
        <v>-3.9487522362263147E-2</v>
      </c>
    </row>
    <row r="1029" spans="1:31">
      <c r="A1029" s="168">
        <f>'Historical NAV'!A1029</f>
        <v>45462</v>
      </c>
      <c r="B1029" s="169">
        <f>'Historical NAV'!B1029</f>
        <v>62588119.509999998</v>
      </c>
      <c r="C1029" s="169">
        <f>'Historical NAV'!C1029</f>
        <v>0</v>
      </c>
      <c r="D1029" s="169" t="e">
        <f>'Historical NAV'!#REF!</f>
        <v>#REF!</v>
      </c>
      <c r="E1029" s="169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2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38">
        <f t="shared" si="192"/>
        <v>1.7857142857142857E-4</v>
      </c>
      <c r="Y1029" s="135">
        <f t="shared" si="217"/>
        <v>1.4230094335245054E-2</v>
      </c>
      <c r="Z1029" s="135">
        <f t="shared" si="218"/>
        <v>0</v>
      </c>
      <c r="AA1029" s="135">
        <f t="shared" si="219"/>
        <v>0</v>
      </c>
      <c r="AB1029" s="140">
        <f t="shared" si="224"/>
        <v>5.0729761164014855</v>
      </c>
      <c r="AC1029" s="140">
        <f t="shared" si="225"/>
        <v>-2.6944757073287175E-2</v>
      </c>
      <c r="AD1029" s="140">
        <f t="shared" si="226"/>
        <v>-4.8961148926617681E-2</v>
      </c>
      <c r="AE1029" s="140">
        <f t="shared" si="227"/>
        <v>-3.9444925101784663E-2</v>
      </c>
    </row>
    <row r="1030" spans="1:31">
      <c r="A1030" s="168">
        <f>'Historical NAV'!A1030</f>
        <v>45463</v>
      </c>
      <c r="B1030" s="169">
        <f>'Historical NAV'!B1030</f>
        <v>61583294.57</v>
      </c>
      <c r="C1030" s="169">
        <f>'Historical NAV'!C1030</f>
        <v>0</v>
      </c>
      <c r="D1030" s="169" t="e">
        <f>'Historical NAV'!#REF!</f>
        <v>#REF!</v>
      </c>
      <c r="E1030" s="169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2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38">
        <f t="shared" si="192"/>
        <v>1.7857142857142857E-4</v>
      </c>
      <c r="Y1030" s="135">
        <f t="shared" si="217"/>
        <v>-1.6123537467062934E-2</v>
      </c>
      <c r="Z1030" s="135">
        <f t="shared" si="218"/>
        <v>-1.6123537467062934E-2</v>
      </c>
      <c r="AA1030" s="135">
        <f t="shared" si="219"/>
        <v>2.5996846045178219E-4</v>
      </c>
      <c r="AB1030" s="140">
        <f t="shared" si="224"/>
        <v>4.8401462024746928</v>
      </c>
      <c r="AC1030" s="140">
        <f t="shared" si="225"/>
        <v>-2.7166547274294378E-2</v>
      </c>
      <c r="AD1030" s="140">
        <f t="shared" si="226"/>
        <v>-4.9202187360607955E-2</v>
      </c>
      <c r="AE1030" s="140">
        <f t="shared" si="227"/>
        <v>-3.9542097174371765E-2</v>
      </c>
    </row>
    <row r="1031" spans="1:31">
      <c r="A1031" s="168">
        <f>'Historical NAV'!A1031</f>
        <v>45464</v>
      </c>
      <c r="B1031" s="169">
        <f>'Historical NAV'!B1031</f>
        <v>59897360.210000001</v>
      </c>
      <c r="C1031" s="169">
        <f>'Historical NAV'!C1031</f>
        <v>0</v>
      </c>
      <c r="D1031" s="169" t="e">
        <f>'Historical NAV'!#REF!</f>
        <v>#REF!</v>
      </c>
      <c r="E1031" s="169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2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38">
        <f t="shared" si="192"/>
        <v>1.7857142857142857E-4</v>
      </c>
      <c r="Y1031" s="135">
        <f t="shared" si="217"/>
        <v>-2.8074007552848911E-2</v>
      </c>
      <c r="Z1031" s="135">
        <f t="shared" si="218"/>
        <v>-2.8074007552848911E-2</v>
      </c>
      <c r="AA1031" s="135">
        <f t="shared" si="219"/>
        <v>7.8814990007741769E-4</v>
      </c>
      <c r="AB1031" s="140">
        <f t="shared" si="224"/>
        <v>4.5733006146215711</v>
      </c>
      <c r="AC1031" s="140">
        <f t="shared" si="225"/>
        <v>-2.9386075803299619E-2</v>
      </c>
      <c r="AD1031" s="140">
        <f t="shared" si="226"/>
        <v>-4.9853008202266284E-2</v>
      </c>
      <c r="AE1031" s="140">
        <f t="shared" si="227"/>
        <v>-3.9722245623440608E-2</v>
      </c>
    </row>
    <row r="1032" spans="1:31">
      <c r="A1032" s="168">
        <f>'Historical NAV'!A1032</f>
        <v>45467</v>
      </c>
      <c r="B1032" s="169">
        <f>'Historical NAV'!B1032</f>
        <v>58039692.740000002</v>
      </c>
      <c r="C1032" s="169">
        <f>'Historical NAV'!C1032</f>
        <v>0</v>
      </c>
      <c r="D1032" s="169" t="e">
        <f>'Historical NAV'!#REF!</f>
        <v>#REF!</v>
      </c>
      <c r="E1032" s="169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2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38">
        <f t="shared" si="192"/>
        <v>1.7857142857142857E-4</v>
      </c>
      <c r="Y1032" s="135">
        <f t="shared" si="217"/>
        <v>-3.133133331086338E-2</v>
      </c>
      <c r="Z1032" s="135">
        <f t="shared" si="218"/>
        <v>-3.133133331086338E-2</v>
      </c>
      <c r="AA1032" s="135">
        <f t="shared" si="219"/>
        <v>9.8165244703641717E-4</v>
      </c>
      <c r="AB1032" s="140">
        <f t="shared" si="224"/>
        <v>3.792034199599831</v>
      </c>
      <c r="AC1032" s="140">
        <f t="shared" si="225"/>
        <v>-3.215313360548494E-2</v>
      </c>
      <c r="AD1032" s="140">
        <f t="shared" si="226"/>
        <v>-5.0097658751936634E-2</v>
      </c>
      <c r="AE1032" s="140">
        <f t="shared" si="227"/>
        <v>-3.9916737536807523E-2</v>
      </c>
    </row>
    <row r="1033" spans="1:31">
      <c r="A1033" s="168">
        <f>'Historical NAV'!A1033</f>
        <v>45468</v>
      </c>
      <c r="B1033" s="169">
        <f>'Historical NAV'!B1033</f>
        <v>59998846.020000003</v>
      </c>
      <c r="C1033" s="169">
        <f>'Historical NAV'!C1033</f>
        <v>0</v>
      </c>
      <c r="D1033" s="169" t="e">
        <f>'Historical NAV'!#REF!</f>
        <v>#REF!</v>
      </c>
      <c r="E1033" s="169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2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38">
        <f t="shared" si="192"/>
        <v>1.7857142857142857E-4</v>
      </c>
      <c r="Y1033" s="135">
        <f t="shared" si="217"/>
        <v>3.4802960763461351E-2</v>
      </c>
      <c r="Z1033" s="135">
        <f t="shared" si="218"/>
        <v>0</v>
      </c>
      <c r="AA1033" s="135">
        <f t="shared" si="219"/>
        <v>0</v>
      </c>
      <c r="AB1033" s="140">
        <f t="shared" si="224"/>
        <v>4.1433092683444155</v>
      </c>
      <c r="AC1033" s="140">
        <f t="shared" si="225"/>
        <v>-3.2443976129904489E-2</v>
      </c>
      <c r="AD1033" s="140">
        <f t="shared" si="226"/>
        <v>-5.0147686445345771E-2</v>
      </c>
      <c r="AE1033" s="140">
        <f t="shared" si="227"/>
        <v>-3.9919752270200906E-2</v>
      </c>
    </row>
    <row r="1034" spans="1:31">
      <c r="A1034" s="168">
        <f>'Historical NAV'!A1034</f>
        <v>45469</v>
      </c>
      <c r="B1034" s="169">
        <f>'Historical NAV'!B1034</f>
        <v>59507744.539999999</v>
      </c>
      <c r="C1034" s="169">
        <f>'Historical NAV'!C1034</f>
        <v>0</v>
      </c>
      <c r="D1034" s="169" t="e">
        <f>'Historical NAV'!#REF!</f>
        <v>#REF!</v>
      </c>
      <c r="E1034" s="169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2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38">
        <f t="shared" si="192"/>
        <v>1.7857142857142857E-4</v>
      </c>
      <c r="Y1034" s="135">
        <f t="shared" si="217"/>
        <v>-8.6089295696496256E-3</v>
      </c>
      <c r="Z1034" s="135">
        <f t="shared" si="218"/>
        <v>-8.6089295696496256E-3</v>
      </c>
      <c r="AA1034" s="135">
        <f t="shared" si="219"/>
        <v>7.4113668335187689E-5</v>
      </c>
      <c r="AB1034" s="140">
        <f t="shared" si="224"/>
        <v>4.0664175959844711</v>
      </c>
      <c r="AC1034" s="140">
        <f t="shared" si="225"/>
        <v>-3.2655828129790482E-2</v>
      </c>
      <c r="AD1034" s="140">
        <f t="shared" si="226"/>
        <v>-5.0373371287274323E-2</v>
      </c>
      <c r="AE1034" s="140">
        <f t="shared" si="227"/>
        <v>-3.9966718036190188E-2</v>
      </c>
    </row>
    <row r="1035" spans="1:31">
      <c r="A1035" s="168">
        <f>'Historical NAV'!A1035</f>
        <v>45470</v>
      </c>
      <c r="B1035" s="169">
        <f>'Historical NAV'!B1035</f>
        <v>58724567.609999999</v>
      </c>
      <c r="C1035" s="169">
        <f>'Historical NAV'!C1035</f>
        <v>0</v>
      </c>
      <c r="D1035" s="169" t="e">
        <f>'Historical NAV'!#REF!</f>
        <v>#REF!</v>
      </c>
      <c r="E1035" s="169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2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38">
        <f t="shared" si="192"/>
        <v>1.7857142857142857E-4</v>
      </c>
      <c r="Y1035" s="135">
        <f t="shared" si="217"/>
        <v>-1.6479466337266279E-2</v>
      </c>
      <c r="Z1035" s="135">
        <f t="shared" si="218"/>
        <v>-1.6479466337266279E-2</v>
      </c>
      <c r="AA1035" s="135">
        <f t="shared" si="219"/>
        <v>2.7157281076109247E-4</v>
      </c>
      <c r="AB1035" s="140">
        <f t="shared" si="224"/>
        <v>3.986441964127426</v>
      </c>
      <c r="AC1035" s="140">
        <f t="shared" si="225"/>
        <v>-3.3892123954063484E-2</v>
      </c>
      <c r="AD1035" s="140">
        <f t="shared" si="226"/>
        <v>-5.066005822111689E-2</v>
      </c>
      <c r="AE1035" s="140">
        <f t="shared" si="227"/>
        <v>-4.0041159590870949E-2</v>
      </c>
    </row>
    <row r="1036" spans="1:31" s="47" customFormat="1">
      <c r="A1036" s="170">
        <f>'Historical NAV'!A1036</f>
        <v>45471</v>
      </c>
      <c r="B1036" s="171">
        <f>'Historical NAV'!B1036</f>
        <v>59394922.759999998</v>
      </c>
      <c r="C1036" s="171">
        <f>'Historical NAV'!C1036</f>
        <v>0</v>
      </c>
      <c r="D1036" s="171" t="e">
        <f>'Historical NAV'!#REF!</f>
        <v>#REF!</v>
      </c>
      <c r="E1036" s="171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3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2">
        <f t="shared" si="216"/>
        <v>0.31698270254422373</v>
      </c>
      <c r="X1036" s="139">
        <f t="shared" si="192"/>
        <v>1.7857142857142857E-4</v>
      </c>
      <c r="Y1036" s="136">
        <f t="shared" si="217"/>
        <v>1.0115477461063274E-2</v>
      </c>
      <c r="Z1036" s="136">
        <f t="shared" si="218"/>
        <v>0</v>
      </c>
      <c r="AA1036" s="136">
        <f t="shared" si="219"/>
        <v>0</v>
      </c>
      <c r="AB1036" s="141">
        <f t="shared" si="224"/>
        <v>4.580015779692638</v>
      </c>
      <c r="AC1036" s="141">
        <f t="shared" si="225"/>
        <v>-3.2276044585576959E-2</v>
      </c>
      <c r="AD1036" s="141">
        <f t="shared" si="226"/>
        <v>-5.0482310758764574E-2</v>
      </c>
      <c r="AE1036" s="141">
        <f t="shared" si="227"/>
        <v>-3.9832544853060377E-2</v>
      </c>
    </row>
    <row r="1037" spans="1:31">
      <c r="A1037" s="168">
        <f>'Historical NAV'!A1037</f>
        <v>45474</v>
      </c>
      <c r="B1037" s="169">
        <f>'Historical NAV'!B1037</f>
        <v>59663049.789999999</v>
      </c>
      <c r="C1037" s="169">
        <f>'Historical NAV'!C1037</f>
        <v>0</v>
      </c>
      <c r="D1037" s="169" t="e">
        <f>'Historical NAV'!#REF!</f>
        <v>#REF!</v>
      </c>
      <c r="E1037" s="169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2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38">
        <f t="shared" si="192"/>
        <v>1.7857142857142857E-4</v>
      </c>
      <c r="Y1037" s="135">
        <f t="shared" si="217"/>
        <v>3.2450984837825618E-3</v>
      </c>
      <c r="Z1037" s="135">
        <f t="shared" si="218"/>
        <v>0</v>
      </c>
      <c r="AA1037" s="135">
        <f t="shared" si="219"/>
        <v>0</v>
      </c>
      <c r="AB1037" s="140">
        <f t="shared" si="224"/>
        <v>4.6834646046983428</v>
      </c>
      <c r="AC1037" s="140">
        <f t="shared" si="225"/>
        <v>-3.1599211586888193E-2</v>
      </c>
      <c r="AD1037" s="140">
        <f t="shared" si="226"/>
        <v>-5.0279000379016101E-2</v>
      </c>
      <c r="AE1037" s="140">
        <f t="shared" si="227"/>
        <v>-3.9847789573398011E-2</v>
      </c>
    </row>
    <row r="1038" spans="1:31">
      <c r="A1038" s="168">
        <f>'Historical NAV'!A1038</f>
        <v>45475</v>
      </c>
      <c r="B1038" s="169">
        <f>'Historical NAV'!B1038</f>
        <v>60943676.954667903</v>
      </c>
      <c r="C1038" s="169">
        <f>'Historical NAV'!C1038</f>
        <v>0</v>
      </c>
      <c r="D1038" s="169" t="e">
        <f>'Historical NAV'!#REF!</f>
        <v>#REF!</v>
      </c>
      <c r="E1038" s="169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2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38">
        <f t="shared" si="192"/>
        <v>1.7857142857142857E-4</v>
      </c>
      <c r="Y1038" s="135">
        <f t="shared" si="217"/>
        <v>2.1193517312383704E-2</v>
      </c>
      <c r="Z1038" s="135">
        <f t="shared" si="218"/>
        <v>0</v>
      </c>
      <c r="AA1038" s="135">
        <f t="shared" si="219"/>
        <v>0</v>
      </c>
      <c r="AB1038" s="140">
        <f t="shared" si="224"/>
        <v>4.8807875030689196</v>
      </c>
      <c r="AC1038" s="140">
        <f t="shared" si="225"/>
        <v>-3.1523047494388078E-2</v>
      </c>
      <c r="AD1038" s="140">
        <f t="shared" si="226"/>
        <v>-5.0278970971785235E-2</v>
      </c>
      <c r="AE1038" s="140">
        <f t="shared" si="227"/>
        <v>-3.979867029439698E-2</v>
      </c>
    </row>
    <row r="1039" spans="1:31">
      <c r="A1039" s="168">
        <f>'Historical NAV'!A1039</f>
        <v>45476</v>
      </c>
      <c r="B1039" s="169">
        <f>'Historical NAV'!B1039</f>
        <v>63861820.590471402</v>
      </c>
      <c r="C1039" s="169">
        <f>'Historical NAV'!C1039</f>
        <v>0</v>
      </c>
      <c r="D1039" s="169" t="e">
        <f>'Historical NAV'!#REF!</f>
        <v>#REF!</v>
      </c>
      <c r="E1039" s="169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2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38">
        <f t="shared" si="192"/>
        <v>1.7857142857142857E-4</v>
      </c>
      <c r="Y1039" s="135">
        <f t="shared" si="217"/>
        <v>4.8528755633619185E-2</v>
      </c>
      <c r="Z1039" s="135">
        <f t="shared" si="218"/>
        <v>0</v>
      </c>
      <c r="AA1039" s="135">
        <f t="shared" si="219"/>
        <v>0</v>
      </c>
      <c r="AB1039" s="140">
        <f t="shared" si="224"/>
        <v>5.2994742910537589</v>
      </c>
      <c r="AC1039" s="140">
        <f t="shared" si="225"/>
        <v>-3.2864230821478525E-2</v>
      </c>
      <c r="AD1039" s="140">
        <f t="shared" si="226"/>
        <v>-5.0330401067300953E-2</v>
      </c>
      <c r="AE1039" s="140">
        <f t="shared" si="227"/>
        <v>-3.9857356150000557E-2</v>
      </c>
    </row>
    <row r="1040" spans="1:31">
      <c r="A1040" s="168">
        <f>'Historical NAV'!A1040</f>
        <v>45477</v>
      </c>
      <c r="B1040" s="169">
        <f>'Historical NAV'!B1040</f>
        <v>64044619.867267199</v>
      </c>
      <c r="C1040" s="169">
        <f>'Historical NAV'!C1040</f>
        <v>0</v>
      </c>
      <c r="D1040" s="169" t="e">
        <f>'Historical NAV'!#REF!</f>
        <v>#REF!</v>
      </c>
      <c r="E1040" s="169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2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38">
        <f t="shared" si="192"/>
        <v>1.7857142857142857E-4</v>
      </c>
      <c r="Y1040" s="135">
        <f t="shared" si="217"/>
        <v>2.6345374858744281E-3</v>
      </c>
      <c r="Z1040" s="135">
        <f t="shared" si="218"/>
        <v>0</v>
      </c>
      <c r="AA1040" s="135">
        <f t="shared" si="219"/>
        <v>0</v>
      </c>
      <c r="AB1040" s="140">
        <f t="shared" si="224"/>
        <v>4.9415822953528918</v>
      </c>
      <c r="AC1040" s="140">
        <f t="shared" si="225"/>
        <v>-3.2763040375333743E-2</v>
      </c>
      <c r="AD1040" s="140">
        <f t="shared" si="226"/>
        <v>-5.0134282824696869E-2</v>
      </c>
      <c r="AE1040" s="140">
        <f t="shared" si="227"/>
        <v>-3.966390764869953E-2</v>
      </c>
    </row>
    <row r="1041" spans="1:31">
      <c r="A1041" s="168">
        <f>'Historical NAV'!A1041</f>
        <v>45478</v>
      </c>
      <c r="B1041" s="169">
        <f>'Historical NAV'!B1041</f>
        <v>64643549.454528302</v>
      </c>
      <c r="C1041" s="169">
        <f>'Historical NAV'!C1041</f>
        <v>360000</v>
      </c>
      <c r="D1041" s="169" t="e">
        <f>'Historical NAV'!#REF!</f>
        <v>#REF!</v>
      </c>
      <c r="E1041" s="169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2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38">
        <f t="shared" si="192"/>
        <v>1.7857142857142857E-4</v>
      </c>
      <c r="Y1041" s="135">
        <f t="shared" si="217"/>
        <v>3.746419425962147E-3</v>
      </c>
      <c r="Z1041" s="135">
        <f t="shared" si="218"/>
        <v>0</v>
      </c>
      <c r="AA1041" s="135">
        <f t="shared" si="219"/>
        <v>0</v>
      </c>
      <c r="AB1041" s="140">
        <f t="shared" si="224"/>
        <v>4.5296058965727575</v>
      </c>
      <c r="AC1041" s="140">
        <f t="shared" si="225"/>
        <v>-3.0664284526249707E-2</v>
      </c>
      <c r="AD1041" s="140">
        <f t="shared" si="226"/>
        <v>-5.0060346355049343E-2</v>
      </c>
      <c r="AE1041" s="140">
        <f t="shared" si="227"/>
        <v>-3.9550302378818063E-2</v>
      </c>
    </row>
    <row r="1042" spans="1:31">
      <c r="A1042" s="168">
        <f>'Historical NAV'!A1042</f>
        <v>45481</v>
      </c>
      <c r="B1042" s="169">
        <f>'Historical NAV'!B1042</f>
        <v>65020485.0934029</v>
      </c>
      <c r="C1042" s="169">
        <f>'Historical NAV'!C1042</f>
        <v>0</v>
      </c>
      <c r="D1042" s="169" t="e">
        <f>'Historical NAV'!#REF!</f>
        <v>#REF!</v>
      </c>
      <c r="E1042" s="169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2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38">
        <f t="shared" si="192"/>
        <v>1.7857142857142857E-4</v>
      </c>
      <c r="Y1042" s="135">
        <f t="shared" si="217"/>
        <v>4.2270345642574179E-3</v>
      </c>
      <c r="Z1042" s="135">
        <f t="shared" si="218"/>
        <v>0</v>
      </c>
      <c r="AA1042" s="135">
        <f t="shared" si="219"/>
        <v>0</v>
      </c>
      <c r="AB1042" s="140">
        <f t="shared" si="224"/>
        <v>4.6030455020335914</v>
      </c>
      <c r="AC1042" s="140">
        <f t="shared" si="225"/>
        <v>-2.9900673618768189E-2</v>
      </c>
      <c r="AD1042" s="140">
        <f t="shared" si="226"/>
        <v>-4.9905809049826451E-2</v>
      </c>
      <c r="AE1042" s="140">
        <f t="shared" si="227"/>
        <v>-3.9564090944251097E-2</v>
      </c>
    </row>
    <row r="1043" spans="1:31">
      <c r="A1043" s="168">
        <f>'Historical NAV'!A1043</f>
        <v>45482</v>
      </c>
      <c r="B1043" s="169">
        <f>'Historical NAV'!B1043</f>
        <v>65091084.935261697</v>
      </c>
      <c r="C1043" s="169">
        <f>'Historical NAV'!C1043</f>
        <v>0</v>
      </c>
      <c r="D1043" s="169" t="e">
        <f>'Historical NAV'!#REF!</f>
        <v>#REF!</v>
      </c>
      <c r="E1043" s="169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2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38">
        <f t="shared" si="192"/>
        <v>1.7857142857142857E-4</v>
      </c>
      <c r="Y1043" s="135">
        <f t="shared" si="217"/>
        <v>8.2403308545442961E-4</v>
      </c>
      <c r="Z1043" s="135">
        <f t="shared" si="218"/>
        <v>0</v>
      </c>
      <c r="AA1043" s="135">
        <f t="shared" si="219"/>
        <v>0</v>
      </c>
      <c r="AB1043" s="140">
        <f t="shared" si="224"/>
        <v>4.4519534477487701</v>
      </c>
      <c r="AC1043" s="140">
        <f t="shared" si="225"/>
        <v>-3.0131530469964304E-2</v>
      </c>
      <c r="AD1043" s="140">
        <f t="shared" si="226"/>
        <v>-4.9958414963354285E-2</v>
      </c>
      <c r="AE1043" s="140">
        <f t="shared" si="227"/>
        <v>-3.9489822822542542E-2</v>
      </c>
    </row>
    <row r="1044" spans="1:31">
      <c r="A1044" s="168">
        <f>'Historical NAV'!A1044</f>
        <v>45483</v>
      </c>
      <c r="B1044" s="169">
        <f>'Historical NAV'!B1044</f>
        <v>67403249.519004002</v>
      </c>
      <c r="C1044" s="169">
        <f>'Historical NAV'!C1044</f>
        <v>0</v>
      </c>
      <c r="D1044" s="169" t="e">
        <f>'Historical NAV'!#REF!</f>
        <v>#REF!</v>
      </c>
      <c r="E1044" s="169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2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38">
        <f t="shared" si="192"/>
        <v>1.7857142857142857E-4</v>
      </c>
      <c r="Y1044" s="135">
        <f t="shared" si="217"/>
        <v>3.5590226496027874E-2</v>
      </c>
      <c r="Z1044" s="135">
        <f t="shared" si="218"/>
        <v>0</v>
      </c>
      <c r="AA1044" s="135">
        <f t="shared" si="219"/>
        <v>0</v>
      </c>
      <c r="AB1044" s="140">
        <f t="shared" si="224"/>
        <v>4.6127832394675572</v>
      </c>
      <c r="AC1044" s="140">
        <f t="shared" si="225"/>
        <v>-3.0038220225049754E-2</v>
      </c>
      <c r="AD1044" s="140">
        <f t="shared" si="226"/>
        <v>-4.9950458893412555E-2</v>
      </c>
      <c r="AE1044" s="140">
        <f t="shared" si="227"/>
        <v>-3.941752056831662E-2</v>
      </c>
    </row>
    <row r="1045" spans="1:31">
      <c r="A1045" s="168">
        <f>'Historical NAV'!A1045</f>
        <v>45484</v>
      </c>
      <c r="B1045" s="169">
        <f>'Historical NAV'!B1045</f>
        <v>65444352.981031403</v>
      </c>
      <c r="C1045" s="169">
        <f>'Historical NAV'!C1045</f>
        <v>0</v>
      </c>
      <c r="D1045" s="169" t="e">
        <f>'Historical NAV'!#REF!</f>
        <v>#REF!</v>
      </c>
      <c r="E1045" s="169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2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38">
        <f t="shared" si="192"/>
        <v>1.7857142857142857E-4</v>
      </c>
      <c r="Y1045" s="135">
        <f t="shared" si="217"/>
        <v>-2.9313229950026304E-2</v>
      </c>
      <c r="Z1045" s="135">
        <f t="shared" si="218"/>
        <v>-2.9313229950026304E-2</v>
      </c>
      <c r="AA1045" s="135">
        <f t="shared" si="219"/>
        <v>8.5926545010311906E-4</v>
      </c>
      <c r="AB1045" s="140">
        <f t="shared" si="224"/>
        <v>4.2775564129767902</v>
      </c>
      <c r="AC1045" s="140">
        <f t="shared" si="225"/>
        <v>-3.2584409296226906E-2</v>
      </c>
      <c r="AD1045" s="140">
        <f t="shared" si="226"/>
        <v>-5.0648266615025819E-2</v>
      </c>
      <c r="AE1045" s="140">
        <f t="shared" si="227"/>
        <v>-3.9542633501210844E-2</v>
      </c>
    </row>
    <row r="1046" spans="1:31">
      <c r="A1046" s="168">
        <f>'Historical NAV'!A1046</f>
        <v>45485</v>
      </c>
      <c r="B1046" s="169">
        <f>'Historical NAV'!B1046</f>
        <v>67152852.177596301</v>
      </c>
      <c r="C1046" s="169">
        <f>'Historical NAV'!C1046</f>
        <v>0</v>
      </c>
      <c r="D1046" s="169" t="e">
        <f>'Historical NAV'!#REF!</f>
        <v>#REF!</v>
      </c>
      <c r="E1046" s="169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2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38">
        <f t="shared" si="192"/>
        <v>1.7857142857142857E-4</v>
      </c>
      <c r="Y1046" s="135">
        <f t="shared" si="217"/>
        <v>2.6349133063641846E-2</v>
      </c>
      <c r="Z1046" s="135">
        <f t="shared" si="218"/>
        <v>0</v>
      </c>
      <c r="AA1046" s="135">
        <f t="shared" si="219"/>
        <v>0</v>
      </c>
      <c r="AB1046" s="140">
        <f t="shared" si="224"/>
        <v>5.2441348459855428</v>
      </c>
      <c r="AC1046" s="140">
        <f t="shared" si="225"/>
        <v>-3.0268466165738285E-2</v>
      </c>
      <c r="AD1046" s="140">
        <f t="shared" si="226"/>
        <v>-5.0190991079386613E-2</v>
      </c>
      <c r="AE1046" s="140">
        <f t="shared" si="227"/>
        <v>-3.9550407050209284E-2</v>
      </c>
    </row>
    <row r="1047" spans="1:31">
      <c r="A1047" s="168">
        <f>'Historical NAV'!A1047</f>
        <v>45488</v>
      </c>
      <c r="B1047" s="169">
        <f>'Historical NAV'!B1047</f>
        <v>67076532.131248102</v>
      </c>
      <c r="C1047" s="169">
        <f>'Historical NAV'!C1047</f>
        <v>0</v>
      </c>
      <c r="D1047" s="169" t="e">
        <f>'Historical NAV'!#REF!</f>
        <v>#REF!</v>
      </c>
      <c r="E1047" s="169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2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38">
        <f t="shared" si="192"/>
        <v>1.7857142857142857E-4</v>
      </c>
      <c r="Y1047" s="135">
        <f t="shared" si="217"/>
        <v>-2.6696755428953947E-3</v>
      </c>
      <c r="Z1047" s="135">
        <f t="shared" si="218"/>
        <v>-2.6696755428953947E-3</v>
      </c>
      <c r="AA1047" s="135">
        <f t="shared" si="219"/>
        <v>7.1271675043338208E-6</v>
      </c>
      <c r="AB1047" s="140">
        <f t="shared" si="224"/>
        <v>5.2451530592577367</v>
      </c>
      <c r="AC1047" s="140">
        <f t="shared" si="225"/>
        <v>-2.8723671875573613E-2</v>
      </c>
      <c r="AD1047" s="140">
        <f t="shared" si="226"/>
        <v>-5.0362048303732705E-2</v>
      </c>
      <c r="AE1047" s="140">
        <f t="shared" si="227"/>
        <v>-3.9577635401800974E-2</v>
      </c>
    </row>
    <row r="1048" spans="1:31">
      <c r="A1048" s="168">
        <f>'Historical NAV'!A1048</f>
        <v>45489</v>
      </c>
      <c r="B1048" s="169">
        <f>'Historical NAV'!B1048</f>
        <v>68998818.401678905</v>
      </c>
      <c r="C1048" s="169">
        <f>'Historical NAV'!C1048</f>
        <v>1000000</v>
      </c>
      <c r="D1048" s="169" t="e">
        <f>'Historical NAV'!#REF!</f>
        <v>#REF!</v>
      </c>
      <c r="E1048" s="169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2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38">
        <f t="shared" si="192"/>
        <v>1.7857142857142857E-4</v>
      </c>
      <c r="Y1048" s="135">
        <f t="shared" si="217"/>
        <v>1.3493542219706695E-2</v>
      </c>
      <c r="Z1048" s="135">
        <f t="shared" si="218"/>
        <v>0</v>
      </c>
      <c r="AA1048" s="135">
        <f t="shared" si="219"/>
        <v>0</v>
      </c>
      <c r="AB1048" s="140">
        <f t="shared" si="224"/>
        <v>5.4040935986602356</v>
      </c>
      <c r="AC1048" s="140">
        <f t="shared" si="225"/>
        <v>-2.8666902330843062E-2</v>
      </c>
      <c r="AD1048" s="140">
        <f t="shared" si="226"/>
        <v>-5.037725763295222E-2</v>
      </c>
      <c r="AE1048" s="140">
        <f t="shared" si="227"/>
        <v>-3.9559544083851844E-2</v>
      </c>
    </row>
    <row r="1049" spans="1:31">
      <c r="A1049" s="168">
        <f>'Historical NAV'!A1049</f>
        <v>45490</v>
      </c>
      <c r="B1049" s="169">
        <f>'Historical NAV'!B1049</f>
        <v>62351398.195037097</v>
      </c>
      <c r="C1049" s="169">
        <f>'Historical NAV'!C1049</f>
        <v>0</v>
      </c>
      <c r="D1049" s="169" t="e">
        <f>'Historical NAV'!#REF!</f>
        <v>#REF!</v>
      </c>
      <c r="E1049" s="169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2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38">
        <f t="shared" si="192"/>
        <v>1.7857142857142857E-4</v>
      </c>
      <c r="Y1049" s="135">
        <f t="shared" si="217"/>
        <v>-9.619482054857964E-2</v>
      </c>
      <c r="Z1049" s="135">
        <f t="shared" si="218"/>
        <v>-9.619482054857964E-2</v>
      </c>
      <c r="AA1049" s="135">
        <f t="shared" si="219"/>
        <v>9.2534435003734407E-3</v>
      </c>
      <c r="AB1049" s="140">
        <f t="shared" si="224"/>
        <v>3.7743779139292521</v>
      </c>
      <c r="AC1049" s="140">
        <f t="shared" si="225"/>
        <v>-4.2970060690192026E-2</v>
      </c>
      <c r="AD1049" s="140">
        <f t="shared" si="226"/>
        <v>-5.3763426043987893E-2</v>
      </c>
      <c r="AE1049" s="140">
        <f t="shared" si="227"/>
        <v>-4.0451015301773745E-2</v>
      </c>
    </row>
    <row r="1050" spans="1:31">
      <c r="A1050" s="168">
        <f>'Historical NAV'!A1050</f>
        <v>45491</v>
      </c>
      <c r="B1050" s="169">
        <f>'Historical NAV'!B1050</f>
        <v>61450247.116623901</v>
      </c>
      <c r="C1050" s="169">
        <f>'Historical NAV'!C1050</f>
        <v>0</v>
      </c>
      <c r="D1050" s="169" t="e">
        <f>'Historical NAV'!#REF!</f>
        <v>#REF!</v>
      </c>
      <c r="E1050" s="169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2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38">
        <f t="shared" si="192"/>
        <v>1.7857142857142857E-4</v>
      </c>
      <c r="Y1050" s="135">
        <f t="shared" si="217"/>
        <v>-1.6356705802685372E-2</v>
      </c>
      <c r="Z1050" s="135">
        <f t="shared" si="218"/>
        <v>-1.6356705802685372E-2</v>
      </c>
      <c r="AA1050" s="135">
        <f t="shared" si="219"/>
        <v>2.675418247156013E-4</v>
      </c>
      <c r="AB1050" s="140">
        <f t="shared" si="224"/>
        <v>3.5974143377285333</v>
      </c>
      <c r="AC1050" s="140">
        <f t="shared" si="225"/>
        <v>-4.2468821759852761E-2</v>
      </c>
      <c r="AD1050" s="140">
        <f t="shared" si="226"/>
        <v>-5.3522130823699623E-2</v>
      </c>
      <c r="AE1050" s="140">
        <f t="shared" si="227"/>
        <v>-4.0443530305973696E-2</v>
      </c>
    </row>
    <row r="1051" spans="1:31">
      <c r="A1051" s="168">
        <f>'Historical NAV'!A1051</f>
        <v>45492</v>
      </c>
      <c r="B1051" s="169">
        <f>'Historical NAV'!B1051</f>
        <v>58536405.143161498</v>
      </c>
      <c r="C1051" s="169">
        <f>'Historical NAV'!C1051</f>
        <v>0</v>
      </c>
      <c r="D1051" s="169" t="e">
        <f>'Historical NAV'!#REF!</f>
        <v>#REF!</v>
      </c>
      <c r="E1051" s="169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2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38">
        <f t="shared" si="192"/>
        <v>1.7857142857142857E-4</v>
      </c>
      <c r="Y1051" s="135">
        <f t="shared" si="217"/>
        <v>-4.797684501220701E-2</v>
      </c>
      <c r="Z1051" s="135">
        <f t="shared" si="218"/>
        <v>-4.797684501220701E-2</v>
      </c>
      <c r="AA1051" s="135">
        <f t="shared" si="219"/>
        <v>2.3017776573253327E-3</v>
      </c>
      <c r="AB1051" s="140">
        <f t="shared" si="224"/>
        <v>3.2558602822393969</v>
      </c>
      <c r="AC1051" s="140">
        <f t="shared" si="225"/>
        <v>-4.5764654066912415E-2</v>
      </c>
      <c r="AD1051" s="140">
        <f t="shared" si="226"/>
        <v>-5.4800072083087445E-2</v>
      </c>
      <c r="AE1051" s="140">
        <f t="shared" si="227"/>
        <v>-4.078592783460841E-2</v>
      </c>
    </row>
    <row r="1052" spans="1:31">
      <c r="A1052" s="168">
        <f>'Historical NAV'!A1052</f>
        <v>45495</v>
      </c>
      <c r="B1052" s="169">
        <f>'Historical NAV'!B1052</f>
        <v>61000507.902521499</v>
      </c>
      <c r="C1052" s="169">
        <f>'Historical NAV'!C1052</f>
        <v>0</v>
      </c>
      <c r="D1052" s="169" t="e">
        <f>'Historical NAV'!#REF!</f>
        <v>#REF!</v>
      </c>
      <c r="E1052" s="169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2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38">
        <f t="shared" si="192"/>
        <v>1.7857142857142857E-4</v>
      </c>
      <c r="Y1052" s="135">
        <f t="shared" si="217"/>
        <v>4.1161434392450603E-2</v>
      </c>
      <c r="Z1052" s="135">
        <f t="shared" si="218"/>
        <v>0</v>
      </c>
      <c r="AA1052" s="135">
        <f t="shared" si="219"/>
        <v>0</v>
      </c>
      <c r="AB1052" s="140">
        <f t="shared" si="224"/>
        <v>3.3642178274851608</v>
      </c>
      <c r="AC1052" s="140">
        <f t="shared" si="225"/>
        <v>-4.6181449704138622E-2</v>
      </c>
      <c r="AD1052" s="140">
        <f t="shared" si="226"/>
        <v>-5.436525700038277E-2</v>
      </c>
      <c r="AE1052" s="140">
        <f t="shared" si="227"/>
        <v>-4.0587320853839176E-2</v>
      </c>
    </row>
    <row r="1053" spans="1:31">
      <c r="A1053" s="168">
        <f>'Historical NAV'!A1053</f>
        <v>45496</v>
      </c>
      <c r="B1053" s="169">
        <f>'Historical NAV'!B1053</f>
        <v>60206412.354449697</v>
      </c>
      <c r="C1053" s="169">
        <f>'Historical NAV'!C1053</f>
        <v>0</v>
      </c>
      <c r="D1053" s="169" t="e">
        <f>'Historical NAV'!#REF!</f>
        <v>#REF!</v>
      </c>
      <c r="E1053" s="169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2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38">
        <f t="shared" si="192"/>
        <v>1.7857142857142857E-4</v>
      </c>
      <c r="Y1053" s="135">
        <f t="shared" si="217"/>
        <v>-1.3261411154219242E-2</v>
      </c>
      <c r="Z1053" s="135">
        <f t="shared" si="218"/>
        <v>-1.3261411154219242E-2</v>
      </c>
      <c r="AA1053" s="135">
        <f t="shared" si="219"/>
        <v>1.7586502580125052E-4</v>
      </c>
      <c r="AB1053" s="140">
        <f t="shared" si="224"/>
        <v>3.2115673404964298</v>
      </c>
      <c r="AC1053" s="140">
        <f t="shared" si="225"/>
        <v>-4.5998204294165804E-2</v>
      </c>
      <c r="AD1053" s="140">
        <f t="shared" si="226"/>
        <v>-5.4289058554786288E-2</v>
      </c>
      <c r="AE1053" s="140">
        <f t="shared" si="227"/>
        <v>-4.0639941205411159E-2</v>
      </c>
    </row>
    <row r="1054" spans="1:31">
      <c r="A1054" s="168">
        <f>'Historical NAV'!A1054</f>
        <v>45497</v>
      </c>
      <c r="B1054" s="169">
        <f>'Historical NAV'!B1054</f>
        <v>56404374.589071102</v>
      </c>
      <c r="C1054" s="169">
        <f>'Historical NAV'!C1054</f>
        <v>0</v>
      </c>
      <c r="D1054" s="169" t="e">
        <f>'Historical NAV'!#REF!</f>
        <v>#REF!</v>
      </c>
      <c r="E1054" s="169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2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38">
        <f t="shared" si="192"/>
        <v>1.7857142857142857E-4</v>
      </c>
      <c r="Y1054" s="135">
        <f t="shared" ref="Y1054:Y1085" si="238">I1054-X1054</f>
        <v>-6.5470826715861671E-2</v>
      </c>
      <c r="Z1054" s="135">
        <f t="shared" ref="Z1054:Z1085" si="239">IF(Y1054&lt;0,Y1054,0)</f>
        <v>-6.5470826715861671E-2</v>
      </c>
      <c r="AA1054" s="135">
        <f t="shared" ref="AA1054:AA1085" si="240">Z1054^2</f>
        <v>4.2864291508583861E-3</v>
      </c>
      <c r="AB1054" s="140">
        <f t="shared" si="224"/>
        <v>2.6036507492795464</v>
      </c>
      <c r="AC1054" s="140">
        <f t="shared" si="225"/>
        <v>-5.2071320592660848E-2</v>
      </c>
      <c r="AD1054" s="140">
        <f t="shared" si="226"/>
        <v>-5.5894828915234715E-2</v>
      </c>
      <c r="AE1054" s="140">
        <f t="shared" si="227"/>
        <v>-4.123025536332358E-2</v>
      </c>
    </row>
    <row r="1055" spans="1:31">
      <c r="A1055" s="168">
        <f>'Historical NAV'!A1055</f>
        <v>45498</v>
      </c>
      <c r="B1055" s="169">
        <f>'Historical NAV'!B1055</f>
        <v>55578992.644670799</v>
      </c>
      <c r="C1055" s="169">
        <f>'Historical NAV'!C1055</f>
        <v>0</v>
      </c>
      <c r="D1055" s="169" t="e">
        <f>'Historical NAV'!#REF!</f>
        <v>#REF!</v>
      </c>
      <c r="E1055" s="169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2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38">
        <f t="shared" si="192"/>
        <v>1.7857142857142857E-4</v>
      </c>
      <c r="Y1055" s="135">
        <f t="shared" si="238"/>
        <v>-1.6357092173611591E-2</v>
      </c>
      <c r="Z1055" s="135">
        <f t="shared" si="239"/>
        <v>-1.6357092173611591E-2</v>
      </c>
      <c r="AA1055" s="135">
        <f t="shared" si="240"/>
        <v>2.6755446437602557E-4</v>
      </c>
      <c r="AB1055" s="140">
        <f t="shared" si="224"/>
        <v>2.9477346142416345</v>
      </c>
      <c r="AC1055" s="140">
        <f t="shared" si="225"/>
        <v>-5.2536712881257865E-2</v>
      </c>
      <c r="AD1055" s="140">
        <f t="shared" si="226"/>
        <v>-5.6254694640903359E-2</v>
      </c>
      <c r="AE1055" s="140">
        <f t="shared" si="227"/>
        <v>-4.1224147770890354E-2</v>
      </c>
    </row>
    <row r="1056" spans="1:31">
      <c r="A1056" s="168">
        <f>'Historical NAV'!A1056</f>
        <v>45499</v>
      </c>
      <c r="B1056" s="169">
        <f>'Historical NAV'!B1056</f>
        <v>57589073.870721899</v>
      </c>
      <c r="C1056" s="169">
        <f>'Historical NAV'!C1056</f>
        <v>0</v>
      </c>
      <c r="D1056" s="169" t="e">
        <f>'Historical NAV'!#REF!</f>
        <v>#REF!</v>
      </c>
      <c r="E1056" s="169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2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38">
        <f t="shared" si="192"/>
        <v>1.7857142857142857E-4</v>
      </c>
      <c r="Y1056" s="135">
        <f t="shared" si="238"/>
        <v>3.5295286268994218E-2</v>
      </c>
      <c r="Z1056" s="135">
        <f t="shared" si="239"/>
        <v>0</v>
      </c>
      <c r="AA1056" s="135">
        <f t="shared" si="240"/>
        <v>0</v>
      </c>
      <c r="AB1056" s="140">
        <f t="shared" ref="AB1056:AB1087" si="244">AVERAGE(Y803:Y1056)/AVERAGE(AA803:AA1056)</f>
        <v>3.4610603285580352</v>
      </c>
      <c r="AC1056" s="140">
        <f t="shared" ref="AC1056:AC1087" si="245">AVERAGE(I1025:I1056)-_xlfn.NORM.S.INV(0.95)*_xlfn.STDEV.S(I1025:I1056)</f>
        <v>-5.2523716860245297E-2</v>
      </c>
      <c r="AD1056" s="140">
        <f t="shared" ref="AD1056:AD1087" si="246">AVERAGE(I965:I1056)-_xlfn.NORM.S.INV(0.95)*_xlfn.STDEV.S(I965:I1056)</f>
        <v>-5.6238976323074577E-2</v>
      </c>
      <c r="AE1056" s="140">
        <f t="shared" ref="AE1056:AE1087" si="247">AVERAGE(I690:I1056)-_xlfn.NORM.S.INV(0.95)*_xlfn.STDEV.S(I690:I1056)</f>
        <v>-4.1242929904088094E-2</v>
      </c>
    </row>
    <row r="1057" spans="1:31">
      <c r="A1057" s="168">
        <f>'Historical NAV'!A1057</f>
        <v>45502</v>
      </c>
      <c r="B1057" s="169">
        <f>'Historical NAV'!B1057</f>
        <v>57087687.759120002</v>
      </c>
      <c r="C1057" s="169">
        <f>'Historical NAV'!C1057</f>
        <v>0</v>
      </c>
      <c r="D1057" s="169" t="e">
        <f>'Historical NAV'!#REF!</f>
        <v>#REF!</v>
      </c>
      <c r="E1057" s="169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2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38">
        <f t="shared" si="192"/>
        <v>1.7857142857142857E-4</v>
      </c>
      <c r="Y1057" s="135">
        <f t="shared" si="238"/>
        <v>-1.004115826017968E-2</v>
      </c>
      <c r="Z1057" s="135">
        <f t="shared" si="239"/>
        <v>-1.004115826017968E-2</v>
      </c>
      <c r="AA1057" s="135">
        <f t="shared" si="240"/>
        <v>1.0082485920597461E-4</v>
      </c>
      <c r="AB1057" s="140">
        <f t="shared" si="244"/>
        <v>3.3455210887755773</v>
      </c>
      <c r="AC1057" s="140">
        <f t="shared" si="245"/>
        <v>-5.2993969569020964E-2</v>
      </c>
      <c r="AD1057" s="140">
        <f t="shared" si="246"/>
        <v>-5.639553376522901E-2</v>
      </c>
      <c r="AE1057" s="140">
        <f t="shared" si="247"/>
        <v>-4.1270585837426585E-2</v>
      </c>
    </row>
    <row r="1058" spans="1:31">
      <c r="A1058" s="168">
        <f>'Historical NAV'!A1058</f>
        <v>45503</v>
      </c>
      <c r="B1058" s="169">
        <f>'Historical NAV'!B1058</f>
        <v>54872545.397529699</v>
      </c>
      <c r="C1058" s="169">
        <f>'Historical NAV'!C1058</f>
        <v>0</v>
      </c>
      <c r="D1058" s="169" t="e">
        <f>'Historical NAV'!#REF!</f>
        <v>#REF!</v>
      </c>
      <c r="E1058" s="169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2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38">
        <f t="shared" si="192"/>
        <v>1.7857142857142857E-4</v>
      </c>
      <c r="Y1058" s="135">
        <f t="shared" si="238"/>
        <v>-3.9084941239205029E-2</v>
      </c>
      <c r="Z1058" s="135">
        <f t="shared" si="239"/>
        <v>-3.9084941239205029E-2</v>
      </c>
      <c r="AA1058" s="135">
        <f t="shared" si="240"/>
        <v>1.5276326316721099E-3</v>
      </c>
      <c r="AB1058" s="140">
        <f t="shared" si="244"/>
        <v>2.8613242771635328</v>
      </c>
      <c r="AC1058" s="140">
        <f t="shared" si="245"/>
        <v>-5.5314651219730393E-2</v>
      </c>
      <c r="AD1058" s="140">
        <f t="shared" si="246"/>
        <v>-5.7328514352336268E-2</v>
      </c>
      <c r="AE1058" s="140">
        <f t="shared" si="247"/>
        <v>-4.1478870564426881E-2</v>
      </c>
    </row>
    <row r="1059" spans="1:31">
      <c r="A1059" s="168">
        <f>'Historical NAV'!A1059</f>
        <v>45504</v>
      </c>
      <c r="B1059" s="169">
        <f>'Historical NAV'!B1059</f>
        <v>60667367.421713203</v>
      </c>
      <c r="C1059" s="169">
        <f>'Historical NAV'!C1059</f>
        <v>0</v>
      </c>
      <c r="D1059" s="169" t="e">
        <f>'Historical NAV'!#REF!</f>
        <v>#REF!</v>
      </c>
      <c r="E1059" s="169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2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38">
        <f t="shared" si="192"/>
        <v>1.7857142857142857E-4</v>
      </c>
      <c r="Y1059" s="135">
        <f t="shared" si="238"/>
        <v>0.1023064465971583</v>
      </c>
      <c r="Z1059" s="135">
        <f t="shared" si="239"/>
        <v>0</v>
      </c>
      <c r="AA1059" s="135">
        <f t="shared" si="240"/>
        <v>0</v>
      </c>
      <c r="AB1059" s="140">
        <f t="shared" si="244"/>
        <v>3.9318288289758021</v>
      </c>
      <c r="AC1059" s="140">
        <f t="shared" si="245"/>
        <v>-6.0783374776845422E-2</v>
      </c>
      <c r="AD1059" s="140">
        <f t="shared" si="246"/>
        <v>-5.8774842748435828E-2</v>
      </c>
      <c r="AE1059" s="140">
        <f t="shared" si="247"/>
        <v>-4.2088080625607295E-2</v>
      </c>
    </row>
    <row r="1060" spans="1:31">
      <c r="A1060" s="168">
        <f>'Historical NAV'!A1060</f>
        <v>45505</v>
      </c>
      <c r="B1060" s="169">
        <f>'Historical NAV'!B1060</f>
        <v>55984250.449729003</v>
      </c>
      <c r="C1060" s="169">
        <f>'Historical NAV'!C1060</f>
        <v>0</v>
      </c>
      <c r="D1060" s="169" t="e">
        <f>'Historical NAV'!#REF!</f>
        <v>#REF!</v>
      </c>
      <c r="E1060" s="169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2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38">
        <f t="shared" si="192"/>
        <v>1.7857142857142857E-4</v>
      </c>
      <c r="Y1060" s="135">
        <f t="shared" si="238"/>
        <v>-7.6096151797087397E-2</v>
      </c>
      <c r="Z1060" s="135">
        <f t="shared" si="239"/>
        <v>-7.6096151797087397E-2</v>
      </c>
      <c r="AA1060" s="135">
        <f t="shared" si="240"/>
        <v>5.7906243183253672E-3</v>
      </c>
      <c r="AB1060" s="140">
        <f t="shared" si="244"/>
        <v>3.1748519249525393</v>
      </c>
      <c r="AC1060" s="140">
        <f t="shared" si="245"/>
        <v>-6.7289090970358484E-2</v>
      </c>
      <c r="AD1060" s="140">
        <f t="shared" si="246"/>
        <v>-6.0984268401652143E-2</v>
      </c>
      <c r="AE1060" s="140">
        <f t="shared" si="247"/>
        <v>-4.2815128748707521E-2</v>
      </c>
    </row>
    <row r="1061" spans="1:31">
      <c r="A1061" s="168">
        <f>'Historical NAV'!A1061</f>
        <v>45506</v>
      </c>
      <c r="B1061" s="169">
        <f>'Historical NAV'!B1061</f>
        <v>52784182.118252099</v>
      </c>
      <c r="C1061" s="169">
        <f>'Historical NAV'!C1061</f>
        <v>0</v>
      </c>
      <c r="D1061" s="169" t="e">
        <f>'Historical NAV'!#REF!</f>
        <v>#REF!</v>
      </c>
      <c r="E1061" s="169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2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38">
        <f t="shared" si="192"/>
        <v>1.7857142857142857E-4</v>
      </c>
      <c r="Y1061" s="135">
        <f t="shared" si="238"/>
        <v>-5.6357814630212423E-2</v>
      </c>
      <c r="Z1061" s="135">
        <f t="shared" si="239"/>
        <v>-5.6357814630212423E-2</v>
      </c>
      <c r="AA1061" s="135">
        <f t="shared" si="240"/>
        <v>3.1762032698933853E-3</v>
      </c>
      <c r="AB1061" s="140">
        <f t="shared" si="244"/>
        <v>2.5921486692901206</v>
      </c>
      <c r="AC1061" s="140">
        <f t="shared" si="245"/>
        <v>-7.1052997953954811E-2</v>
      </c>
      <c r="AD1061" s="140">
        <f t="shared" si="246"/>
        <v>-6.223563632817742E-2</v>
      </c>
      <c r="AE1061" s="140">
        <f t="shared" si="247"/>
        <v>-4.3251291705596613E-2</v>
      </c>
    </row>
    <row r="1062" spans="1:31">
      <c r="A1062" s="168">
        <f>'Historical NAV'!A1062</f>
        <v>45509</v>
      </c>
      <c r="B1062" s="169">
        <f>'Historical NAV'!B1062</f>
        <v>47370825.216570102</v>
      </c>
      <c r="C1062" s="169">
        <f>'Historical NAV'!C1062</f>
        <v>0</v>
      </c>
      <c r="D1062" s="169" t="e">
        <f>'Historical NAV'!#REF!</f>
        <v>#REF!</v>
      </c>
      <c r="E1062" s="169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2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38">
        <f t="shared" si="192"/>
        <v>1.7857142857142857E-4</v>
      </c>
      <c r="Y1062" s="135">
        <f t="shared" si="238"/>
        <v>-0.10155053660735452</v>
      </c>
      <c r="Z1062" s="135">
        <f t="shared" si="239"/>
        <v>-0.10155053660735452</v>
      </c>
      <c r="AA1062" s="135">
        <f t="shared" si="240"/>
        <v>1.0312511485241651E-2</v>
      </c>
      <c r="AB1062" s="140">
        <f t="shared" si="244"/>
        <v>1.6538476794546826</v>
      </c>
      <c r="AC1062" s="140">
        <f t="shared" si="245"/>
        <v>-7.9369605031635523E-2</v>
      </c>
      <c r="AD1062" s="140">
        <f t="shared" si="246"/>
        <v>-6.5807112978659987E-2</v>
      </c>
      <c r="AE1062" s="140">
        <f t="shared" si="247"/>
        <v>-4.4296351181458499E-2</v>
      </c>
    </row>
    <row r="1063" spans="1:31">
      <c r="A1063" s="168">
        <f>'Historical NAV'!A1063</f>
        <v>45510</v>
      </c>
      <c r="B1063" s="169">
        <f>'Historical NAV'!B1063</f>
        <v>48756449.268375501</v>
      </c>
      <c r="C1063" s="169">
        <f>'Historical NAV'!C1063</f>
        <v>0</v>
      </c>
      <c r="D1063" s="169" t="e">
        <f>'Historical NAV'!#REF!</f>
        <v>#REF!</v>
      </c>
      <c r="E1063" s="169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2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38">
        <f t="shared" si="192"/>
        <v>1.7857142857142857E-4</v>
      </c>
      <c r="Y1063" s="135">
        <f t="shared" si="238"/>
        <v>2.5292042314998077E-2</v>
      </c>
      <c r="Z1063" s="135">
        <f t="shared" si="239"/>
        <v>0</v>
      </c>
      <c r="AA1063" s="135">
        <f t="shared" si="240"/>
        <v>0</v>
      </c>
      <c r="AB1063" s="140">
        <f t="shared" si="244"/>
        <v>1.7369550999441197</v>
      </c>
      <c r="AC1063" s="140">
        <f t="shared" si="245"/>
        <v>-7.8111459721793938E-2</v>
      </c>
      <c r="AD1063" s="140">
        <f t="shared" si="246"/>
        <v>-6.5751330176978359E-2</v>
      </c>
      <c r="AE1063" s="140">
        <f t="shared" si="247"/>
        <v>-4.427712597108327E-2</v>
      </c>
    </row>
    <row r="1064" spans="1:31">
      <c r="A1064" s="168">
        <f>'Historical NAV'!A1064</f>
        <v>45511</v>
      </c>
      <c r="B1064" s="169">
        <f>'Historical NAV'!B1064</f>
        <v>47312325.508298703</v>
      </c>
      <c r="C1064" s="169">
        <f>'Historical NAV'!C1064</f>
        <v>0</v>
      </c>
      <c r="D1064" s="169" t="e">
        <f>'Historical NAV'!#REF!</f>
        <v>#REF!</v>
      </c>
      <c r="E1064" s="169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2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38">
        <f t="shared" si="192"/>
        <v>1.7857142857142857E-4</v>
      </c>
      <c r="Y1064" s="135">
        <f t="shared" si="238"/>
        <v>-2.8914652523499781E-2</v>
      </c>
      <c r="Z1064" s="135">
        <f t="shared" si="239"/>
        <v>-2.8914652523499781E-2</v>
      </c>
      <c r="AA1064" s="135">
        <f t="shared" si="240"/>
        <v>8.3605713055473225E-4</v>
      </c>
      <c r="AB1064" s="140">
        <f t="shared" si="244"/>
        <v>1.667441868642813</v>
      </c>
      <c r="AC1064" s="140">
        <f t="shared" si="245"/>
        <v>-7.796703018153997E-2</v>
      </c>
      <c r="AD1064" s="140">
        <f t="shared" si="246"/>
        <v>-6.61830137152528E-2</v>
      </c>
      <c r="AE1064" s="140">
        <f t="shared" si="247"/>
        <v>-4.4305443170104659E-2</v>
      </c>
    </row>
    <row r="1065" spans="1:31">
      <c r="A1065" s="168">
        <f>'Historical NAV'!A1065</f>
        <v>45512</v>
      </c>
      <c r="B1065" s="169">
        <f>'Historical NAV'!B1065</f>
        <v>51762391.9934242</v>
      </c>
      <c r="C1065" s="169">
        <f>'Historical NAV'!C1065</f>
        <v>0</v>
      </c>
      <c r="D1065" s="169" t="e">
        <f>'Historical NAV'!#REF!</f>
        <v>#REF!</v>
      </c>
      <c r="E1065" s="169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2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38">
        <f t="shared" si="192"/>
        <v>1.7857142857142857E-4</v>
      </c>
      <c r="Y1065" s="135">
        <f t="shared" si="238"/>
        <v>9.1832029791229716E-2</v>
      </c>
      <c r="Z1065" s="135">
        <f t="shared" si="239"/>
        <v>0</v>
      </c>
      <c r="AA1065" s="135">
        <f t="shared" si="240"/>
        <v>0</v>
      </c>
      <c r="AB1065" s="140">
        <f t="shared" si="244"/>
        <v>2.6152517904506043</v>
      </c>
      <c r="AC1065" s="140">
        <f t="shared" si="245"/>
        <v>-8.0854405280950004E-2</v>
      </c>
      <c r="AD1065" s="140">
        <f t="shared" si="246"/>
        <v>-6.6847186031624817E-2</v>
      </c>
      <c r="AE1065" s="140">
        <f t="shared" si="247"/>
        <v>-4.4661860186771304E-2</v>
      </c>
    </row>
    <row r="1066" spans="1:31">
      <c r="A1066" s="168">
        <f>'Historical NAV'!A1066</f>
        <v>45513</v>
      </c>
      <c r="B1066" s="169">
        <f>'Historical NAV'!B1066</f>
        <v>52521250.0197547</v>
      </c>
      <c r="C1066" s="169">
        <f>'Historical NAV'!C1066</f>
        <v>0</v>
      </c>
      <c r="D1066" s="169" t="e">
        <f>'Historical NAV'!#REF!</f>
        <v>#REF!</v>
      </c>
      <c r="E1066" s="169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2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38">
        <f t="shared" si="192"/>
        <v>1.7857142857142857E-4</v>
      </c>
      <c r="Y1066" s="135">
        <f t="shared" si="238"/>
        <v>1.3848520024674012E-2</v>
      </c>
      <c r="Z1066" s="135">
        <f t="shared" si="239"/>
        <v>0</v>
      </c>
      <c r="AA1066" s="135">
        <f t="shared" si="240"/>
        <v>0</v>
      </c>
      <c r="AB1066" s="140">
        <f t="shared" si="244"/>
        <v>2.9811439902762182</v>
      </c>
      <c r="AC1066" s="140">
        <f t="shared" si="245"/>
        <v>-8.0338789593663529E-2</v>
      </c>
      <c r="AD1066" s="140">
        <f t="shared" si="246"/>
        <v>-6.6844093848700784E-2</v>
      </c>
      <c r="AE1066" s="140">
        <f t="shared" si="247"/>
        <v>-4.4638709131117615E-2</v>
      </c>
    </row>
    <row r="1067" spans="1:31">
      <c r="A1067" s="168">
        <f>'Historical NAV'!A1067</f>
        <v>45516</v>
      </c>
      <c r="B1067" s="169">
        <f>'Historical NAV'!B1067</f>
        <v>53400219.769905001</v>
      </c>
      <c r="C1067" s="169">
        <f>'Historical NAV'!C1067</f>
        <v>0</v>
      </c>
      <c r="D1067" s="169" t="e">
        <f>'Historical NAV'!#REF!</f>
        <v>#REF!</v>
      </c>
      <c r="E1067" s="169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2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38">
        <f t="shared" si="192"/>
        <v>1.7857142857142857E-4</v>
      </c>
      <c r="Y1067" s="135">
        <f t="shared" si="238"/>
        <v>1.5915362928138853E-2</v>
      </c>
      <c r="Z1067" s="135">
        <f t="shared" si="239"/>
        <v>0</v>
      </c>
      <c r="AA1067" s="135">
        <f t="shared" si="240"/>
        <v>0</v>
      </c>
      <c r="AB1067" s="140">
        <f t="shared" si="244"/>
        <v>3.1196979064794488</v>
      </c>
      <c r="AC1067" s="140">
        <f t="shared" si="245"/>
        <v>-7.9455207881599779E-2</v>
      </c>
      <c r="AD1067" s="140">
        <f t="shared" si="246"/>
        <v>-6.5320994577300395E-2</v>
      </c>
      <c r="AE1067" s="140">
        <f t="shared" si="247"/>
        <v>-4.4636179085001809E-2</v>
      </c>
    </row>
    <row r="1068" spans="1:31">
      <c r="A1068" s="168">
        <f>'Historical NAV'!A1068</f>
        <v>45517</v>
      </c>
      <c r="B1068" s="169">
        <f>'Historical NAV'!B1068</f>
        <v>56544654.715252496</v>
      </c>
      <c r="C1068" s="169">
        <f>'Historical NAV'!C1068</f>
        <v>0</v>
      </c>
      <c r="D1068" s="169" t="e">
        <f>'Historical NAV'!#REF!</f>
        <v>#REF!</v>
      </c>
      <c r="E1068" s="169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2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38">
        <f t="shared" si="192"/>
        <v>1.7857142857142857E-4</v>
      </c>
      <c r="Y1068" s="135">
        <f t="shared" si="238"/>
        <v>5.7441164943404351E-2</v>
      </c>
      <c r="Z1068" s="135">
        <f t="shared" si="239"/>
        <v>0</v>
      </c>
      <c r="AA1068" s="135">
        <f t="shared" si="240"/>
        <v>0</v>
      </c>
      <c r="AB1068" s="140">
        <f t="shared" si="244"/>
        <v>3.4219853470310477</v>
      </c>
      <c r="AC1068" s="140">
        <f t="shared" si="245"/>
        <v>-7.9914100136106142E-2</v>
      </c>
      <c r="AD1068" s="140">
        <f t="shared" si="246"/>
        <v>-6.5511035332278492E-2</v>
      </c>
      <c r="AE1068" s="140">
        <f t="shared" si="247"/>
        <v>-4.4734214440003035E-2</v>
      </c>
    </row>
    <row r="1069" spans="1:31">
      <c r="A1069" s="168">
        <f>'Historical NAV'!A1069</f>
        <v>45518</v>
      </c>
      <c r="B1069" s="169">
        <f>'Historical NAV'!B1069</f>
        <v>56692038.266765103</v>
      </c>
      <c r="C1069" s="169">
        <f>'Historical NAV'!C1069</f>
        <v>0</v>
      </c>
      <c r="D1069" s="169" t="e">
        <f>'Historical NAV'!#REF!</f>
        <v>#REF!</v>
      </c>
      <c r="E1069" s="169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2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38">
        <f t="shared" si="192"/>
        <v>1.7857142857142857E-4</v>
      </c>
      <c r="Y1069" s="135">
        <f t="shared" si="238"/>
        <v>1.9441402957647322E-3</v>
      </c>
      <c r="Z1069" s="135">
        <f t="shared" si="239"/>
        <v>0</v>
      </c>
      <c r="AA1069" s="135">
        <f t="shared" si="240"/>
        <v>0</v>
      </c>
      <c r="AB1069" s="140">
        <f t="shared" si="244"/>
        <v>3.4484548172427201</v>
      </c>
      <c r="AC1069" s="140">
        <f t="shared" si="245"/>
        <v>-7.994839421408638E-2</v>
      </c>
      <c r="AD1069" s="140">
        <f t="shared" si="246"/>
        <v>-6.5518886811042773E-2</v>
      </c>
      <c r="AE1069" s="140">
        <f t="shared" si="247"/>
        <v>-4.473552566822845E-2</v>
      </c>
    </row>
    <row r="1070" spans="1:31">
      <c r="A1070" s="168">
        <f>'Historical NAV'!A1070</f>
        <v>45519</v>
      </c>
      <c r="B1070" s="169">
        <f>'Historical NAV'!B1070</f>
        <v>59805518.4498135</v>
      </c>
      <c r="C1070" s="169">
        <f>'Historical NAV'!C1070</f>
        <v>0</v>
      </c>
      <c r="D1070" s="169" t="e">
        <f>'Historical NAV'!#REF!</f>
        <v>#REF!</v>
      </c>
      <c r="E1070" s="169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2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38">
        <f t="shared" si="192"/>
        <v>1.7857142857142857E-4</v>
      </c>
      <c r="Y1070" s="135">
        <f t="shared" si="238"/>
        <v>5.385462594271069E-2</v>
      </c>
      <c r="Z1070" s="135">
        <f t="shared" si="239"/>
        <v>0</v>
      </c>
      <c r="AA1070" s="135">
        <f t="shared" si="240"/>
        <v>0</v>
      </c>
      <c r="AB1070" s="140">
        <f t="shared" si="244"/>
        <v>3.6343527732776653</v>
      </c>
      <c r="AC1070" s="140">
        <f t="shared" si="245"/>
        <v>-8.0328457038511047E-2</v>
      </c>
      <c r="AD1070" s="140">
        <f t="shared" si="246"/>
        <v>-6.558742807847448E-2</v>
      </c>
      <c r="AE1070" s="140">
        <f t="shared" si="247"/>
        <v>-4.477329969605022E-2</v>
      </c>
    </row>
    <row r="1071" spans="1:31">
      <c r="A1071" s="168">
        <f>'Historical NAV'!A1071</f>
        <v>45520</v>
      </c>
      <c r="B1071" s="169">
        <f>'Historical NAV'!B1071</f>
        <v>61136510.623112902</v>
      </c>
      <c r="C1071" s="169">
        <f>'Historical NAV'!C1071</f>
        <v>0</v>
      </c>
      <c r="D1071" s="169" t="e">
        <f>'Historical NAV'!#REF!</f>
        <v>#REF!</v>
      </c>
      <c r="E1071" s="169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2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38">
        <f t="shared" si="192"/>
        <v>1.7857142857142857E-4</v>
      </c>
      <c r="Y1071" s="135">
        <f t="shared" si="238"/>
        <v>2.1484407956626799E-2</v>
      </c>
      <c r="Z1071" s="135">
        <f t="shared" si="239"/>
        <v>0</v>
      </c>
      <c r="AA1071" s="135">
        <f t="shared" si="240"/>
        <v>0</v>
      </c>
      <c r="AB1071" s="140">
        <f t="shared" si="244"/>
        <v>4.1939283214587508</v>
      </c>
      <c r="AC1071" s="140">
        <f t="shared" si="245"/>
        <v>-8.0093770836378808E-2</v>
      </c>
      <c r="AD1071" s="140">
        <f t="shared" si="246"/>
        <v>-6.4367806108133988E-2</v>
      </c>
      <c r="AE1071" s="140">
        <f t="shared" si="247"/>
        <v>-4.4752958250455992E-2</v>
      </c>
    </row>
    <row r="1072" spans="1:31">
      <c r="A1072" s="168">
        <f>'Historical NAV'!A1072</f>
        <v>45523</v>
      </c>
      <c r="B1072" s="169">
        <f>'Historical NAV'!B1072</f>
        <v>63198667.8479895</v>
      </c>
      <c r="C1072" s="169">
        <f>'Historical NAV'!C1072</f>
        <v>0</v>
      </c>
      <c r="D1072" s="169" t="e">
        <f>'Historical NAV'!#REF!</f>
        <v>#REF!</v>
      </c>
      <c r="E1072" s="169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2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38">
        <f t="shared" si="192"/>
        <v>1.7857142857142857E-4</v>
      </c>
      <c r="Y1072" s="135">
        <f t="shared" si="238"/>
        <v>3.3289765151682256E-2</v>
      </c>
      <c r="Z1072" s="135">
        <f t="shared" si="239"/>
        <v>0</v>
      </c>
      <c r="AA1072" s="135">
        <f t="shared" si="240"/>
        <v>0</v>
      </c>
      <c r="AB1072" s="140">
        <f t="shared" si="244"/>
        <v>4.3669233790531701</v>
      </c>
      <c r="AC1072" s="140">
        <f t="shared" si="245"/>
        <v>-7.9783690025999623E-2</v>
      </c>
      <c r="AD1072" s="140">
        <f t="shared" si="246"/>
        <v>-6.4125176092356628E-2</v>
      </c>
      <c r="AE1072" s="140">
        <f t="shared" si="247"/>
        <v>-4.4745384150826732E-2</v>
      </c>
    </row>
    <row r="1073" spans="1:31">
      <c r="A1073" s="168">
        <f>'Historical NAV'!A1073</f>
        <v>45524</v>
      </c>
      <c r="B1073" s="169">
        <f>'Historical NAV'!B1073</f>
        <v>61777804.835665397</v>
      </c>
      <c r="C1073" s="169">
        <f>'Historical NAV'!C1073</f>
        <v>0</v>
      </c>
      <c r="D1073" s="169" t="e">
        <f>'Historical NAV'!#REF!</f>
        <v>#REF!</v>
      </c>
      <c r="E1073" s="169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2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38">
        <f t="shared" si="192"/>
        <v>1.7857142857142857E-4</v>
      </c>
      <c r="Y1073" s="135">
        <f t="shared" si="238"/>
        <v>-2.314123807551197E-2</v>
      </c>
      <c r="Z1073" s="135">
        <f t="shared" si="239"/>
        <v>-2.314123807551197E-2</v>
      </c>
      <c r="AA1073" s="135">
        <f t="shared" si="240"/>
        <v>5.3551689966752493E-4</v>
      </c>
      <c r="AB1073" s="140">
        <f t="shared" si="244"/>
        <v>4.0570567180541701</v>
      </c>
      <c r="AC1073" s="140">
        <f t="shared" si="245"/>
        <v>-8.087799718577221E-2</v>
      </c>
      <c r="AD1073" s="140">
        <f t="shared" si="246"/>
        <v>-6.1506616898011089E-2</v>
      </c>
      <c r="AE1073" s="140">
        <f t="shared" si="247"/>
        <v>-4.481565371812718E-2</v>
      </c>
    </row>
    <row r="1074" spans="1:31">
      <c r="A1074" s="168">
        <f>'Historical NAV'!A1074</f>
        <v>45525</v>
      </c>
      <c r="B1074" s="169">
        <f>'Historical NAV'!B1074</f>
        <v>62658444.354868598</v>
      </c>
      <c r="C1074" s="169">
        <f>'Historical NAV'!C1074</f>
        <v>0</v>
      </c>
      <c r="D1074" s="169" t="e">
        <f>'Historical NAV'!#REF!</f>
        <v>#REF!</v>
      </c>
      <c r="E1074" s="169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2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38">
        <f t="shared" si="192"/>
        <v>1.7857142857142857E-4</v>
      </c>
      <c r="Y1074" s="135">
        <f t="shared" si="238"/>
        <v>1.4044216214021198E-2</v>
      </c>
      <c r="Z1074" s="135">
        <f t="shared" si="239"/>
        <v>0</v>
      </c>
      <c r="AA1074" s="135">
        <f t="shared" si="240"/>
        <v>0</v>
      </c>
      <c r="AB1074" s="140">
        <f t="shared" si="244"/>
        <v>3.8854474795087652</v>
      </c>
      <c r="AC1074" s="140">
        <f t="shared" si="245"/>
        <v>-8.0684263441510265E-2</v>
      </c>
      <c r="AD1074" s="140">
        <f t="shared" si="246"/>
        <v>-6.0208517872854153E-2</v>
      </c>
      <c r="AE1074" s="140">
        <f t="shared" si="247"/>
        <v>-4.4815460637831435E-2</v>
      </c>
    </row>
    <row r="1075" spans="1:31">
      <c r="A1075" s="168">
        <f>'Historical NAV'!A1075</f>
        <v>45526</v>
      </c>
      <c r="B1075" s="169">
        <f>'Historical NAV'!B1075</f>
        <v>60262248.670911402</v>
      </c>
      <c r="C1075" s="169">
        <f>'Historical NAV'!C1075</f>
        <v>0</v>
      </c>
      <c r="D1075" s="169" t="e">
        <f>'Historical NAV'!#REF!</f>
        <v>#REF!</v>
      </c>
      <c r="E1075" s="169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2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38">
        <f t="shared" si="192"/>
        <v>1.7857142857142857E-4</v>
      </c>
      <c r="Y1075" s="135">
        <f t="shared" si="238"/>
        <v>-3.6254102304427903E-2</v>
      </c>
      <c r="Z1075" s="135">
        <f t="shared" si="239"/>
        <v>-3.6254102304427903E-2</v>
      </c>
      <c r="AA1075" s="135">
        <f t="shared" si="240"/>
        <v>1.3143599338999246E-3</v>
      </c>
      <c r="AB1075" s="140">
        <f t="shared" si="244"/>
        <v>3.4926393236339623</v>
      </c>
      <c r="AC1075" s="140">
        <f t="shared" si="245"/>
        <v>-8.2487252041560072E-2</v>
      </c>
      <c r="AD1075" s="140">
        <f t="shared" si="246"/>
        <v>-6.0653037160104915E-2</v>
      </c>
      <c r="AE1075" s="140">
        <f t="shared" si="247"/>
        <v>-4.5050351860320199E-2</v>
      </c>
    </row>
    <row r="1076" spans="1:31">
      <c r="A1076" s="168">
        <f>'Historical NAV'!A1076</f>
        <v>45527</v>
      </c>
      <c r="B1076" s="169">
        <f>'Historical NAV'!B1076</f>
        <v>63505365.288649</v>
      </c>
      <c r="C1076" s="169">
        <f>'Historical NAV'!C1076</f>
        <v>0</v>
      </c>
      <c r="D1076" s="169" t="e">
        <f>'Historical NAV'!#REF!</f>
        <v>#REF!</v>
      </c>
      <c r="E1076" s="169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2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38">
        <f t="shared" si="192"/>
        <v>1.7857142857142857E-4</v>
      </c>
      <c r="Y1076" s="135">
        <f t="shared" si="238"/>
        <v>5.3467802031403631E-2</v>
      </c>
      <c r="Z1076" s="135">
        <f t="shared" si="239"/>
        <v>0</v>
      </c>
      <c r="AA1076" s="135">
        <f t="shared" si="240"/>
        <v>0</v>
      </c>
      <c r="AB1076" s="140">
        <f t="shared" si="244"/>
        <v>3.9093417133770463</v>
      </c>
      <c r="AC1076" s="140">
        <f t="shared" si="245"/>
        <v>-8.2829475030829131E-2</v>
      </c>
      <c r="AD1076" s="140">
        <f t="shared" si="246"/>
        <v>-5.8907292672471731E-2</v>
      </c>
      <c r="AE1076" s="140">
        <f t="shared" si="247"/>
        <v>-4.5007847407431009E-2</v>
      </c>
    </row>
    <row r="1077" spans="1:31">
      <c r="A1077" s="168">
        <f>'Historical NAV'!A1077</f>
        <v>45530</v>
      </c>
      <c r="B1077" s="169">
        <f>'Historical NAV'!B1077</f>
        <v>62382833.512212202</v>
      </c>
      <c r="C1077" s="169">
        <f>'Historical NAV'!C1077</f>
        <v>0</v>
      </c>
      <c r="D1077" s="169" t="e">
        <f>'Historical NAV'!#REF!</f>
        <v>#REF!</v>
      </c>
      <c r="E1077" s="169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2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38">
        <f t="shared" si="192"/>
        <v>1.7857142857142857E-4</v>
      </c>
      <c r="Y1077" s="135">
        <f t="shared" si="238"/>
        <v>-1.9042879995125363E-2</v>
      </c>
      <c r="Z1077" s="135">
        <f t="shared" si="239"/>
        <v>-1.9042879995125363E-2</v>
      </c>
      <c r="AA1077" s="135">
        <f t="shared" si="240"/>
        <v>3.6263127850874572E-4</v>
      </c>
      <c r="AB1077" s="140">
        <f t="shared" si="244"/>
        <v>3.7436759589025037</v>
      </c>
      <c r="AC1077" s="140">
        <f t="shared" si="245"/>
        <v>-8.2259475874705237E-2</v>
      </c>
      <c r="AD1077" s="140">
        <f t="shared" si="246"/>
        <v>-5.8871122600067105E-2</v>
      </c>
      <c r="AE1077" s="140">
        <f t="shared" si="247"/>
        <v>-4.5056870580789943E-2</v>
      </c>
    </row>
    <row r="1078" spans="1:31">
      <c r="A1078" s="168">
        <f>'Historical NAV'!A1078</f>
        <v>45531</v>
      </c>
      <c r="B1078" s="169">
        <f>'Historical NAV'!B1078</f>
        <v>63190385.891591698</v>
      </c>
      <c r="C1078" s="169">
        <f>'Historical NAV'!C1078</f>
        <v>0</v>
      </c>
      <c r="D1078" s="169" t="e">
        <f>'Historical NAV'!#REF!</f>
        <v>#REF!</v>
      </c>
      <c r="E1078" s="169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2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38">
        <f t="shared" si="192"/>
        <v>1.7857142857142857E-4</v>
      </c>
      <c r="Y1078" s="135">
        <f t="shared" si="238"/>
        <v>1.2427667902085876E-2</v>
      </c>
      <c r="Z1078" s="135">
        <f t="shared" si="239"/>
        <v>0</v>
      </c>
      <c r="AA1078" s="135">
        <f t="shared" si="240"/>
        <v>0</v>
      </c>
      <c r="AB1078" s="140">
        <f t="shared" si="244"/>
        <v>3.8570892739632923</v>
      </c>
      <c r="AC1078" s="140">
        <f t="shared" si="245"/>
        <v>-8.2377214772152429E-2</v>
      </c>
      <c r="AD1078" s="140">
        <f t="shared" si="246"/>
        <v>-5.6245564607630881E-2</v>
      </c>
      <c r="AE1078" s="140">
        <f t="shared" si="247"/>
        <v>-4.5060119089349163E-2</v>
      </c>
    </row>
    <row r="1079" spans="1:31">
      <c r="A1079" s="168">
        <f>'Historical NAV'!A1079</f>
        <v>45532</v>
      </c>
      <c r="B1079" s="169">
        <f>'Historical NAV'!B1079</f>
        <v>61388535.955951601</v>
      </c>
      <c r="C1079" s="169">
        <f>'Historical NAV'!C1079</f>
        <v>0</v>
      </c>
      <c r="D1079" s="169" t="e">
        <f>'Historical NAV'!#REF!</f>
        <v>#REF!</v>
      </c>
      <c r="E1079" s="169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2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38">
        <f t="shared" si="192"/>
        <v>1.7857142857142857E-4</v>
      </c>
      <c r="Y1079" s="135">
        <f t="shared" si="238"/>
        <v>-2.8746245136674262E-2</v>
      </c>
      <c r="Z1079" s="135">
        <f t="shared" si="239"/>
        <v>-2.8746245136674262E-2</v>
      </c>
      <c r="AA1079" s="135">
        <f t="shared" si="240"/>
        <v>8.263466094577687E-4</v>
      </c>
      <c r="AB1079" s="140">
        <f t="shared" si="244"/>
        <v>3.6173606162878711</v>
      </c>
      <c r="AC1079" s="140">
        <f t="shared" si="245"/>
        <v>-8.3568706012672897E-2</v>
      </c>
      <c r="AD1079" s="140">
        <f t="shared" si="246"/>
        <v>-5.6790953558455343E-2</v>
      </c>
      <c r="AE1079" s="140">
        <f t="shared" si="247"/>
        <v>-4.5233875253420874E-2</v>
      </c>
    </row>
    <row r="1080" spans="1:31">
      <c r="A1080" s="168">
        <f>'Historical NAV'!A1080</f>
        <v>45533</v>
      </c>
      <c r="B1080" s="169">
        <f>'Historical NAV'!B1080</f>
        <v>60263866.115877703</v>
      </c>
      <c r="C1080" s="169">
        <f>'Historical NAV'!C1080</f>
        <v>0</v>
      </c>
      <c r="D1080" s="169" t="e">
        <f>'Historical NAV'!#REF!</f>
        <v>#REF!</v>
      </c>
      <c r="E1080" s="169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2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38">
        <f t="shared" si="192"/>
        <v>1.7857142857142857E-4</v>
      </c>
      <c r="Y1080" s="135">
        <f t="shared" si="238"/>
        <v>-1.848429484377449E-2</v>
      </c>
      <c r="Z1080" s="135">
        <f t="shared" si="239"/>
        <v>-1.848429484377449E-2</v>
      </c>
      <c r="AA1080" s="135">
        <f t="shared" si="240"/>
        <v>3.4166915587158816E-4</v>
      </c>
      <c r="AB1080" s="140">
        <f t="shared" si="244"/>
        <v>3.5866109384554599</v>
      </c>
      <c r="AC1080" s="140">
        <f t="shared" si="245"/>
        <v>-8.4542292353745024E-2</v>
      </c>
      <c r="AD1080" s="140">
        <f t="shared" si="246"/>
        <v>-5.6828539606446626E-2</v>
      </c>
      <c r="AE1080" s="140">
        <f t="shared" si="247"/>
        <v>-4.5340737375207704E-2</v>
      </c>
    </row>
    <row r="1081" spans="1:31">
      <c r="A1081" s="168">
        <f>'Historical NAV'!A1081</f>
        <v>45534</v>
      </c>
      <c r="B1081" s="169">
        <f>'Historical NAV'!B1081</f>
        <v>62205008.162722297</v>
      </c>
      <c r="C1081" s="169">
        <f>'Historical NAV'!C1081</f>
        <v>0</v>
      </c>
      <c r="D1081" s="169" t="e">
        <f>'Historical NAV'!#REF!</f>
        <v>#REF!</v>
      </c>
      <c r="E1081" s="169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2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38">
        <f t="shared" si="192"/>
        <v>1.7857142857142857E-4</v>
      </c>
      <c r="Y1081" s="135">
        <f t="shared" si="238"/>
        <v>2.9855477056872862E-2</v>
      </c>
      <c r="Z1081" s="135">
        <f t="shared" si="239"/>
        <v>0</v>
      </c>
      <c r="AA1081" s="135">
        <f t="shared" si="240"/>
        <v>0</v>
      </c>
      <c r="AB1081" s="140">
        <f t="shared" si="244"/>
        <v>3.9001302958829935</v>
      </c>
      <c r="AC1081" s="140">
        <f t="shared" si="245"/>
        <v>-7.6219139223493881E-2</v>
      </c>
      <c r="AD1081" s="140">
        <f t="shared" si="246"/>
        <v>-5.6730614389042949E-2</v>
      </c>
      <c r="AE1081" s="140">
        <f t="shared" si="247"/>
        <v>-4.5338271444016934E-2</v>
      </c>
    </row>
    <row r="1082" spans="1:31">
      <c r="A1082" s="168">
        <f>'Historical NAV'!A1082</f>
        <v>45537</v>
      </c>
      <c r="B1082" s="169">
        <f>'Historical NAV'!B1082</f>
        <v>61961389.694617704</v>
      </c>
      <c r="C1082" s="169">
        <f>'Historical NAV'!C1082</f>
        <v>0</v>
      </c>
      <c r="D1082" s="169" t="e">
        <f>'Historical NAV'!#REF!</f>
        <v>#REF!</v>
      </c>
      <c r="E1082" s="169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2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38">
        <f t="shared" si="192"/>
        <v>1.7857142857142857E-4</v>
      </c>
      <c r="Y1082" s="135">
        <f t="shared" si="238"/>
        <v>-4.2185560781545922E-3</v>
      </c>
      <c r="Z1082" s="135">
        <f t="shared" si="239"/>
        <v>-4.2185560781545922E-3</v>
      </c>
      <c r="AA1082" s="135">
        <f t="shared" si="240"/>
        <v>1.7796215384535054E-5</v>
      </c>
      <c r="AB1082" s="140">
        <f t="shared" si="244"/>
        <v>3.8282751745311696</v>
      </c>
      <c r="AC1082" s="140">
        <f t="shared" si="245"/>
        <v>-7.5692038524754285E-2</v>
      </c>
      <c r="AD1082" s="140">
        <f t="shared" si="246"/>
        <v>-5.6931425138863331E-2</v>
      </c>
      <c r="AE1082" s="140">
        <f t="shared" si="247"/>
        <v>-4.5359701100417274E-2</v>
      </c>
    </row>
    <row r="1083" spans="1:31">
      <c r="A1083" s="168">
        <f>'Historical NAV'!A1083</f>
        <v>45538</v>
      </c>
      <c r="B1083" s="169">
        <f>'Historical NAV'!B1083</f>
        <v>55698633.107094899</v>
      </c>
      <c r="C1083" s="169">
        <f>'Historical NAV'!C1083</f>
        <v>0</v>
      </c>
      <c r="D1083" s="169" t="e">
        <f>'Historical NAV'!#REF!</f>
        <v>#REF!</v>
      </c>
      <c r="E1083" s="169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2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38">
        <f t="shared" si="192"/>
        <v>1.7857142857142857E-4</v>
      </c>
      <c r="Y1083" s="135">
        <f t="shared" si="238"/>
        <v>-9.7918388068753567E-2</v>
      </c>
      <c r="Z1083" s="135">
        <f t="shared" si="239"/>
        <v>-9.7918388068753567E-2</v>
      </c>
      <c r="AA1083" s="135">
        <f t="shared" si="240"/>
        <v>9.5880107219830212E-3</v>
      </c>
      <c r="AB1083" s="140">
        <f t="shared" si="244"/>
        <v>2.6490403003554053</v>
      </c>
      <c r="AC1083" s="140">
        <f t="shared" si="245"/>
        <v>-8.1293453690408357E-2</v>
      </c>
      <c r="AD1083" s="140">
        <f t="shared" si="246"/>
        <v>-6.0090657275339722E-2</v>
      </c>
      <c r="AE1083" s="140">
        <f t="shared" si="247"/>
        <v>-4.6387708482222831E-2</v>
      </c>
    </row>
    <row r="1084" spans="1:31">
      <c r="A1084" s="168">
        <f>'Historical NAV'!A1084</f>
        <v>45539</v>
      </c>
      <c r="B1084" s="169">
        <f>'Historical NAV'!B1084</f>
        <v>54381510.365982004</v>
      </c>
      <c r="C1084" s="169">
        <f>'Historical NAV'!C1084</f>
        <v>0</v>
      </c>
      <c r="D1084" s="169" t="e">
        <f>'Historical NAV'!#REF!</f>
        <v>#REF!</v>
      </c>
      <c r="E1084" s="169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2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38">
        <f t="shared" si="192"/>
        <v>1.7857142857142857E-4</v>
      </c>
      <c r="Y1084" s="135">
        <f t="shared" si="238"/>
        <v>-2.3725219307544856E-2</v>
      </c>
      <c r="Z1084" s="135">
        <f t="shared" si="239"/>
        <v>-2.3725219307544856E-2</v>
      </c>
      <c r="AA1084" s="135">
        <f t="shared" si="240"/>
        <v>5.6288603119109925E-4</v>
      </c>
      <c r="AB1084" s="140">
        <f t="shared" si="244"/>
        <v>2.6122679799024429</v>
      </c>
      <c r="AC1084" s="140">
        <f t="shared" si="245"/>
        <v>-8.2563657637318807E-2</v>
      </c>
      <c r="AD1084" s="140">
        <f t="shared" si="246"/>
        <v>-6.0624928478363128E-2</v>
      </c>
      <c r="AE1084" s="140">
        <f t="shared" si="247"/>
        <v>-4.6521944789009402E-2</v>
      </c>
    </row>
    <row r="1085" spans="1:31">
      <c r="A1085" s="168">
        <f>'Historical NAV'!A1085</f>
        <v>45540</v>
      </c>
      <c r="B1085" s="169">
        <f>'Historical NAV'!B1085</f>
        <v>54434606.4776785</v>
      </c>
      <c r="C1085" s="169">
        <f>'Historical NAV'!C1085</f>
        <v>0</v>
      </c>
      <c r="D1085" s="169" t="e">
        <f>'Historical NAV'!#REF!</f>
        <v>#REF!</v>
      </c>
      <c r="E1085" s="169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2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38">
        <f t="shared" si="192"/>
        <v>1.7857142857142857E-4</v>
      </c>
      <c r="Y1085" s="135">
        <f t="shared" si="238"/>
        <v>-7.4311327555013945E-4</v>
      </c>
      <c r="Z1085" s="135">
        <f t="shared" si="239"/>
        <v>-7.4311327555013945E-4</v>
      </c>
      <c r="AA1085" s="135">
        <f t="shared" si="240"/>
        <v>5.5221734029885746E-7</v>
      </c>
      <c r="AB1085" s="140">
        <f t="shared" si="244"/>
        <v>2.5654704154498122</v>
      </c>
      <c r="AC1085" s="140">
        <f t="shared" si="245"/>
        <v>-8.2115074324885282E-2</v>
      </c>
      <c r="AD1085" s="140">
        <f t="shared" si="246"/>
        <v>-5.8451540901063859E-2</v>
      </c>
      <c r="AE1085" s="140">
        <f t="shared" si="247"/>
        <v>-4.6511958884328457E-2</v>
      </c>
    </row>
    <row r="1086" spans="1:31">
      <c r="A1086" s="168">
        <f>'Historical NAV'!A1086</f>
        <v>45541</v>
      </c>
      <c r="B1086" s="169">
        <f>'Historical NAV'!B1086</f>
        <v>50975553.849122301</v>
      </c>
      <c r="C1086" s="169">
        <f>'Historical NAV'!C1086</f>
        <v>0</v>
      </c>
      <c r="D1086" s="169" t="e">
        <f>'Historical NAV'!#REF!</f>
        <v>#REF!</v>
      </c>
      <c r="E1086" s="169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2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38">
        <f t="shared" si="192"/>
        <v>1.7857142857142857E-4</v>
      </c>
      <c r="Y1086" s="135">
        <f t="shared" ref="Y1086:Y1117" si="258">I1086-X1086</f>
        <v>-6.2411291158901934E-2</v>
      </c>
      <c r="Z1086" s="135">
        <f t="shared" ref="Z1086:Z1117" si="259">IF(Y1086&lt;0,Y1086,0)</f>
        <v>-6.2411291158901934E-2</v>
      </c>
      <c r="AA1086" s="135">
        <f t="shared" ref="AA1086:AA1117" si="260">Z1086^2</f>
        <v>3.8951692641212305E-3</v>
      </c>
      <c r="AB1086" s="140">
        <f t="shared" si="244"/>
        <v>1.8871611065765186</v>
      </c>
      <c r="AC1086" s="140">
        <f t="shared" si="245"/>
        <v>-8.1813522776300579E-2</v>
      </c>
      <c r="AD1086" s="140">
        <f t="shared" si="246"/>
        <v>-5.8998687158958174E-2</v>
      </c>
      <c r="AE1086" s="140">
        <f t="shared" si="247"/>
        <v>-4.6977794795915268E-2</v>
      </c>
    </row>
    <row r="1087" spans="1:31">
      <c r="A1087" s="168">
        <f>'Historical NAV'!A1087</f>
        <v>45544</v>
      </c>
      <c r="B1087" s="169">
        <f>'Historical NAV'!B1087</f>
        <v>52872142.811052501</v>
      </c>
      <c r="C1087" s="169">
        <f>'Historical NAV'!C1087</f>
        <v>0</v>
      </c>
      <c r="D1087" s="169" t="e">
        <f>'Historical NAV'!#REF!</f>
        <v>#REF!</v>
      </c>
      <c r="E1087" s="169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2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38">
        <f t="shared" si="192"/>
        <v>1.7857142857142857E-4</v>
      </c>
      <c r="Y1087" s="135">
        <f t="shared" si="258"/>
        <v>3.1981191205541215E-2</v>
      </c>
      <c r="Z1087" s="135">
        <f t="shared" si="259"/>
        <v>0</v>
      </c>
      <c r="AA1087" s="135">
        <f t="shared" si="260"/>
        <v>0</v>
      </c>
      <c r="AB1087" s="140">
        <f t="shared" si="244"/>
        <v>2.3902501981726205</v>
      </c>
      <c r="AC1087" s="140">
        <f t="shared" si="245"/>
        <v>-8.0809989966215995E-2</v>
      </c>
      <c r="AD1087" s="140">
        <f t="shared" si="246"/>
        <v>-5.8620784355047938E-2</v>
      </c>
      <c r="AE1087" s="140">
        <f t="shared" si="247"/>
        <v>-4.691864605074187E-2</v>
      </c>
    </row>
    <row r="1088" spans="1:31">
      <c r="A1088" s="168">
        <f>'Historical NAV'!A1088</f>
        <v>45545</v>
      </c>
      <c r="B1088" s="169">
        <f>'Historical NAV'!B1088</f>
        <v>53540814.445052102</v>
      </c>
      <c r="C1088" s="169">
        <f>'Historical NAV'!C1088</f>
        <v>0</v>
      </c>
      <c r="D1088" s="169" t="e">
        <f>'Historical NAV'!#REF!</f>
        <v>#REF!</v>
      </c>
      <c r="E1088" s="169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2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38">
        <f t="shared" si="192"/>
        <v>1.7857142857142857E-4</v>
      </c>
      <c r="Y1088" s="135">
        <f t="shared" si="258"/>
        <v>9.1808155319312631E-3</v>
      </c>
      <c r="Z1088" s="135">
        <f t="shared" si="259"/>
        <v>0</v>
      </c>
      <c r="AA1088" s="135">
        <f t="shared" si="260"/>
        <v>0</v>
      </c>
      <c r="AB1088" s="140">
        <f t="shared" ref="AB1088:AB1119" si="264">AVERAGE(Y835:Y1088)/AVERAGE(AA835:AA1088)</f>
        <v>2.4885481684427035</v>
      </c>
      <c r="AC1088" s="140">
        <f t="shared" ref="AC1088:AC1119" si="265">AVERAGE(I1057:I1088)-_xlfn.NORM.S.INV(0.95)*_xlfn.STDEV.S(I1057:I1088)</f>
        <v>-8.0948920311873451E-2</v>
      </c>
      <c r="AD1088" s="140">
        <f t="shared" ref="AD1088:AD1119" si="266">AVERAGE(I997:I1088)-_xlfn.NORM.S.INV(0.95)*_xlfn.STDEV.S(I997:I1088)</f>
        <v>-5.8106013378278816E-2</v>
      </c>
      <c r="AE1088" s="140">
        <f t="shared" ref="AE1088:AE1119" si="267">AVERAGE(I722:I1088)-_xlfn.NORM.S.INV(0.95)*_xlfn.STDEV.S(I722:I1088)</f>
        <v>-4.6861022240458024E-2</v>
      </c>
    </row>
    <row r="1089" spans="1:31">
      <c r="A1089" s="168">
        <f>'Historical NAV'!A1089</f>
        <v>45546</v>
      </c>
      <c r="B1089" s="169">
        <f>'Historical NAV'!B1089</f>
        <v>56818392.436094403</v>
      </c>
      <c r="C1089" s="169">
        <f>'Historical NAV'!C1089</f>
        <v>0</v>
      </c>
      <c r="D1089" s="169" t="e">
        <f>'Historical NAV'!#REF!</f>
        <v>#REF!</v>
      </c>
      <c r="E1089" s="169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2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38">
        <f t="shared" si="192"/>
        <v>1.7857142857142857E-4</v>
      </c>
      <c r="Y1089" s="135">
        <f t="shared" si="258"/>
        <v>5.5742978739759926E-2</v>
      </c>
      <c r="Z1089" s="135">
        <f t="shared" si="259"/>
        <v>0</v>
      </c>
      <c r="AA1089" s="135">
        <f t="shared" si="260"/>
        <v>0</v>
      </c>
      <c r="AB1089" s="140">
        <f t="shared" si="264"/>
        <v>2.9444731713010435</v>
      </c>
      <c r="AC1089" s="140">
        <f t="shared" si="265"/>
        <v>-8.0587619240226963E-2</v>
      </c>
      <c r="AD1089" s="140">
        <f t="shared" si="266"/>
        <v>-5.8155520867870472E-2</v>
      </c>
      <c r="AE1089" s="140">
        <f t="shared" si="267"/>
        <v>-4.6961799396271917E-2</v>
      </c>
    </row>
    <row r="1090" spans="1:31">
      <c r="A1090" s="168">
        <f>'Historical NAV'!A1090</f>
        <v>45547</v>
      </c>
      <c r="B1090" s="169">
        <f>'Historical NAV'!B1090</f>
        <v>58637478.353476003</v>
      </c>
      <c r="C1090" s="169">
        <f>'Historical NAV'!C1090</f>
        <v>0</v>
      </c>
      <c r="D1090" s="169" t="e">
        <f>'Historical NAV'!#REF!</f>
        <v>#REF!</v>
      </c>
      <c r="E1090" s="169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2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38">
        <f t="shared" si="192"/>
        <v>1.7857142857142857E-4</v>
      </c>
      <c r="Y1090" s="135">
        <f t="shared" si="258"/>
        <v>3.1465776471694323E-2</v>
      </c>
      <c r="Z1090" s="135">
        <f t="shared" si="259"/>
        <v>0</v>
      </c>
      <c r="AA1090" s="135">
        <f t="shared" si="260"/>
        <v>0</v>
      </c>
      <c r="AB1090" s="140">
        <f t="shared" si="264"/>
        <v>3.3905939773958362</v>
      </c>
      <c r="AC1090" s="140">
        <f t="shared" si="265"/>
        <v>-7.7991384482550372E-2</v>
      </c>
      <c r="AD1090" s="140">
        <f t="shared" si="266"/>
        <v>-5.7843680352686763E-2</v>
      </c>
      <c r="AE1090" s="140">
        <f t="shared" si="267"/>
        <v>-4.6855546847489812E-2</v>
      </c>
    </row>
    <row r="1091" spans="1:31">
      <c r="A1091" s="168">
        <f>'Historical NAV'!A1091</f>
        <v>45548</v>
      </c>
      <c r="B1091" s="169">
        <f>'Historical NAV'!B1091</f>
        <v>59971224.9107861</v>
      </c>
      <c r="C1091" s="169">
        <f>'Historical NAV'!C1091</f>
        <v>0</v>
      </c>
      <c r="D1091" s="169" t="e">
        <f>'Historical NAV'!#REF!</f>
        <v>#REF!</v>
      </c>
      <c r="E1091" s="169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2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38">
        <f t="shared" si="192"/>
        <v>1.7857142857142857E-4</v>
      </c>
      <c r="Y1091" s="135">
        <f t="shared" si="258"/>
        <v>2.1279130414016589E-2</v>
      </c>
      <c r="Z1091" s="135">
        <f t="shared" si="259"/>
        <v>0</v>
      </c>
      <c r="AA1091" s="135">
        <f t="shared" si="260"/>
        <v>0</v>
      </c>
      <c r="AB1091" s="140">
        <f t="shared" si="264"/>
        <v>3.8884018674255012</v>
      </c>
      <c r="AC1091" s="140">
        <f t="shared" si="265"/>
        <v>-7.5015887962226621E-2</v>
      </c>
      <c r="AD1091" s="140">
        <f t="shared" si="266"/>
        <v>-5.7693484732683972E-2</v>
      </c>
      <c r="AE1091" s="140">
        <f t="shared" si="267"/>
        <v>-4.6776561377989911E-2</v>
      </c>
    </row>
    <row r="1092" spans="1:31">
      <c r="A1092" s="168">
        <f>'Historical NAV'!A1092</f>
        <v>45551</v>
      </c>
      <c r="B1092" s="169">
        <f>'Historical NAV'!B1092</f>
        <v>59486150.511345498</v>
      </c>
      <c r="C1092" s="169">
        <f>'Historical NAV'!C1092</f>
        <v>0</v>
      </c>
      <c r="D1092" s="169" t="e">
        <f>'Historical NAV'!#REF!</f>
        <v>#REF!</v>
      </c>
      <c r="E1092" s="169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2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38">
        <f t="shared" si="192"/>
        <v>1.7857142857142857E-4</v>
      </c>
      <c r="Y1092" s="135">
        <f t="shared" si="258"/>
        <v>-9.5563375201800048E-3</v>
      </c>
      <c r="Z1092" s="135">
        <f t="shared" si="259"/>
        <v>-9.5563375201800048E-3</v>
      </c>
      <c r="AA1092" s="135">
        <f t="shared" si="260"/>
        <v>9.1323586799600128E-5</v>
      </c>
      <c r="AB1092" s="140">
        <f t="shared" si="264"/>
        <v>3.7783711840688219</v>
      </c>
      <c r="AC1092" s="140">
        <f t="shared" si="265"/>
        <v>-6.9472097092116575E-2</v>
      </c>
      <c r="AD1092" s="140">
        <f t="shared" si="266"/>
        <v>-5.7897063495441804E-2</v>
      </c>
      <c r="AE1092" s="140">
        <f t="shared" si="267"/>
        <v>-4.6821377244838418E-2</v>
      </c>
    </row>
    <row r="1093" spans="1:31">
      <c r="A1093" s="168">
        <f>'Historical NAV'!A1093</f>
        <v>45552</v>
      </c>
      <c r="B1093" s="169">
        <f>'Historical NAV'!B1093</f>
        <v>59580701.894372702</v>
      </c>
      <c r="C1093" s="169">
        <f>'Historical NAV'!C1093</f>
        <v>0</v>
      </c>
      <c r="D1093" s="169" t="e">
        <f>'Historical NAV'!#REF!</f>
        <v>#REF!</v>
      </c>
      <c r="E1093" s="169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2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38">
        <f t="shared" si="192"/>
        <v>1.7857142857142857E-4</v>
      </c>
      <c r="Y1093" s="135">
        <f t="shared" si="258"/>
        <v>7.4518784236547416E-4</v>
      </c>
      <c r="Z1093" s="135">
        <f t="shared" si="259"/>
        <v>0</v>
      </c>
      <c r="AA1093" s="135">
        <f t="shared" si="260"/>
        <v>0</v>
      </c>
      <c r="AB1093" s="140">
        <f t="shared" si="264"/>
        <v>3.7695540210233998</v>
      </c>
      <c r="AC1093" s="140">
        <f t="shared" si="265"/>
        <v>-6.5520482959989912E-2</v>
      </c>
      <c r="AD1093" s="140">
        <f t="shared" si="266"/>
        <v>-5.8019267826375391E-2</v>
      </c>
      <c r="AE1093" s="140">
        <f t="shared" si="267"/>
        <v>-4.6784782705443201E-2</v>
      </c>
    </row>
    <row r="1094" spans="1:31">
      <c r="A1094" s="168">
        <f>'Historical NAV'!A1094</f>
        <v>45553</v>
      </c>
      <c r="B1094" s="169">
        <f>'Historical NAV'!B1094</f>
        <v>58296770.351896398</v>
      </c>
      <c r="C1094" s="169">
        <f>'Historical NAV'!C1094</f>
        <v>-270000</v>
      </c>
      <c r="D1094" s="169" t="e">
        <f>'Historical NAV'!#REF!</f>
        <v>#REF!</v>
      </c>
      <c r="E1094" s="169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2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38">
        <f t="shared" si="192"/>
        <v>1.7857142857142857E-4</v>
      </c>
      <c r="Y1094" s="135">
        <f t="shared" si="258"/>
        <v>-1.7419073802937064E-2</v>
      </c>
      <c r="Z1094" s="135">
        <f t="shared" si="259"/>
        <v>-1.7419073802937064E-2</v>
      </c>
      <c r="AA1094" s="135">
        <f t="shared" si="260"/>
        <v>3.0342413215216833E-4</v>
      </c>
      <c r="AB1094" s="140">
        <f t="shared" si="264"/>
        <v>3.83258017074886</v>
      </c>
      <c r="AC1094" s="140">
        <f t="shared" si="265"/>
        <v>-5.5693781197476193E-2</v>
      </c>
      <c r="AD1094" s="140">
        <f t="shared" si="266"/>
        <v>-5.8232318570625351E-2</v>
      </c>
      <c r="AE1094" s="140">
        <f t="shared" si="267"/>
        <v>-4.6862129340926727E-2</v>
      </c>
    </row>
    <row r="1095" spans="1:31">
      <c r="A1095" s="168">
        <f>'Historical NAV'!A1095</f>
        <v>45554</v>
      </c>
      <c r="B1095" s="169">
        <f>'Historical NAV'!B1095</f>
        <v>62621199.177230798</v>
      </c>
      <c r="C1095" s="169">
        <f>'Historical NAV'!C1095</f>
        <v>0</v>
      </c>
      <c r="D1095" s="169" t="e">
        <f>'Historical NAV'!#REF!</f>
        <v>#REF!</v>
      </c>
      <c r="E1095" s="169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2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38">
        <f t="shared" si="192"/>
        <v>1.7857142857142857E-4</v>
      </c>
      <c r="Y1095" s="135">
        <f t="shared" si="258"/>
        <v>7.2656059713156598E-2</v>
      </c>
      <c r="Z1095" s="135">
        <f t="shared" si="259"/>
        <v>0</v>
      </c>
      <c r="AA1095" s="135">
        <f t="shared" si="260"/>
        <v>0</v>
      </c>
      <c r="AB1095" s="140">
        <f t="shared" si="264"/>
        <v>4.3363145887933756</v>
      </c>
      <c r="AC1095" s="140">
        <f t="shared" si="265"/>
        <v>-5.693228212450642E-2</v>
      </c>
      <c r="AD1095" s="140">
        <f t="shared" si="266"/>
        <v>-5.8838172363665106E-2</v>
      </c>
      <c r="AE1095" s="140">
        <f t="shared" si="267"/>
        <v>-4.7042129621126326E-2</v>
      </c>
    </row>
    <row r="1096" spans="1:31">
      <c r="A1096" s="168">
        <f>'Historical NAV'!A1096</f>
        <v>45555</v>
      </c>
      <c r="B1096" s="169">
        <f>'Historical NAV'!B1096</f>
        <v>62115518.523997501</v>
      </c>
      <c r="C1096" s="169">
        <f>'Historical NAV'!C1096</f>
        <v>0</v>
      </c>
      <c r="D1096" s="169" t="e">
        <f>'Historical NAV'!#REF!</f>
        <v>#REF!</v>
      </c>
      <c r="E1096" s="169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2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38">
        <f t="shared" si="192"/>
        <v>1.7857142857142857E-4</v>
      </c>
      <c r="Y1096" s="135">
        <f t="shared" si="258"/>
        <v>-9.4100289993087546E-3</v>
      </c>
      <c r="Z1096" s="135">
        <f t="shared" si="259"/>
        <v>-9.4100289993087546E-3</v>
      </c>
      <c r="AA1096" s="135">
        <f t="shared" si="260"/>
        <v>8.8548645767831725E-5</v>
      </c>
      <c r="AB1096" s="140">
        <f t="shared" si="264"/>
        <v>4.1995929926401372</v>
      </c>
      <c r="AC1096" s="140">
        <f t="shared" si="265"/>
        <v>-5.5602613618193734E-2</v>
      </c>
      <c r="AD1096" s="140">
        <f t="shared" si="266"/>
        <v>-5.8908552659817343E-2</v>
      </c>
      <c r="AE1096" s="140">
        <f t="shared" si="267"/>
        <v>-4.7096708314048122E-2</v>
      </c>
    </row>
    <row r="1097" spans="1:31">
      <c r="A1097" s="168">
        <f>'Historical NAV'!A1097</f>
        <v>45558</v>
      </c>
      <c r="B1097" s="169">
        <f>'Historical NAV'!B1097</f>
        <v>62521188.067773402</v>
      </c>
      <c r="C1097" s="169">
        <f>'Historical NAV'!C1097</f>
        <v>0</v>
      </c>
      <c r="D1097" s="169" t="e">
        <f>'Historical NAV'!#REF!</f>
        <v>#REF!</v>
      </c>
      <c r="E1097" s="169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2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38">
        <f t="shared" si="192"/>
        <v>1.7857142857142857E-4</v>
      </c>
      <c r="Y1097" s="135">
        <f t="shared" si="258"/>
        <v>5.3290209075326769E-3</v>
      </c>
      <c r="Z1097" s="135">
        <f t="shared" si="259"/>
        <v>0</v>
      </c>
      <c r="AA1097" s="135">
        <f t="shared" si="260"/>
        <v>0</v>
      </c>
      <c r="AB1097" s="140">
        <f t="shared" si="264"/>
        <v>4.2668457030502003</v>
      </c>
      <c r="AC1097" s="140">
        <f t="shared" si="265"/>
        <v>-5.323608151848512E-2</v>
      </c>
      <c r="AD1097" s="140">
        <f t="shared" si="266"/>
        <v>-5.869292436845916E-2</v>
      </c>
      <c r="AE1097" s="140">
        <f t="shared" si="267"/>
        <v>-4.7057923069205192E-2</v>
      </c>
    </row>
    <row r="1098" spans="1:31">
      <c r="A1098" s="168">
        <f>'Historical NAV'!A1098</f>
        <v>45559</v>
      </c>
      <c r="B1098" s="169">
        <f>'Historical NAV'!B1098</f>
        <v>65022483.825473301</v>
      </c>
      <c r="C1098" s="169">
        <f>'Historical NAV'!C1098</f>
        <v>0</v>
      </c>
      <c r="D1098" s="169" t="e">
        <f>'Historical NAV'!#REF!</f>
        <v>#REF!</v>
      </c>
      <c r="E1098" s="169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2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38">
        <f t="shared" si="192"/>
        <v>1.7857142857142857E-4</v>
      </c>
      <c r="Y1098" s="135">
        <f t="shared" si="258"/>
        <v>3.8927145581309636E-2</v>
      </c>
      <c r="Z1098" s="135">
        <f t="shared" si="259"/>
        <v>0</v>
      </c>
      <c r="AA1098" s="135">
        <f t="shared" si="260"/>
        <v>0</v>
      </c>
      <c r="AB1098" s="140">
        <f t="shared" si="264"/>
        <v>4.5372379505738527</v>
      </c>
      <c r="AC1098" s="140">
        <f t="shared" si="265"/>
        <v>-5.3195327908712439E-2</v>
      </c>
      <c r="AD1098" s="140">
        <f t="shared" si="266"/>
        <v>-5.8662059423897947E-2</v>
      </c>
      <c r="AE1098" s="140">
        <f t="shared" si="267"/>
        <v>-4.7008696158986368E-2</v>
      </c>
    </row>
    <row r="1099" spans="1:31">
      <c r="A1099" s="168">
        <f>'Historical NAV'!A1099</f>
        <v>45560</v>
      </c>
      <c r="B1099" s="169">
        <f>'Historical NAV'!B1099</f>
        <v>65068145.0645753</v>
      </c>
      <c r="C1099" s="169">
        <f>'Historical NAV'!C1099</f>
        <v>0</v>
      </c>
      <c r="D1099" s="169" t="e">
        <f>'Historical NAV'!#REF!</f>
        <v>#REF!</v>
      </c>
      <c r="E1099" s="169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2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38">
        <f t="shared" si="192"/>
        <v>1.7857142857142857E-4</v>
      </c>
      <c r="Y1099" s="135">
        <f t="shared" si="258"/>
        <v>1.5723988073965622E-6</v>
      </c>
      <c r="Z1099" s="135">
        <f t="shared" si="259"/>
        <v>0</v>
      </c>
      <c r="AA1099" s="135">
        <f t="shared" si="260"/>
        <v>0</v>
      </c>
      <c r="AB1099" s="140">
        <f t="shared" si="264"/>
        <v>4.8482204749879596</v>
      </c>
      <c r="AC1099" s="140">
        <f t="shared" si="265"/>
        <v>-5.3654482600558183E-2</v>
      </c>
      <c r="AD1099" s="140">
        <f t="shared" si="266"/>
        <v>-5.8784111418295724E-2</v>
      </c>
      <c r="AE1099" s="140">
        <f t="shared" si="267"/>
        <v>-4.7021566858851269E-2</v>
      </c>
    </row>
    <row r="1100" spans="1:31">
      <c r="A1100" s="168">
        <f>'Historical NAV'!A1100</f>
        <v>45561</v>
      </c>
      <c r="B1100" s="169">
        <f>'Historical NAV'!B1100</f>
        <v>66938914.518993497</v>
      </c>
      <c r="C1100" s="169">
        <f>'Historical NAV'!C1100</f>
        <v>0</v>
      </c>
      <c r="D1100" s="169" t="e">
        <f>'Historical NAV'!#REF!</f>
        <v>#REF!</v>
      </c>
      <c r="E1100" s="169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2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38">
        <f t="shared" si="192"/>
        <v>1.7857142857142857E-4</v>
      </c>
      <c r="Y1100" s="135">
        <f t="shared" si="258"/>
        <v>2.7348028916968758E-2</v>
      </c>
      <c r="Z1100" s="135">
        <f t="shared" si="259"/>
        <v>0</v>
      </c>
      <c r="AA1100" s="135">
        <f t="shared" si="260"/>
        <v>0</v>
      </c>
      <c r="AB1100" s="140">
        <f t="shared" si="264"/>
        <v>4.8619732334680377</v>
      </c>
      <c r="AC1100" s="140">
        <f t="shared" si="265"/>
        <v>-5.2958888923267777E-2</v>
      </c>
      <c r="AD1100" s="140">
        <f t="shared" si="266"/>
        <v>-5.8650489929851932E-2</v>
      </c>
      <c r="AE1100" s="140">
        <f t="shared" si="267"/>
        <v>-4.7023711839797526E-2</v>
      </c>
    </row>
    <row r="1101" spans="1:31">
      <c r="A1101" s="168">
        <f>'Historical NAV'!A1101</f>
        <v>45562</v>
      </c>
      <c r="B1101" s="169">
        <f>'Historical NAV'!B1101</f>
        <v>65600574.063981697</v>
      </c>
      <c r="C1101" s="169">
        <f>'Historical NAV'!C1101</f>
        <v>0</v>
      </c>
      <c r="D1101" s="169" t="e">
        <f>'Historical NAV'!#REF!</f>
        <v>#REF!</v>
      </c>
      <c r="E1101" s="169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2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38">
        <f t="shared" si="192"/>
        <v>1.7857142857142857E-4</v>
      </c>
      <c r="Y1101" s="135">
        <f t="shared" si="258"/>
        <v>-2.1773343996950013E-2</v>
      </c>
      <c r="Z1101" s="135">
        <f t="shared" si="259"/>
        <v>-2.1773343996950013E-2</v>
      </c>
      <c r="AA1101" s="135">
        <f t="shared" si="260"/>
        <v>4.7407850880951916E-4</v>
      </c>
      <c r="AB1101" s="140">
        <f t="shared" si="264"/>
        <v>4.7569514404893329</v>
      </c>
      <c r="AC1101" s="140">
        <f t="shared" si="265"/>
        <v>-5.4218875307107152E-2</v>
      </c>
      <c r="AD1101" s="140">
        <f t="shared" si="266"/>
        <v>-5.8533960518821981E-2</v>
      </c>
      <c r="AE1101" s="140">
        <f t="shared" si="267"/>
        <v>-4.696826106422565E-2</v>
      </c>
    </row>
    <row r="1102" spans="1:31">
      <c r="A1102" s="168">
        <f>'Historical NAV'!A1102</f>
        <v>45565</v>
      </c>
      <c r="B1102" s="169">
        <f>'Historical NAV'!B1102</f>
        <v>65466153.520501398</v>
      </c>
      <c r="C1102" s="169">
        <f>'Historical NAV'!C1102</f>
        <v>0</v>
      </c>
      <c r="D1102" s="169" t="e">
        <f>'Historical NAV'!#REF!</f>
        <v>#REF!</v>
      </c>
      <c r="E1102" s="169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2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38">
        <f t="shared" si="192"/>
        <v>1.7857142857142857E-4</v>
      </c>
      <c r="Y1102" s="135">
        <f t="shared" si="258"/>
        <v>-3.7113571821574529E-3</v>
      </c>
      <c r="Z1102" s="135">
        <f t="shared" si="259"/>
        <v>-3.7113571821574529E-3</v>
      </c>
      <c r="AA1102" s="135">
        <f t="shared" si="260"/>
        <v>1.377417213355171E-5</v>
      </c>
      <c r="AB1102" s="140">
        <f t="shared" si="264"/>
        <v>4.44358786189715</v>
      </c>
      <c r="AC1102" s="140">
        <f t="shared" si="265"/>
        <v>-5.4142644829918284E-2</v>
      </c>
      <c r="AD1102" s="140">
        <f t="shared" si="266"/>
        <v>-5.8426803814530623E-2</v>
      </c>
      <c r="AE1102" s="140">
        <f t="shared" si="267"/>
        <v>-4.7006810318784648E-2</v>
      </c>
    </row>
    <row r="1103" spans="1:31">
      <c r="A1103" s="168">
        <f>'Historical NAV'!A1103</f>
        <v>45566</v>
      </c>
      <c r="B1103" s="169">
        <f>'Historical NAV'!B1103</f>
        <v>63233929.359802604</v>
      </c>
      <c r="C1103" s="169">
        <f>'Historical NAV'!C1103</f>
        <v>0</v>
      </c>
      <c r="D1103" s="169" t="e">
        <f>'Historical NAV'!#REF!</f>
        <v>#REF!</v>
      </c>
      <c r="E1103" s="169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2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38">
        <f t="shared" si="192"/>
        <v>1.7857142857142857E-4</v>
      </c>
      <c r="Y1103" s="135">
        <f t="shared" si="258"/>
        <v>-3.2548569920008132E-2</v>
      </c>
      <c r="Z1103" s="135">
        <f t="shared" si="259"/>
        <v>-3.2548569920008132E-2</v>
      </c>
      <c r="AA1103" s="135">
        <f t="shared" si="260"/>
        <v>1.0594094038376581E-3</v>
      </c>
      <c r="AB1103" s="140">
        <f t="shared" si="264"/>
        <v>4.1164044925134213</v>
      </c>
      <c r="AC1103" s="140">
        <f t="shared" si="265"/>
        <v>-5.6430597947169495E-2</v>
      </c>
      <c r="AD1103" s="140">
        <f t="shared" si="266"/>
        <v>-5.9197727643445053E-2</v>
      </c>
      <c r="AE1103" s="140">
        <f t="shared" si="267"/>
        <v>-4.7150719046742048E-2</v>
      </c>
    </row>
    <row r="1104" spans="1:31">
      <c r="A1104" s="168">
        <f>'Historical NAV'!A1104</f>
        <v>45567</v>
      </c>
      <c r="B1104" s="169">
        <f>'Historical NAV'!B1104</f>
        <v>64994249.600867599</v>
      </c>
      <c r="C1104" s="169">
        <f>'Historical NAV'!C1104</f>
        <v>0</v>
      </c>
      <c r="D1104" s="169" t="e">
        <f>'Historical NAV'!#REF!</f>
        <v>#REF!</v>
      </c>
      <c r="E1104" s="169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2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38">
        <f t="shared" si="192"/>
        <v>1.7857142857142857E-4</v>
      </c>
      <c r="Y1104" s="135">
        <f t="shared" si="258"/>
        <v>2.6262970287921628E-2</v>
      </c>
      <c r="Z1104" s="135">
        <f t="shared" si="259"/>
        <v>0</v>
      </c>
      <c r="AA1104" s="135">
        <f t="shared" si="260"/>
        <v>0</v>
      </c>
      <c r="AB1104" s="140">
        <f t="shared" si="264"/>
        <v>4.2528556634446089</v>
      </c>
      <c r="AC1104" s="140">
        <f t="shared" si="265"/>
        <v>-5.6340164933601923E-2</v>
      </c>
      <c r="AD1104" s="140">
        <f t="shared" si="266"/>
        <v>-5.9030425703390753E-2</v>
      </c>
      <c r="AE1104" s="140">
        <f t="shared" si="267"/>
        <v>-4.7118238916075118E-2</v>
      </c>
    </row>
    <row r="1105" spans="1:31">
      <c r="A1105" s="168">
        <f>'Historical NAV'!A1105</f>
        <v>45568</v>
      </c>
      <c r="B1105" s="169">
        <f>'Historical NAV'!B1105</f>
        <v>65768492.211809203</v>
      </c>
      <c r="C1105" s="169">
        <f>'Historical NAV'!C1105</f>
        <v>0</v>
      </c>
      <c r="D1105" s="169" t="e">
        <f>'Historical NAV'!#REF!</f>
        <v>#REF!</v>
      </c>
      <c r="E1105" s="169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2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38">
        <f t="shared" si="192"/>
        <v>1.7857142857142857E-4</v>
      </c>
      <c r="Y1105" s="135">
        <f t="shared" si="258"/>
        <v>1.1471966820453847E-2</v>
      </c>
      <c r="Z1105" s="135">
        <f t="shared" si="259"/>
        <v>0</v>
      </c>
      <c r="AA1105" s="135">
        <f t="shared" si="260"/>
        <v>0</v>
      </c>
      <c r="AB1105" s="140">
        <f t="shared" si="264"/>
        <v>4.2591724902519301</v>
      </c>
      <c r="AC1105" s="140">
        <f t="shared" si="265"/>
        <v>-5.488487077498818E-2</v>
      </c>
      <c r="AD1105" s="140">
        <f t="shared" si="266"/>
        <v>-5.9063412885601435E-2</v>
      </c>
      <c r="AE1105" s="140">
        <f t="shared" si="267"/>
        <v>-4.7122140252833407E-2</v>
      </c>
    </row>
    <row r="1106" spans="1:31">
      <c r="A1106" s="168">
        <f>'Historical NAV'!A1106</f>
        <v>45569</v>
      </c>
      <c r="B1106" s="169">
        <f>'Historical NAV'!B1106</f>
        <v>68053355.274336606</v>
      </c>
      <c r="C1106" s="169">
        <f>'Historical NAV'!C1106</f>
        <v>0</v>
      </c>
      <c r="D1106" s="169" t="e">
        <f>'Historical NAV'!#REF!</f>
        <v>#REF!</v>
      </c>
      <c r="E1106" s="169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2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38">
        <f t="shared" si="192"/>
        <v>1.7857142857142857E-4</v>
      </c>
      <c r="Y1106" s="135">
        <f t="shared" si="258"/>
        <v>3.1225174697701332E-2</v>
      </c>
      <c r="Z1106" s="135">
        <f t="shared" si="259"/>
        <v>0</v>
      </c>
      <c r="AA1106" s="135">
        <f t="shared" si="260"/>
        <v>0</v>
      </c>
      <c r="AB1106" s="140">
        <f t="shared" si="264"/>
        <v>4.5503824736770753</v>
      </c>
      <c r="AC1106" s="140">
        <f t="shared" si="265"/>
        <v>-5.4889260468411527E-2</v>
      </c>
      <c r="AD1106" s="140">
        <f t="shared" si="266"/>
        <v>-5.8439960202495374E-2</v>
      </c>
      <c r="AE1106" s="140">
        <f t="shared" si="267"/>
        <v>-4.7059957995489357E-2</v>
      </c>
    </row>
    <row r="1107" spans="1:31">
      <c r="A1107" s="168">
        <f>'Historical NAV'!A1107</f>
        <v>45572</v>
      </c>
      <c r="B1107" s="169">
        <f>'Historical NAV'!B1107</f>
        <v>67645256.446463093</v>
      </c>
      <c r="C1107" s="169">
        <f>'Historical NAV'!C1107</f>
        <v>0</v>
      </c>
      <c r="D1107" s="169" t="e">
        <f>'Historical NAV'!#REF!</f>
        <v>#REF!</v>
      </c>
      <c r="E1107" s="169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2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38">
        <f t="shared" si="192"/>
        <v>1.7857142857142857E-4</v>
      </c>
      <c r="Y1107" s="135">
        <f t="shared" si="258"/>
        <v>-5.232848568720359E-3</v>
      </c>
      <c r="Z1107" s="135">
        <f t="shared" si="259"/>
        <v>-5.232848568720359E-3</v>
      </c>
      <c r="AA1107" s="135">
        <f t="shared" si="260"/>
        <v>2.7382704143158711E-5</v>
      </c>
      <c r="AB1107" s="140">
        <f t="shared" si="264"/>
        <v>4.6680629180148934</v>
      </c>
      <c r="AC1107" s="140">
        <f t="shared" si="265"/>
        <v>-5.2798677631578882E-2</v>
      </c>
      <c r="AD1107" s="140">
        <f t="shared" si="266"/>
        <v>-5.8110472087483662E-2</v>
      </c>
      <c r="AE1107" s="140">
        <f t="shared" si="267"/>
        <v>-4.7061145924597952E-2</v>
      </c>
    </row>
    <row r="1108" spans="1:31">
      <c r="A1108" s="168">
        <f>'Historical NAV'!A1108</f>
        <v>45573</v>
      </c>
      <c r="B1108" s="169">
        <f>'Historical NAV'!B1108</f>
        <v>68642659.184191197</v>
      </c>
      <c r="C1108" s="169">
        <f>'Historical NAV'!C1108</f>
        <v>0</v>
      </c>
      <c r="D1108" s="169" t="e">
        <f>'Historical NAV'!#REF!</f>
        <v>#REF!</v>
      </c>
      <c r="E1108" s="169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2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38">
        <f t="shared" si="192"/>
        <v>1.7857142857142857E-4</v>
      </c>
      <c r="Y1108" s="135">
        <f t="shared" si="258"/>
        <v>1.5751331484590587E-2</v>
      </c>
      <c r="Z1108" s="135">
        <f t="shared" si="259"/>
        <v>0</v>
      </c>
      <c r="AA1108" s="135">
        <f t="shared" si="260"/>
        <v>0</v>
      </c>
      <c r="AB1108" s="140">
        <f t="shared" si="264"/>
        <v>4.664006067834376</v>
      </c>
      <c r="AC1108" s="140">
        <f t="shared" si="265"/>
        <v>-5.2076009456781244E-2</v>
      </c>
      <c r="AD1108" s="140">
        <f t="shared" si="266"/>
        <v>-5.8079219179031354E-2</v>
      </c>
      <c r="AE1108" s="140">
        <f t="shared" si="267"/>
        <v>-4.70589209065242E-2</v>
      </c>
    </row>
    <row r="1109" spans="1:31">
      <c r="A1109" s="168">
        <f>'Historical NAV'!A1109</f>
        <v>45574</v>
      </c>
      <c r="B1109" s="169">
        <f>'Historical NAV'!B1109</f>
        <v>69303142.322780207</v>
      </c>
      <c r="C1109" s="169">
        <f>'Historical NAV'!C1109</f>
        <v>0</v>
      </c>
      <c r="D1109" s="169" t="e">
        <f>'Historical NAV'!#REF!</f>
        <v>#REF!</v>
      </c>
      <c r="E1109" s="169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2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38">
        <f t="shared" si="192"/>
        <v>1.7857142857142857E-4</v>
      </c>
      <c r="Y1109" s="135">
        <f t="shared" si="258"/>
        <v>7.4730796704869989E-3</v>
      </c>
      <c r="Z1109" s="135">
        <f t="shared" si="259"/>
        <v>0</v>
      </c>
      <c r="AA1109" s="135">
        <f t="shared" si="260"/>
        <v>0</v>
      </c>
      <c r="AB1109" s="140">
        <f t="shared" si="264"/>
        <v>4.7737283557842503</v>
      </c>
      <c r="AC1109" s="140">
        <f t="shared" si="265"/>
        <v>-5.0893439021775219E-2</v>
      </c>
      <c r="AD1109" s="140">
        <f t="shared" si="266"/>
        <v>-5.81412288119693E-2</v>
      </c>
      <c r="AE1109" s="140">
        <f t="shared" si="267"/>
        <v>-4.7061130696721923E-2</v>
      </c>
    </row>
    <row r="1110" spans="1:31">
      <c r="A1110" s="168">
        <f>'Historical NAV'!A1110</f>
        <v>45575</v>
      </c>
      <c r="B1110" s="169">
        <f>'Historical NAV'!B1110</f>
        <v>69906175.585444197</v>
      </c>
      <c r="C1110" s="169">
        <f>'Historical NAV'!C1110</f>
        <v>0</v>
      </c>
      <c r="D1110" s="169" t="e">
        <f>'Historical NAV'!#REF!</f>
        <v>#REF!</v>
      </c>
      <c r="E1110" s="169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2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38">
        <f t="shared" si="192"/>
        <v>1.7857142857142857E-4</v>
      </c>
      <c r="Y1110" s="135">
        <f t="shared" si="258"/>
        <v>7.4653723365853738E-3</v>
      </c>
      <c r="Z1110" s="135">
        <f t="shared" si="259"/>
        <v>0</v>
      </c>
      <c r="AA1110" s="135">
        <f t="shared" si="260"/>
        <v>0</v>
      </c>
      <c r="AB1110" s="140">
        <f t="shared" si="264"/>
        <v>5.0367560512855176</v>
      </c>
      <c r="AC1110" s="140">
        <f t="shared" si="265"/>
        <v>-5.0991435932921533E-2</v>
      </c>
      <c r="AD1110" s="140">
        <f t="shared" si="266"/>
        <v>-5.7658004917821908E-2</v>
      </c>
      <c r="AE1110" s="140">
        <f t="shared" si="267"/>
        <v>-4.6993177647604682E-2</v>
      </c>
    </row>
    <row r="1111" spans="1:31">
      <c r="A1111" s="168">
        <f>'Historical NAV'!A1111</f>
        <v>45576</v>
      </c>
      <c r="B1111" s="169">
        <f>'Historical NAV'!B1111</f>
        <v>71568160.597763598</v>
      </c>
      <c r="C1111" s="169">
        <f>'Historical NAV'!C1111</f>
        <v>0</v>
      </c>
      <c r="D1111" s="169" t="e">
        <f>'Historical NAV'!#REF!</f>
        <v>#REF!</v>
      </c>
      <c r="E1111" s="169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2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38">
        <f t="shared" si="192"/>
        <v>1.7857142857142857E-4</v>
      </c>
      <c r="Y1111" s="135">
        <f t="shared" si="258"/>
        <v>2.2132410101423115E-2</v>
      </c>
      <c r="Z1111" s="135">
        <f t="shared" si="259"/>
        <v>0</v>
      </c>
      <c r="AA1111" s="135">
        <f t="shared" si="260"/>
        <v>0</v>
      </c>
      <c r="AB1111" s="140">
        <f t="shared" si="264"/>
        <v>5.3627730124458637</v>
      </c>
      <c r="AC1111" s="140">
        <f t="shared" si="265"/>
        <v>-4.8833623105396837E-2</v>
      </c>
      <c r="AD1111" s="140">
        <f t="shared" si="266"/>
        <v>-5.7533964458758198E-2</v>
      </c>
      <c r="AE1111" s="140">
        <f t="shared" si="267"/>
        <v>-4.6953597016962542E-2</v>
      </c>
    </row>
    <row r="1112" spans="1:31">
      <c r="A1112" s="168">
        <f>'Historical NAV'!A1112</f>
        <v>45579</v>
      </c>
      <c r="B1112" s="169">
        <f>'Historical NAV'!B1112</f>
        <v>73318170.655941799</v>
      </c>
      <c r="C1112" s="169">
        <f>'Historical NAV'!C1112</f>
        <v>0</v>
      </c>
      <c r="D1112" s="169" t="e">
        <f>'Historical NAV'!#REF!</f>
        <v>#REF!</v>
      </c>
      <c r="E1112" s="169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2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38">
        <f t="shared" si="192"/>
        <v>1.7857142857142857E-4</v>
      </c>
      <c r="Y1112" s="135">
        <f t="shared" si="258"/>
        <v>2.1989095239499643E-2</v>
      </c>
      <c r="Z1112" s="135">
        <f t="shared" si="259"/>
        <v>0</v>
      </c>
      <c r="AA1112" s="135">
        <f t="shared" si="260"/>
        <v>0</v>
      </c>
      <c r="AB1112" s="140">
        <f t="shared" si="264"/>
        <v>5.8060699984739932</v>
      </c>
      <c r="AC1112" s="140">
        <f t="shared" si="265"/>
        <v>-4.7354700870164287E-2</v>
      </c>
      <c r="AD1112" s="140">
        <f t="shared" si="266"/>
        <v>-5.7443241222111453E-2</v>
      </c>
      <c r="AE1112" s="140">
        <f t="shared" si="267"/>
        <v>-4.6886085469759878E-2</v>
      </c>
    </row>
    <row r="1113" spans="1:31">
      <c r="A1113" s="168">
        <f>'Historical NAV'!A1113</f>
        <v>45580</v>
      </c>
      <c r="B1113" s="169">
        <f>'Historical NAV'!B1113</f>
        <v>69786815.498322502</v>
      </c>
      <c r="C1113" s="169">
        <f>'Historical NAV'!C1113</f>
        <v>0</v>
      </c>
      <c r="D1113" s="169" t="e">
        <f>'Historical NAV'!#REF!</f>
        <v>#REF!</v>
      </c>
      <c r="E1113" s="169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2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38">
        <f t="shared" si="192"/>
        <v>1.7857142857142857E-4</v>
      </c>
      <c r="Y1113" s="135">
        <f t="shared" si="258"/>
        <v>-4.6525576505462463E-2</v>
      </c>
      <c r="Z1113" s="135">
        <f t="shared" si="259"/>
        <v>-4.6525576505462463E-2</v>
      </c>
      <c r="AA1113" s="135">
        <f t="shared" si="260"/>
        <v>2.1646292691656407E-3</v>
      </c>
      <c r="AB1113" s="140">
        <f t="shared" si="264"/>
        <v>5.3330261475358167</v>
      </c>
      <c r="AC1113" s="140">
        <f t="shared" si="265"/>
        <v>-5.1318051813485165E-2</v>
      </c>
      <c r="AD1113" s="140">
        <f t="shared" si="266"/>
        <v>-5.8272338783609476E-2</v>
      </c>
      <c r="AE1113" s="140">
        <f t="shared" si="267"/>
        <v>-4.7218339481544989E-2</v>
      </c>
    </row>
    <row r="1114" spans="1:31">
      <c r="A1114" s="168">
        <f>'Historical NAV'!A1114</f>
        <v>45581</v>
      </c>
      <c r="B1114" s="169">
        <f>'Historical NAV'!B1114</f>
        <v>71405431.660173804</v>
      </c>
      <c r="C1114" s="169">
        <f>'Historical NAV'!C1114</f>
        <v>0</v>
      </c>
      <c r="D1114" s="169" t="e">
        <f>'Historical NAV'!#REF!</f>
        <v>#REF!</v>
      </c>
      <c r="E1114" s="169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2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38">
        <f t="shared" si="192"/>
        <v>1.7857142857142857E-4</v>
      </c>
      <c r="Y1114" s="135">
        <f t="shared" si="258"/>
        <v>2.2267652269498811E-2</v>
      </c>
      <c r="Z1114" s="135">
        <f t="shared" si="259"/>
        <v>0</v>
      </c>
      <c r="AA1114" s="135">
        <f t="shared" si="260"/>
        <v>0</v>
      </c>
      <c r="AB1114" s="140">
        <f t="shared" si="264"/>
        <v>5.3597118329609135</v>
      </c>
      <c r="AC1114" s="140">
        <f t="shared" si="265"/>
        <v>-5.0717344451080996E-2</v>
      </c>
      <c r="AD1114" s="140">
        <f t="shared" si="266"/>
        <v>-5.8235226993673526E-2</v>
      </c>
      <c r="AE1114" s="140">
        <f t="shared" si="267"/>
        <v>-4.7217960416130619E-2</v>
      </c>
    </row>
    <row r="1115" spans="1:31">
      <c r="A1115" s="168">
        <f>'Historical NAV'!A1115</f>
        <v>45582</v>
      </c>
      <c r="B1115" s="169">
        <f>'Historical NAV'!B1115</f>
        <v>73233905.644602194</v>
      </c>
      <c r="C1115" s="169">
        <f>'Historical NAV'!C1115</f>
        <v>0</v>
      </c>
      <c r="D1115" s="169" t="e">
        <f>'Historical NAV'!#REF!</f>
        <v>#REF!</v>
      </c>
      <c r="E1115" s="169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2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38">
        <f t="shared" si="192"/>
        <v>1.7857142857142857E-4</v>
      </c>
      <c r="Y1115" s="135">
        <f t="shared" si="258"/>
        <v>2.5119006394711967E-2</v>
      </c>
      <c r="Z1115" s="135">
        <f t="shared" si="259"/>
        <v>0</v>
      </c>
      <c r="AA1115" s="135">
        <f t="shared" si="260"/>
        <v>0</v>
      </c>
      <c r="AB1115" s="140">
        <f t="shared" si="264"/>
        <v>5.9888842156051911</v>
      </c>
      <c r="AC1115" s="140">
        <f t="shared" si="265"/>
        <v>-3.7850824893502173E-2</v>
      </c>
      <c r="AD1115" s="140">
        <f t="shared" si="266"/>
        <v>-5.799885863804137E-2</v>
      </c>
      <c r="AE1115" s="140">
        <f t="shared" si="267"/>
        <v>-4.7164999878955255E-2</v>
      </c>
    </row>
    <row r="1116" spans="1:31">
      <c r="A1116" s="168">
        <f>'Historical NAV'!A1116</f>
        <v>45583</v>
      </c>
      <c r="B1116" s="169">
        <f>'Historical NAV'!B1116</f>
        <v>74201919.757220402</v>
      </c>
      <c r="C1116" s="169">
        <f>'Historical NAV'!C1116</f>
        <v>0</v>
      </c>
      <c r="D1116" s="169" t="e">
        <f>'Historical NAV'!#REF!</f>
        <v>#REF!</v>
      </c>
      <c r="E1116" s="169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2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38">
        <f t="shared" si="192"/>
        <v>1.7857142857142857E-4</v>
      </c>
      <c r="Y1116" s="135">
        <f t="shared" si="258"/>
        <v>9.2971421293788423E-3</v>
      </c>
      <c r="Z1116" s="135">
        <f t="shared" si="259"/>
        <v>0</v>
      </c>
      <c r="AA1116" s="135">
        <f t="shared" si="260"/>
        <v>0</v>
      </c>
      <c r="AB1116" s="140">
        <f t="shared" si="264"/>
        <v>6.4427516003718681</v>
      </c>
      <c r="AC1116" s="140">
        <f t="shared" si="265"/>
        <v>-3.5827454188578717E-2</v>
      </c>
      <c r="AD1116" s="140">
        <f t="shared" si="266"/>
        <v>-5.8022504496234903E-2</v>
      </c>
      <c r="AE1116" s="140">
        <f t="shared" si="267"/>
        <v>-4.7117532213556183E-2</v>
      </c>
    </row>
    <row r="1117" spans="1:31">
      <c r="A1117" s="168">
        <f>'Historical NAV'!A1117</f>
        <v>45586</v>
      </c>
      <c r="B1117" s="169">
        <f>'Historical NAV'!B1117</f>
        <v>74623096.259609193</v>
      </c>
      <c r="C1117" s="169">
        <f>'Historical NAV'!C1117</f>
        <v>0</v>
      </c>
      <c r="D1117" s="169" t="e">
        <f>'Historical NAV'!#REF!</f>
        <v>#REF!</v>
      </c>
      <c r="E1117" s="169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2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38">
        <f t="shared" si="192"/>
        <v>1.7857142857142857E-4</v>
      </c>
      <c r="Y1117" s="135">
        <f t="shared" si="258"/>
        <v>5.3706553803309458E-3</v>
      </c>
      <c r="Z1117" s="135">
        <f t="shared" si="259"/>
        <v>0</v>
      </c>
      <c r="AA1117" s="135">
        <f t="shared" si="260"/>
        <v>0</v>
      </c>
      <c r="AB1117" s="140">
        <f t="shared" si="264"/>
        <v>6.4135488359774095</v>
      </c>
      <c r="AC1117" s="140">
        <f t="shared" si="265"/>
        <v>-3.5556624360978346E-2</v>
      </c>
      <c r="AD1117" s="140">
        <f t="shared" si="266"/>
        <v>-5.8012895360524105E-2</v>
      </c>
      <c r="AE1117" s="140">
        <f t="shared" si="267"/>
        <v>-4.694389147173833E-2</v>
      </c>
    </row>
    <row r="1118" spans="1:31">
      <c r="A1118" s="168">
        <f>'Historical NAV'!A1118</f>
        <v>45587</v>
      </c>
      <c r="B1118" s="169">
        <f>'Historical NAV'!B1118</f>
        <v>74214194.359203994</v>
      </c>
      <c r="C1118" s="169">
        <f>'Historical NAV'!C1118</f>
        <v>0</v>
      </c>
      <c r="D1118" s="169" t="e">
        <f>'Historical NAV'!#REF!</f>
        <v>#REF!</v>
      </c>
      <c r="E1118" s="169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2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38">
        <f t="shared" si="192"/>
        <v>1.7857142857142857E-4</v>
      </c>
      <c r="Y1118" s="135">
        <f t="shared" ref="Y1118:Y1149" si="278">I1118-X1118</f>
        <v>-6.1304659849167166E-3</v>
      </c>
      <c r="Z1118" s="135">
        <f t="shared" ref="Z1118:Z1149" si="279">IF(Y1118&lt;0,Y1118,0)</f>
        <v>-6.1304659849167166E-3</v>
      </c>
      <c r="AA1118" s="135">
        <f t="shared" ref="AA1118:AA1149" si="280">Z1118^2</f>
        <v>3.758261319222089E-5</v>
      </c>
      <c r="AB1118" s="140">
        <f t="shared" si="264"/>
        <v>6.1972299475744679</v>
      </c>
      <c r="AC1118" s="140">
        <f t="shared" si="265"/>
        <v>-2.8655161701150046E-2</v>
      </c>
      <c r="AD1118" s="140">
        <f t="shared" si="266"/>
        <v>-5.8092067587603186E-2</v>
      </c>
      <c r="AE1118" s="140">
        <f t="shared" si="267"/>
        <v>-4.6895466724732826E-2</v>
      </c>
    </row>
    <row r="1119" spans="1:31">
      <c r="A1119" s="168">
        <f>'Historical NAV'!A1119</f>
        <v>45588</v>
      </c>
      <c r="B1119" s="169">
        <f>'Historical NAV'!B1119</f>
        <v>71812303.778893396</v>
      </c>
      <c r="C1119" s="169">
        <f>'Historical NAV'!C1119</f>
        <v>0</v>
      </c>
      <c r="D1119" s="169" t="e">
        <f>'Historical NAV'!#REF!</f>
        <v>#REF!</v>
      </c>
      <c r="E1119" s="169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2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38">
        <f t="shared" si="192"/>
        <v>1.7857142857142857E-4</v>
      </c>
      <c r="Y1119" s="135">
        <f t="shared" si="278"/>
        <v>-3.13533996442154E-2</v>
      </c>
      <c r="Z1119" s="135">
        <f t="shared" si="279"/>
        <v>-3.13533996442154E-2</v>
      </c>
      <c r="AA1119" s="135">
        <f t="shared" si="280"/>
        <v>9.8303566924988635E-4</v>
      </c>
      <c r="AB1119" s="140">
        <f t="shared" si="264"/>
        <v>5.8181284326780407</v>
      </c>
      <c r="AC1119" s="140">
        <f t="shared" si="265"/>
        <v>-3.1945676202661831E-2</v>
      </c>
      <c r="AD1119" s="140">
        <f t="shared" si="266"/>
        <v>-5.8801990637186163E-2</v>
      </c>
      <c r="AE1119" s="140">
        <f t="shared" si="267"/>
        <v>-4.7082060832339567E-2</v>
      </c>
    </row>
    <row r="1120" spans="1:31">
      <c r="A1120" s="168">
        <f>'Historical NAV'!A1120</f>
        <v>45589</v>
      </c>
      <c r="B1120" s="169">
        <f>'Historical NAV'!B1120</f>
        <v>72382545.387765795</v>
      </c>
      <c r="C1120" s="169">
        <f>'Historical NAV'!C1120</f>
        <v>0</v>
      </c>
      <c r="D1120" s="169" t="e">
        <f>'Historical NAV'!#REF!</f>
        <v>#REF!</v>
      </c>
      <c r="E1120" s="169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2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38">
        <f t="shared" si="192"/>
        <v>1.7857142857142857E-4</v>
      </c>
      <c r="Y1120" s="135">
        <f t="shared" si="278"/>
        <v>6.5895606782730674E-3</v>
      </c>
      <c r="Z1120" s="135">
        <f t="shared" si="279"/>
        <v>0</v>
      </c>
      <c r="AA1120" s="135">
        <f t="shared" si="280"/>
        <v>0</v>
      </c>
      <c r="AB1120" s="140">
        <f t="shared" ref="AB1120:AB1151" si="284">AVERAGE(Y867:Y1120)/AVERAGE(AA867:AA1120)</f>
        <v>5.5951734639521762</v>
      </c>
      <c r="AC1120" s="140">
        <f t="shared" ref="AC1120:AC1151" si="285">AVERAGE(I1089:I1120)-_xlfn.NORM.S.INV(0.95)*_xlfn.STDEV.S(I1089:I1120)</f>
        <v>-3.2032030515624109E-2</v>
      </c>
      <c r="AD1120" s="140">
        <f t="shared" ref="AD1120:AD1151" si="286">AVERAGE(I1029:I1120)-_xlfn.NORM.S.INV(0.95)*_xlfn.STDEV.S(I1029:I1120)</f>
        <v>-5.8870373567915198E-2</v>
      </c>
      <c r="AE1120" s="140">
        <f t="shared" ref="AE1120:AE1151" si="287">AVERAGE(I754:I1120)-_xlfn.NORM.S.INV(0.95)*_xlfn.STDEV.S(I754:I1120)</f>
        <v>-4.7052216413222867E-2</v>
      </c>
    </row>
    <row r="1121" spans="1:31">
      <c r="A1121" s="168">
        <f>'Historical NAV'!A1121</f>
        <v>45590</v>
      </c>
      <c r="B1121" s="169">
        <f>'Historical NAV'!B1121</f>
        <v>73000981.067492694</v>
      </c>
      <c r="C1121" s="169">
        <f>'Historical NAV'!C1121</f>
        <v>0</v>
      </c>
      <c r="D1121" s="169" t="e">
        <f>'Historical NAV'!#REF!</f>
        <v>#REF!</v>
      </c>
      <c r="E1121" s="169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2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38">
        <f t="shared" si="192"/>
        <v>1.7857142857142857E-4</v>
      </c>
      <c r="Y1121" s="135">
        <f t="shared" si="278"/>
        <v>5.9532000827674913E-3</v>
      </c>
      <c r="Z1121" s="135">
        <f t="shared" si="279"/>
        <v>0</v>
      </c>
      <c r="AA1121" s="135">
        <f t="shared" si="280"/>
        <v>0</v>
      </c>
      <c r="AB1121" s="140">
        <f t="shared" si="284"/>
        <v>5.3587992371259787</v>
      </c>
      <c r="AC1121" s="140">
        <f t="shared" si="285"/>
        <v>-3.1097078024969107E-2</v>
      </c>
      <c r="AD1121" s="140">
        <f t="shared" si="286"/>
        <v>-5.8924869866196508E-2</v>
      </c>
      <c r="AE1121" s="140">
        <f t="shared" si="287"/>
        <v>-4.7041359948144956E-2</v>
      </c>
    </row>
    <row r="1122" spans="1:31">
      <c r="A1122" s="168">
        <f>'Historical NAV'!A1122</f>
        <v>45593</v>
      </c>
      <c r="B1122" s="169">
        <f>'Historical NAV'!B1122</f>
        <v>72614532.021846801</v>
      </c>
      <c r="C1122" s="169">
        <f>'Historical NAV'!C1122</f>
        <v>0</v>
      </c>
      <c r="D1122" s="169" t="e">
        <f>'Historical NAV'!#REF!</f>
        <v>#REF!</v>
      </c>
      <c r="E1122" s="169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2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38">
        <f t="shared" si="192"/>
        <v>1.7857142857142857E-4</v>
      </c>
      <c r="Y1122" s="135">
        <f t="shared" si="278"/>
        <v>-7.5955379916002406E-3</v>
      </c>
      <c r="Z1122" s="135">
        <f t="shared" si="279"/>
        <v>-7.5955379916002406E-3</v>
      </c>
      <c r="AA1122" s="135">
        <f t="shared" si="280"/>
        <v>5.7692197381842617E-5</v>
      </c>
      <c r="AB1122" s="140">
        <f t="shared" si="284"/>
        <v>5.1597813778800319</v>
      </c>
      <c r="AC1122" s="140">
        <f t="shared" si="285"/>
        <v>-3.184773327152967E-2</v>
      </c>
      <c r="AD1122" s="140">
        <f t="shared" si="286"/>
        <v>-5.8776608100035412E-2</v>
      </c>
      <c r="AE1122" s="140">
        <f t="shared" si="287"/>
        <v>-4.7097269429856127E-2</v>
      </c>
    </row>
    <row r="1123" spans="1:31">
      <c r="A1123" s="168">
        <f>'Historical NAV'!A1123</f>
        <v>45594</v>
      </c>
      <c r="B1123" s="169">
        <f>'Historical NAV'!B1123</f>
        <v>73588655.892573103</v>
      </c>
      <c r="C1123" s="169">
        <f>'Historical NAV'!C1123</f>
        <v>0</v>
      </c>
      <c r="D1123" s="169" t="e">
        <f>'Historical NAV'!#REF!</f>
        <v>#REF!</v>
      </c>
      <c r="E1123" s="169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2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38">
        <f t="shared" si="192"/>
        <v>1.7857142857142857E-4</v>
      </c>
      <c r="Y1123" s="135">
        <f t="shared" si="278"/>
        <v>1.218610993377865E-2</v>
      </c>
      <c r="Z1123" s="135">
        <f t="shared" si="279"/>
        <v>0</v>
      </c>
      <c r="AA1123" s="135">
        <f t="shared" si="280"/>
        <v>0</v>
      </c>
      <c r="AB1123" s="140">
        <f t="shared" si="284"/>
        <v>5.1992305309900644</v>
      </c>
      <c r="AC1123" s="140">
        <f t="shared" si="285"/>
        <v>-3.1905435930636036E-2</v>
      </c>
      <c r="AD1123" s="140">
        <f t="shared" si="286"/>
        <v>-5.8148619282806645E-2</v>
      </c>
      <c r="AE1123" s="140">
        <f t="shared" si="287"/>
        <v>-4.7045599694559223E-2</v>
      </c>
    </row>
    <row r="1124" spans="1:31">
      <c r="A1124" s="168">
        <f>'Historical NAV'!A1124</f>
        <v>45595</v>
      </c>
      <c r="B1124" s="169">
        <f>'Historical NAV'!B1124</f>
        <v>72282550.836989194</v>
      </c>
      <c r="C1124" s="169">
        <f>'Historical NAV'!C1124</f>
        <v>0</v>
      </c>
      <c r="D1124" s="169" t="e">
        <f>'Historical NAV'!#REF!</f>
        <v>#REF!</v>
      </c>
      <c r="E1124" s="169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2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38">
        <f t="shared" si="192"/>
        <v>1.7857142857142857E-4</v>
      </c>
      <c r="Y1124" s="135">
        <f t="shared" si="278"/>
        <v>-1.980943026220458E-2</v>
      </c>
      <c r="Z1124" s="135">
        <f t="shared" si="279"/>
        <v>-1.980943026220458E-2</v>
      </c>
      <c r="AA1124" s="135">
        <f t="shared" si="280"/>
        <v>3.9241352731314664E-4</v>
      </c>
      <c r="AB1124" s="140">
        <f t="shared" si="284"/>
        <v>4.8911925814913353</v>
      </c>
      <c r="AC1124" s="140">
        <f t="shared" si="285"/>
        <v>-3.2702435383472693E-2</v>
      </c>
      <c r="AD1124" s="140">
        <f t="shared" si="286"/>
        <v>-5.7866688560153562E-2</v>
      </c>
      <c r="AE1124" s="140">
        <f t="shared" si="287"/>
        <v>-4.7162601148273128E-2</v>
      </c>
    </row>
    <row r="1125" spans="1:31">
      <c r="A1125" s="168">
        <f>'Historical NAV'!A1125</f>
        <v>45596</v>
      </c>
      <c r="B1125" s="169">
        <f>'Historical NAV'!B1125</f>
        <v>68111189.483541399</v>
      </c>
      <c r="C1125" s="169">
        <f>'Historical NAV'!C1125</f>
        <v>0</v>
      </c>
      <c r="D1125" s="169" t="e">
        <f>'Historical NAV'!#REF!</f>
        <v>#REF!</v>
      </c>
      <c r="E1125" s="169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2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38">
        <f t="shared" si="192"/>
        <v>1.7857142857142857E-4</v>
      </c>
      <c r="Y1125" s="135">
        <f t="shared" si="278"/>
        <v>-5.849145143405747E-2</v>
      </c>
      <c r="Z1125" s="135">
        <f t="shared" si="279"/>
        <v>-5.849145143405747E-2</v>
      </c>
      <c r="AA1125" s="135">
        <f t="shared" si="280"/>
        <v>3.4212498908627038E-3</v>
      </c>
      <c r="AB1125" s="140">
        <f t="shared" si="284"/>
        <v>4.300896503854803</v>
      </c>
      <c r="AC1125" s="140">
        <f t="shared" si="285"/>
        <v>-3.8820359822339098E-2</v>
      </c>
      <c r="AD1125" s="140">
        <f t="shared" si="286"/>
        <v>-5.9493323276703883E-2</v>
      </c>
      <c r="AE1125" s="140">
        <f t="shared" si="287"/>
        <v>-4.7617048185070669E-2</v>
      </c>
    </row>
    <row r="1126" spans="1:31">
      <c r="A1126" s="168">
        <f>'Historical NAV'!A1126</f>
        <v>45597</v>
      </c>
      <c r="B1126" s="169">
        <f>'Historical NAV'!B1126</f>
        <v>69482168.659104601</v>
      </c>
      <c r="C1126" s="169">
        <f>'Historical NAV'!C1126</f>
        <v>0</v>
      </c>
      <c r="D1126" s="169" t="e">
        <f>'Historical NAV'!#REF!</f>
        <v>#REF!</v>
      </c>
      <c r="E1126" s="169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2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38">
        <f t="shared" si="192"/>
        <v>1.7857142857142857E-4</v>
      </c>
      <c r="Y1126" s="135">
        <f t="shared" si="278"/>
        <v>1.9819980878202623E-2</v>
      </c>
      <c r="Z1126" s="135">
        <f t="shared" si="279"/>
        <v>0</v>
      </c>
      <c r="AA1126" s="135">
        <f t="shared" si="280"/>
        <v>0</v>
      </c>
      <c r="AB1126" s="140">
        <f t="shared" si="284"/>
        <v>4.604783967262712</v>
      </c>
      <c r="AC1126" s="140">
        <f t="shared" si="285"/>
        <v>-3.7429421397623334E-2</v>
      </c>
      <c r="AD1126" s="140">
        <f t="shared" si="286"/>
        <v>-5.9246672276152171E-2</v>
      </c>
      <c r="AE1126" s="140">
        <f t="shared" si="287"/>
        <v>-4.7591342669102962E-2</v>
      </c>
    </row>
    <row r="1127" spans="1:31">
      <c r="A1127" s="168">
        <f>'Historical NAV'!A1127</f>
        <v>45600</v>
      </c>
      <c r="B1127" s="169">
        <f>'Historical NAV'!B1127</f>
        <v>67877466.562653303</v>
      </c>
      <c r="C1127" s="169">
        <f>'Historical NAV'!C1127</f>
        <v>-1580000</v>
      </c>
      <c r="D1127" s="169" t="e">
        <f>'Historical NAV'!#REF!</f>
        <v>#REF!</v>
      </c>
      <c r="E1127" s="169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2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38">
        <f t="shared" si="192"/>
        <v>1.7857142857142857E-4</v>
      </c>
      <c r="Y1127" s="135">
        <f t="shared" si="278"/>
        <v>-1.1781114226674101E-3</v>
      </c>
      <c r="Z1127" s="135">
        <f t="shared" si="279"/>
        <v>-1.1781114226674101E-3</v>
      </c>
      <c r="AA1127" s="135">
        <f t="shared" si="280"/>
        <v>1.387946524219429E-6</v>
      </c>
      <c r="AB1127" s="140">
        <f t="shared" si="284"/>
        <v>4.2635303770624402</v>
      </c>
      <c r="AC1127" s="140">
        <f t="shared" si="285"/>
        <v>-3.4526964120425267E-2</v>
      </c>
      <c r="AD1127" s="140">
        <f t="shared" si="286"/>
        <v>-5.9003904931152339E-2</v>
      </c>
      <c r="AE1127" s="140">
        <f t="shared" si="287"/>
        <v>-4.7596309150690186E-2</v>
      </c>
    </row>
    <row r="1128" spans="1:31">
      <c r="A1128" s="168">
        <f>'Historical NAV'!A1128</f>
        <v>45601</v>
      </c>
      <c r="B1128" s="169">
        <f>'Historical NAV'!B1128</f>
        <v>71021314.965238407</v>
      </c>
      <c r="C1128" s="169">
        <f>'Historical NAV'!C1128</f>
        <v>0</v>
      </c>
      <c r="D1128" s="169" t="e">
        <f>'Historical NAV'!#REF!</f>
        <v>#REF!</v>
      </c>
      <c r="E1128" s="169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2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38">
        <f t="shared" si="192"/>
        <v>1.7857142857142857E-4</v>
      </c>
      <c r="Y1128" s="135">
        <f t="shared" si="278"/>
        <v>4.650178087450732E-2</v>
      </c>
      <c r="Z1128" s="135">
        <f t="shared" si="279"/>
        <v>0</v>
      </c>
      <c r="AA1128" s="135">
        <f t="shared" si="280"/>
        <v>0</v>
      </c>
      <c r="AB1128" s="140">
        <f t="shared" si="284"/>
        <v>4.6589472681187409</v>
      </c>
      <c r="AC1128" s="140">
        <f t="shared" si="285"/>
        <v>-3.4728809184997628E-2</v>
      </c>
      <c r="AD1128" s="140">
        <f t="shared" si="286"/>
        <v>-5.9082243418786602E-2</v>
      </c>
      <c r="AE1128" s="140">
        <f t="shared" si="287"/>
        <v>-4.7420465891686435E-2</v>
      </c>
    </row>
    <row r="1129" spans="1:31">
      <c r="A1129" s="168">
        <f>'Historical NAV'!A1129</f>
        <v>45602</v>
      </c>
      <c r="B1129" s="169">
        <f>'Historical NAV'!B1129</f>
        <v>74575517.459259003</v>
      </c>
      <c r="C1129" s="169">
        <f>'Historical NAV'!C1129</f>
        <v>0</v>
      </c>
      <c r="D1129" s="169" t="e">
        <f>'Historical NAV'!#REF!</f>
        <v>#REF!</v>
      </c>
      <c r="E1129" s="169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2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38">
        <f t="shared" si="192"/>
        <v>1.7857142857142857E-4</v>
      </c>
      <c r="Y1129" s="135">
        <f t="shared" si="278"/>
        <v>5.2259977982171579E-2</v>
      </c>
      <c r="Z1129" s="135">
        <f t="shared" si="279"/>
        <v>0</v>
      </c>
      <c r="AA1129" s="135">
        <f t="shared" si="280"/>
        <v>0</v>
      </c>
      <c r="AB1129" s="140">
        <f t="shared" si="284"/>
        <v>5.0259428012207721</v>
      </c>
      <c r="AC1129" s="140">
        <f t="shared" si="285"/>
        <v>-3.5687520710187021E-2</v>
      </c>
      <c r="AD1129" s="140">
        <f t="shared" si="286"/>
        <v>-5.9157935931883329E-2</v>
      </c>
      <c r="AE1129" s="140">
        <f t="shared" si="287"/>
        <v>-4.7493637585173963E-2</v>
      </c>
    </row>
    <row r="1130" spans="1:31">
      <c r="A1130" s="168">
        <f>'Historical NAV'!A1130</f>
        <v>45603</v>
      </c>
      <c r="B1130" s="169">
        <f>'Historical NAV'!B1130</f>
        <v>77248829.062246501</v>
      </c>
      <c r="C1130" s="169">
        <f>'Historical NAV'!C1130</f>
        <v>0</v>
      </c>
      <c r="D1130" s="169" t="e">
        <f>'Historical NAV'!#REF!</f>
        <v>#REF!</v>
      </c>
      <c r="E1130" s="169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2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38">
        <f t="shared" si="192"/>
        <v>1.7857142857142857E-4</v>
      </c>
      <c r="Y1130" s="135">
        <f t="shared" si="278"/>
        <v>3.5011818962231954E-2</v>
      </c>
      <c r="Z1130" s="135">
        <f t="shared" si="279"/>
        <v>0</v>
      </c>
      <c r="AA1130" s="135">
        <f t="shared" si="280"/>
        <v>0</v>
      </c>
      <c r="AB1130" s="140">
        <f t="shared" si="284"/>
        <v>5.2928293699840072</v>
      </c>
      <c r="AC1130" s="140">
        <f t="shared" si="285"/>
        <v>-3.5550896584488428E-2</v>
      </c>
      <c r="AD1130" s="140">
        <f t="shared" si="286"/>
        <v>-5.9178251570685084E-2</v>
      </c>
      <c r="AE1130" s="140">
        <f t="shared" si="287"/>
        <v>-4.7496636441375015E-2</v>
      </c>
    </row>
    <row r="1131" spans="1:31">
      <c r="A1131" s="168">
        <f>'Historical NAV'!A1131</f>
        <v>45604</v>
      </c>
      <c r="B1131" s="169">
        <f>'Historical NAV'!B1131</f>
        <v>77271761.294160798</v>
      </c>
      <c r="C1131" s="169">
        <f>'Historical NAV'!C1131</f>
        <v>0</v>
      </c>
      <c r="D1131" s="169" t="e">
        <f>'Historical NAV'!#REF!</f>
        <v>#REF!</v>
      </c>
      <c r="E1131" s="169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2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38">
        <f t="shared" si="192"/>
        <v>1.7857142857142857E-4</v>
      </c>
      <c r="Y1131" s="135">
        <f t="shared" si="278"/>
        <v>-4.4887897467987157E-3</v>
      </c>
      <c r="Z1131" s="135">
        <f t="shared" si="279"/>
        <v>-4.4887897467987157E-3</v>
      </c>
      <c r="AA1131" s="135">
        <f t="shared" si="280"/>
        <v>2.0149233390965279E-5</v>
      </c>
      <c r="AB1131" s="140">
        <f t="shared" si="284"/>
        <v>5.2519153146712139</v>
      </c>
      <c r="AC1131" s="140">
        <f t="shared" si="285"/>
        <v>-3.5764371329686052E-2</v>
      </c>
      <c r="AD1131" s="140">
        <f t="shared" si="286"/>
        <v>-5.9248645100135555E-2</v>
      </c>
      <c r="AE1131" s="140">
        <f t="shared" si="287"/>
        <v>-4.7540971804066572E-2</v>
      </c>
    </row>
    <row r="1132" spans="1:31">
      <c r="A1132" s="168">
        <f>'Historical NAV'!A1132</f>
        <v>45607</v>
      </c>
      <c r="B1132" s="169">
        <f>'Historical NAV'!B1132</f>
        <v>76190741.105237097</v>
      </c>
      <c r="C1132" s="169">
        <f>'Historical NAV'!C1132</f>
        <v>0</v>
      </c>
      <c r="D1132" s="169" t="e">
        <f>'Historical NAV'!#REF!</f>
        <v>#REF!</v>
      </c>
      <c r="E1132" s="169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2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38">
        <f t="shared" si="192"/>
        <v>1.7857142857142857E-4</v>
      </c>
      <c r="Y1132" s="135">
        <f t="shared" si="278"/>
        <v>-1.8305534959161335E-2</v>
      </c>
      <c r="Z1132" s="135">
        <f t="shared" si="279"/>
        <v>-1.8305534959161335E-2</v>
      </c>
      <c r="AA1132" s="135">
        <f t="shared" si="280"/>
        <v>3.3509261014107779E-4</v>
      </c>
      <c r="AB1132" s="140">
        <f t="shared" si="284"/>
        <v>5.090378479168745</v>
      </c>
      <c r="AC1132" s="140">
        <f t="shared" si="285"/>
        <v>-3.7206556626159931E-2</v>
      </c>
      <c r="AD1132" s="140">
        <f t="shared" si="286"/>
        <v>-5.9574296521884285E-2</v>
      </c>
      <c r="AE1132" s="140">
        <f t="shared" si="287"/>
        <v>-4.7640578976691883E-2</v>
      </c>
    </row>
    <row r="1133" spans="1:31">
      <c r="A1133" s="168">
        <f>'Historical NAV'!A1133</f>
        <v>45608</v>
      </c>
      <c r="B1133" s="169">
        <f>'Historical NAV'!B1133</f>
        <v>75307420.693779007</v>
      </c>
      <c r="C1133" s="169">
        <f>'Historical NAV'!C1133</f>
        <v>0</v>
      </c>
      <c r="D1133" s="169" t="e">
        <f>'Historical NAV'!#REF!</f>
        <v>#REF!</v>
      </c>
      <c r="E1133" s="169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2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38">
        <f t="shared" si="192"/>
        <v>1.7857142857142857E-4</v>
      </c>
      <c r="Y1133" s="135">
        <f t="shared" si="278"/>
        <v>-1.1958920699860971E-2</v>
      </c>
      <c r="Z1133" s="135">
        <f t="shared" si="279"/>
        <v>-1.1958920699860971E-2</v>
      </c>
      <c r="AA1133" s="135">
        <f t="shared" si="280"/>
        <v>1.430157843055632E-4</v>
      </c>
      <c r="AB1133" s="140">
        <f t="shared" si="284"/>
        <v>4.8775748544562729</v>
      </c>
      <c r="AC1133" s="140">
        <f t="shared" si="285"/>
        <v>-3.6462817687131624E-2</v>
      </c>
      <c r="AD1133" s="140">
        <f t="shared" si="286"/>
        <v>-5.978862786702438E-2</v>
      </c>
      <c r="AE1133" s="140">
        <f t="shared" si="287"/>
        <v>-4.7710970781307545E-2</v>
      </c>
    </row>
    <row r="1134" spans="1:31">
      <c r="A1134" s="168">
        <f>'Historical NAV'!A1134</f>
        <v>45609</v>
      </c>
      <c r="B1134" s="169">
        <f>'Historical NAV'!B1134</f>
        <v>74224569.205802605</v>
      </c>
      <c r="C1134" s="169">
        <f>'Historical NAV'!C1134</f>
        <v>0</v>
      </c>
      <c r="D1134" s="169" t="e">
        <f>'Historical NAV'!#REF!</f>
        <v>#REF!</v>
      </c>
      <c r="E1134" s="169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2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38">
        <f t="shared" si="192"/>
        <v>1.7857142857142857E-4</v>
      </c>
      <c r="Y1134" s="135">
        <f t="shared" si="278"/>
        <v>-1.5044138694891051E-2</v>
      </c>
      <c r="Z1134" s="135">
        <f t="shared" si="279"/>
        <v>-1.5044138694891051E-2</v>
      </c>
      <c r="AA1134" s="135">
        <f t="shared" si="280"/>
        <v>2.2632610907111821E-4</v>
      </c>
      <c r="AB1134" s="140">
        <f t="shared" si="284"/>
        <v>4.774206164797052</v>
      </c>
      <c r="AC1134" s="140">
        <f t="shared" si="285"/>
        <v>-3.714143841004984E-2</v>
      </c>
      <c r="AD1134" s="140">
        <f t="shared" si="286"/>
        <v>-6.0061928437607721E-2</v>
      </c>
      <c r="AE1134" s="140">
        <f t="shared" si="287"/>
        <v>-4.7801110738982862E-2</v>
      </c>
    </row>
    <row r="1135" spans="1:31">
      <c r="A1135" s="168">
        <f>'Historical NAV'!A1135</f>
        <v>45610</v>
      </c>
      <c r="B1135" s="169">
        <f>'Historical NAV'!B1135</f>
        <v>73440036.406532899</v>
      </c>
      <c r="C1135" s="169">
        <f>'Historical NAV'!C1135</f>
        <v>0</v>
      </c>
      <c r="D1135" s="169" t="e">
        <f>'Historical NAV'!#REF!</f>
        <v>#REF!</v>
      </c>
      <c r="E1135" s="169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2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38">
        <f t="shared" si="192"/>
        <v>1.7857142857142857E-4</v>
      </c>
      <c r="Y1135" s="135">
        <f t="shared" si="278"/>
        <v>-1.0468502208122489E-2</v>
      </c>
      <c r="Z1135" s="135">
        <f t="shared" si="279"/>
        <v>-1.0468502208122489E-2</v>
      </c>
      <c r="AA1135" s="135">
        <f t="shared" si="280"/>
        <v>1.0958953848146543E-4</v>
      </c>
      <c r="AB1135" s="140">
        <f t="shared" si="284"/>
        <v>4.61465388861299</v>
      </c>
      <c r="AC1135" s="140">
        <f t="shared" si="285"/>
        <v>-3.5228954660928749E-2</v>
      </c>
      <c r="AD1135" s="140">
        <f t="shared" si="286"/>
        <v>-6.0217946922910062E-2</v>
      </c>
      <c r="AE1135" s="140">
        <f t="shared" si="287"/>
        <v>-4.7809912746116158E-2</v>
      </c>
    </row>
    <row r="1136" spans="1:31">
      <c r="A1136" s="168">
        <f>'Historical NAV'!A1136</f>
        <v>45611</v>
      </c>
      <c r="B1136" s="169">
        <f>'Historical NAV'!B1136</f>
        <v>71031633.038140401</v>
      </c>
      <c r="C1136" s="169">
        <f>'Historical NAV'!C1136</f>
        <v>0</v>
      </c>
      <c r="D1136" s="169" t="e">
        <f>'Historical NAV'!#REF!</f>
        <v>#REF!</v>
      </c>
      <c r="E1136" s="169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2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38">
        <f t="shared" si="192"/>
        <v>1.7857142857142857E-4</v>
      </c>
      <c r="Y1136" s="135">
        <f t="shared" si="278"/>
        <v>-3.3022578953844542E-2</v>
      </c>
      <c r="Z1136" s="135">
        <f t="shared" si="279"/>
        <v>-3.3022578953844542E-2</v>
      </c>
      <c r="AA1136" s="135">
        <f t="shared" si="280"/>
        <v>1.0904907207628966E-3</v>
      </c>
      <c r="AB1136" s="140">
        <f t="shared" si="284"/>
        <v>4.3269969496284464</v>
      </c>
      <c r="AC1136" s="140">
        <f t="shared" si="285"/>
        <v>-3.7984877749001174E-2</v>
      </c>
      <c r="AD1136" s="140">
        <f t="shared" si="286"/>
        <v>-6.0949323703429939E-2</v>
      </c>
      <c r="AE1136" s="140">
        <f t="shared" si="287"/>
        <v>-4.798653882471287E-2</v>
      </c>
    </row>
    <row r="1137" spans="1:31">
      <c r="A1137" s="168">
        <f>'Historical NAV'!A1137</f>
        <v>45614</v>
      </c>
      <c r="B1137" s="169">
        <f>'Historical NAV'!B1137</f>
        <v>72105957.2820701</v>
      </c>
      <c r="C1137" s="169">
        <f>'Historical NAV'!C1137</f>
        <v>0</v>
      </c>
      <c r="D1137" s="169" t="e">
        <f>'Historical NAV'!#REF!</f>
        <v>#REF!</v>
      </c>
      <c r="E1137" s="169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2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38">
        <f t="shared" si="192"/>
        <v>1.7857142857142857E-4</v>
      </c>
      <c r="Y1137" s="135">
        <f t="shared" si="278"/>
        <v>1.2550160760990088E-2</v>
      </c>
      <c r="Z1137" s="135">
        <f t="shared" si="279"/>
        <v>0</v>
      </c>
      <c r="AA1137" s="135">
        <f t="shared" si="280"/>
        <v>0</v>
      </c>
      <c r="AB1137" s="140">
        <f t="shared" si="284"/>
        <v>4.4410507220345679</v>
      </c>
      <c r="AC1137" s="140">
        <f t="shared" si="285"/>
        <v>-3.797241550390635E-2</v>
      </c>
      <c r="AD1137" s="140">
        <f t="shared" si="286"/>
        <v>-6.0310464625352146E-2</v>
      </c>
      <c r="AE1137" s="140">
        <f t="shared" si="287"/>
        <v>-4.7920539402610159E-2</v>
      </c>
    </row>
    <row r="1138" spans="1:31">
      <c r="A1138" s="168">
        <f>'Historical NAV'!A1138</f>
        <v>45615</v>
      </c>
      <c r="B1138" s="169">
        <f>'Historical NAV'!B1138</f>
        <v>74005933.2619057</v>
      </c>
      <c r="C1138" s="169">
        <f>'Historical NAV'!C1138</f>
        <v>0</v>
      </c>
      <c r="D1138" s="169" t="e">
        <f>'Historical NAV'!#REF!</f>
        <v>#REF!</v>
      </c>
      <c r="E1138" s="169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2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38">
        <f t="shared" si="192"/>
        <v>1.7857142857142857E-4</v>
      </c>
      <c r="Y1138" s="135">
        <f t="shared" si="278"/>
        <v>2.5135601888554484E-2</v>
      </c>
      <c r="Z1138" s="135">
        <f t="shared" si="279"/>
        <v>0</v>
      </c>
      <c r="AA1138" s="135">
        <f t="shared" si="280"/>
        <v>0</v>
      </c>
      <c r="AB1138" s="140">
        <f t="shared" si="284"/>
        <v>4.6026102191361895</v>
      </c>
      <c r="AC1138" s="140">
        <f t="shared" si="285"/>
        <v>-3.7830581187677112E-2</v>
      </c>
      <c r="AD1138" s="140">
        <f t="shared" si="286"/>
        <v>-6.0309074387928055E-2</v>
      </c>
      <c r="AE1138" s="140">
        <f t="shared" si="287"/>
        <v>-4.7807832951137767E-2</v>
      </c>
    </row>
    <row r="1139" spans="1:31">
      <c r="A1139" s="168">
        <f>'Historical NAV'!A1139</f>
        <v>45616</v>
      </c>
      <c r="B1139" s="169">
        <f>'Historical NAV'!B1139</f>
        <v>73965902.057231799</v>
      </c>
      <c r="C1139" s="169">
        <f>'Historical NAV'!C1139</f>
        <v>0</v>
      </c>
      <c r="D1139" s="169" t="e">
        <f>'Historical NAV'!#REF!</f>
        <v>#REF!</v>
      </c>
      <c r="E1139" s="169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2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38">
        <f t="shared" si="192"/>
        <v>1.7857142857142857E-4</v>
      </c>
      <c r="Y1139" s="135">
        <f t="shared" si="278"/>
        <v>-6.2881985062670587E-4</v>
      </c>
      <c r="Z1139" s="135">
        <f t="shared" si="279"/>
        <v>-6.2881985062670587E-4</v>
      </c>
      <c r="AA1139" s="135">
        <f t="shared" si="280"/>
        <v>3.9541440454219268E-7</v>
      </c>
      <c r="AB1139" s="140">
        <f t="shared" si="284"/>
        <v>4.532886533744148</v>
      </c>
      <c r="AC1139" s="140">
        <f t="shared" si="285"/>
        <v>-3.7631210779748354E-2</v>
      </c>
      <c r="AD1139" s="140">
        <f t="shared" si="286"/>
        <v>-6.0284343914932613E-2</v>
      </c>
      <c r="AE1139" s="140">
        <f t="shared" si="287"/>
        <v>-4.7832517663982527E-2</v>
      </c>
    </row>
    <row r="1140" spans="1:31">
      <c r="A1140" s="168">
        <f>'Historical NAV'!A1140</f>
        <v>45617</v>
      </c>
      <c r="B1140" s="169">
        <f>'Historical NAV'!B1140</f>
        <v>75356816.030168399</v>
      </c>
      <c r="C1140" s="169">
        <f>'Historical NAV'!C1140</f>
        <v>0</v>
      </c>
      <c r="D1140" s="169" t="e">
        <f>'Historical NAV'!#REF!</f>
        <v>#REF!</v>
      </c>
      <c r="E1140" s="169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2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38">
        <f t="shared" si="192"/>
        <v>1.7857142857142857E-4</v>
      </c>
      <c r="Y1140" s="135">
        <f t="shared" si="278"/>
        <v>1.5378324667230272E-2</v>
      </c>
      <c r="Z1140" s="135">
        <f t="shared" si="279"/>
        <v>0</v>
      </c>
      <c r="AA1140" s="135">
        <f t="shared" si="280"/>
        <v>0</v>
      </c>
      <c r="AB1140" s="140">
        <f t="shared" si="284"/>
        <v>4.6999904078416019</v>
      </c>
      <c r="AC1140" s="140">
        <f t="shared" si="285"/>
        <v>-3.7632571522710816E-2</v>
      </c>
      <c r="AD1140" s="140">
        <f t="shared" si="286"/>
        <v>-6.0276163533539831E-2</v>
      </c>
      <c r="AE1140" s="140">
        <f t="shared" si="287"/>
        <v>-4.7749426374619035E-2</v>
      </c>
    </row>
    <row r="1141" spans="1:31">
      <c r="A1141" s="168">
        <f>'Historical NAV'!A1141</f>
        <v>45618</v>
      </c>
      <c r="B1141" s="169">
        <f>'Historical NAV'!B1141</f>
        <v>75131531.646461993</v>
      </c>
      <c r="C1141" s="169">
        <f>'Historical NAV'!C1141</f>
        <v>0</v>
      </c>
      <c r="D1141" s="169" t="e">
        <f>'Historical NAV'!#REF!</f>
        <v>#REF!</v>
      </c>
      <c r="E1141" s="169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2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38">
        <f t="shared" si="192"/>
        <v>1.7857142857142857E-4</v>
      </c>
      <c r="Y1141" s="135">
        <f t="shared" si="278"/>
        <v>-3.5596954877992314E-3</v>
      </c>
      <c r="Z1141" s="135">
        <f t="shared" si="279"/>
        <v>-3.5596954877992314E-3</v>
      </c>
      <c r="AA1141" s="135">
        <f t="shared" si="280"/>
        <v>1.2671431965858209E-5</v>
      </c>
      <c r="AB1141" s="140">
        <f t="shared" si="284"/>
        <v>4.7011083665336821</v>
      </c>
      <c r="AC1141" s="140">
        <f t="shared" si="285"/>
        <v>-3.799171777858152E-2</v>
      </c>
      <c r="AD1141" s="140">
        <f t="shared" si="286"/>
        <v>-5.6922018349473032E-2</v>
      </c>
      <c r="AE1141" s="140">
        <f t="shared" si="287"/>
        <v>-4.7675824872593295E-2</v>
      </c>
    </row>
    <row r="1142" spans="1:31">
      <c r="A1142" s="168">
        <f>'Historical NAV'!A1142</f>
        <v>45621</v>
      </c>
      <c r="B1142" s="169">
        <f>'Historical NAV'!B1142</f>
        <v>73781182.403537303</v>
      </c>
      <c r="C1142" s="169">
        <f>'Historical NAV'!C1142</f>
        <v>0</v>
      </c>
      <c r="D1142" s="169" t="e">
        <f>'Historical NAV'!#REF!</f>
        <v>#REF!</v>
      </c>
      <c r="E1142" s="169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2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38">
        <f t="shared" si="192"/>
        <v>1.7857142857142857E-4</v>
      </c>
      <c r="Y1142" s="135">
        <f t="shared" si="278"/>
        <v>-2.0168618217340908E-2</v>
      </c>
      <c r="Z1142" s="135">
        <f t="shared" si="279"/>
        <v>-2.0168618217340908E-2</v>
      </c>
      <c r="AA1142" s="135">
        <f t="shared" si="280"/>
        <v>4.0677316079685557E-4</v>
      </c>
      <c r="AB1142" s="140">
        <f t="shared" si="284"/>
        <v>4.2166416342643114</v>
      </c>
      <c r="AC1142" s="140">
        <f t="shared" si="285"/>
        <v>-3.9346402342697928E-2</v>
      </c>
      <c r="AD1142" s="140">
        <f t="shared" si="286"/>
        <v>-5.7002214334312615E-2</v>
      </c>
      <c r="AE1142" s="140">
        <f t="shared" si="287"/>
        <v>-4.7793312673082018E-2</v>
      </c>
    </row>
    <row r="1143" spans="1:31">
      <c r="A1143" s="168">
        <f>'Historical NAV'!A1143</f>
        <v>45622</v>
      </c>
      <c r="B1143" s="169">
        <f>'Historical NAV'!B1143</f>
        <v>73988967.515956998</v>
      </c>
      <c r="C1143" s="169">
        <f>'Historical NAV'!C1143</f>
        <v>0</v>
      </c>
      <c r="D1143" s="169" t="e">
        <f>'Historical NAV'!#REF!</f>
        <v>#REF!</v>
      </c>
      <c r="E1143" s="169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2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38">
        <f t="shared" si="192"/>
        <v>1.7857142857142857E-4</v>
      </c>
      <c r="Y1143" s="135">
        <f t="shared" si="278"/>
        <v>4.1790691234764379E-3</v>
      </c>
      <c r="Z1143" s="135">
        <f t="shared" si="279"/>
        <v>0</v>
      </c>
      <c r="AA1143" s="135">
        <f t="shared" si="280"/>
        <v>0</v>
      </c>
      <c r="AB1143" s="140">
        <f t="shared" si="284"/>
        <v>4.4722101895740662</v>
      </c>
      <c r="AC1143" s="140">
        <f t="shared" si="285"/>
        <v>-3.9450293419265745E-2</v>
      </c>
      <c r="AD1143" s="140">
        <f t="shared" si="286"/>
        <v>-5.5799408506955833E-2</v>
      </c>
      <c r="AE1143" s="140">
        <f t="shared" si="287"/>
        <v>-4.7790028223030898E-2</v>
      </c>
    </row>
    <row r="1144" spans="1:31">
      <c r="A1144" s="168">
        <f>'Historical NAV'!A1144</f>
        <v>45623</v>
      </c>
      <c r="B1144" s="169">
        <f>'Historical NAV'!B1144</f>
        <v>73546391.563899994</v>
      </c>
      <c r="C1144" s="169">
        <f>'Historical NAV'!C1144</f>
        <v>0</v>
      </c>
      <c r="D1144" s="169" t="e">
        <f>'Historical NAV'!#REF!</f>
        <v>#REF!</v>
      </c>
      <c r="E1144" s="169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2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38">
        <f t="shared" si="192"/>
        <v>1.7857142857142857E-4</v>
      </c>
      <c r="Y1144" s="135">
        <f t="shared" si="278"/>
        <v>-6.6391674891112962E-3</v>
      </c>
      <c r="Z1144" s="135">
        <f t="shared" si="279"/>
        <v>-6.6391674891112962E-3</v>
      </c>
      <c r="AA1144" s="135">
        <f t="shared" si="280"/>
        <v>4.4078544948472395E-5</v>
      </c>
      <c r="AB1144" s="140">
        <f t="shared" si="284"/>
        <v>4.2997812432186455</v>
      </c>
      <c r="AC1144" s="140">
        <f t="shared" si="285"/>
        <v>-3.9901979032360348E-2</v>
      </c>
      <c r="AD1144" s="140">
        <f t="shared" si="286"/>
        <v>-5.5952553650406543E-2</v>
      </c>
      <c r="AE1144" s="140">
        <f t="shared" si="287"/>
        <v>-4.7783930551232895E-2</v>
      </c>
    </row>
    <row r="1145" spans="1:31">
      <c r="A1145" s="168">
        <f>'Historical NAV'!A1145</f>
        <v>45624</v>
      </c>
      <c r="B1145" s="169">
        <f>'Historical NAV'!B1145</f>
        <v>73406976.774448395</v>
      </c>
      <c r="C1145" s="169">
        <f>'Historical NAV'!C1145</f>
        <v>0</v>
      </c>
      <c r="D1145" s="169" t="e">
        <f>'Historical NAV'!#REF!</f>
        <v>#REF!</v>
      </c>
      <c r="E1145" s="169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2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38">
        <f t="shared" si="192"/>
        <v>1.7857142857142857E-4</v>
      </c>
      <c r="Y1145" s="135">
        <f t="shared" si="278"/>
        <v>-5.5899078787875452E-3</v>
      </c>
      <c r="Z1145" s="135">
        <f t="shared" si="279"/>
        <v>-5.5899078787875452E-3</v>
      </c>
      <c r="AA1145" s="135">
        <f t="shared" si="280"/>
        <v>3.1247070093331076E-5</v>
      </c>
      <c r="AB1145" s="140">
        <f t="shared" si="284"/>
        <v>4.3905674177002361</v>
      </c>
      <c r="AC1145" s="140">
        <f t="shared" si="285"/>
        <v>-3.6165732363497974E-2</v>
      </c>
      <c r="AD1145" s="140">
        <f t="shared" si="286"/>
        <v>-5.5824242442612922E-2</v>
      </c>
      <c r="AE1145" s="140">
        <f t="shared" si="287"/>
        <v>-4.7817823911289491E-2</v>
      </c>
    </row>
    <row r="1146" spans="1:31">
      <c r="A1146" s="168">
        <f>'Historical NAV'!A1146</f>
        <v>45625</v>
      </c>
      <c r="B1146" s="169">
        <f>'Historical NAV'!B1146</f>
        <v>75288855.555961996</v>
      </c>
      <c r="C1146" s="169">
        <f>'Historical NAV'!C1146</f>
        <v>0</v>
      </c>
      <c r="D1146" s="169" t="e">
        <f>'Historical NAV'!#REF!</f>
        <v>#REF!</v>
      </c>
      <c r="E1146" s="169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2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38">
        <f t="shared" si="192"/>
        <v>1.7857142857142857E-4</v>
      </c>
      <c r="Y1146" s="135">
        <f t="shared" si="278"/>
        <v>1.9239314774443541E-2</v>
      </c>
      <c r="Z1146" s="135">
        <f t="shared" si="279"/>
        <v>0</v>
      </c>
      <c r="AA1146" s="135">
        <f t="shared" si="280"/>
        <v>0</v>
      </c>
      <c r="AB1146" s="140">
        <f t="shared" si="284"/>
        <v>4.2882980880694452</v>
      </c>
      <c r="AC1146" s="140">
        <f t="shared" si="285"/>
        <v>-3.612373337448594E-2</v>
      </c>
      <c r="AD1146" s="140">
        <f t="shared" si="286"/>
        <v>-5.3780718293003932E-2</v>
      </c>
      <c r="AE1146" s="140">
        <f t="shared" si="287"/>
        <v>-4.7798439808844975E-2</v>
      </c>
    </row>
    <row r="1147" spans="1:31">
      <c r="A1147" s="168">
        <f>'Historical NAV'!A1147</f>
        <v>45628</v>
      </c>
      <c r="B1147" s="169">
        <f>'Historical NAV'!B1147</f>
        <v>76557682.732879505</v>
      </c>
      <c r="C1147" s="169">
        <f>'Historical NAV'!C1147</f>
        <v>0</v>
      </c>
      <c r="D1147" s="169" t="e">
        <f>'Historical NAV'!#REF!</f>
        <v>#REF!</v>
      </c>
      <c r="E1147" s="169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2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38">
        <f t="shared" si="192"/>
        <v>1.7857142857142857E-4</v>
      </c>
      <c r="Y1147" s="135">
        <f t="shared" si="278"/>
        <v>1.5890739732869162E-2</v>
      </c>
      <c r="Z1147" s="135">
        <f t="shared" si="279"/>
        <v>0</v>
      </c>
      <c r="AA1147" s="135">
        <f t="shared" si="280"/>
        <v>0</v>
      </c>
      <c r="AB1147" s="140">
        <f t="shared" si="284"/>
        <v>4.3394221290737303</v>
      </c>
      <c r="AC1147" s="140">
        <f t="shared" si="285"/>
        <v>-3.5993888150989257E-2</v>
      </c>
      <c r="AD1147" s="140">
        <f t="shared" si="286"/>
        <v>-5.3373160561723004E-2</v>
      </c>
      <c r="AE1147" s="140">
        <f t="shared" si="287"/>
        <v>-4.776391348795108E-2</v>
      </c>
    </row>
    <row r="1148" spans="1:31">
      <c r="A1148" s="168">
        <f>'Historical NAV'!A1148</f>
        <v>45629</v>
      </c>
      <c r="B1148" s="169">
        <f>'Historical NAV'!B1148</f>
        <v>77371524.873387203</v>
      </c>
      <c r="C1148" s="169">
        <f>'Historical NAV'!C1148</f>
        <v>0</v>
      </c>
      <c r="D1148" s="169" t="e">
        <f>'Historical NAV'!#REF!</f>
        <v>#REF!</v>
      </c>
      <c r="E1148" s="169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2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38">
        <f t="shared" si="192"/>
        <v>1.7857142857142857E-4</v>
      </c>
      <c r="Y1148" s="135">
        <f t="shared" si="278"/>
        <v>9.1007474477116258E-3</v>
      </c>
      <c r="Z1148" s="135">
        <f t="shared" si="279"/>
        <v>0</v>
      </c>
      <c r="AA1148" s="135">
        <f t="shared" si="280"/>
        <v>0</v>
      </c>
      <c r="AB1148" s="140">
        <f t="shared" si="284"/>
        <v>4.2987351552987523</v>
      </c>
      <c r="AC1148" s="140">
        <f t="shared" si="285"/>
        <v>-3.5996224457832425E-2</v>
      </c>
      <c r="AD1148" s="140">
        <f t="shared" si="286"/>
        <v>-5.3396960356341165E-2</v>
      </c>
      <c r="AE1148" s="140">
        <f t="shared" si="287"/>
        <v>-4.7705807987235366E-2</v>
      </c>
    </row>
    <row r="1149" spans="1:31">
      <c r="A1149" s="168">
        <f>'Historical NAV'!A1149</f>
        <v>45630</v>
      </c>
      <c r="B1149" s="169">
        <f>'Historical NAV'!B1149</f>
        <v>79098093.401229203</v>
      </c>
      <c r="C1149" s="169">
        <f>'Historical NAV'!C1149</f>
        <v>0</v>
      </c>
      <c r="D1149" s="169" t="e">
        <f>'Historical NAV'!#REF!</f>
        <v>#REF!</v>
      </c>
      <c r="E1149" s="169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2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38">
        <f t="shared" si="192"/>
        <v>1.7857142857142857E-4</v>
      </c>
      <c r="Y1149" s="135">
        <f t="shared" si="278"/>
        <v>2.1684084381949201E-2</v>
      </c>
      <c r="Z1149" s="135">
        <f t="shared" si="279"/>
        <v>0</v>
      </c>
      <c r="AA1149" s="135">
        <f t="shared" si="280"/>
        <v>0</v>
      </c>
      <c r="AB1149" s="140">
        <f t="shared" si="284"/>
        <v>4.19625798374277</v>
      </c>
      <c r="AC1149" s="140">
        <f t="shared" si="285"/>
        <v>-3.5955510424245295E-2</v>
      </c>
      <c r="AD1149" s="140">
        <f t="shared" si="286"/>
        <v>-5.3095521902305806E-2</v>
      </c>
      <c r="AE1149" s="140">
        <f t="shared" si="287"/>
        <v>-4.746732537994823E-2</v>
      </c>
    </row>
    <row r="1150" spans="1:31">
      <c r="A1150" s="168">
        <f>'Historical NAV'!A1150</f>
        <v>45631</v>
      </c>
      <c r="B1150" s="169">
        <f>'Historical NAV'!B1150</f>
        <v>79130454.914675802</v>
      </c>
      <c r="C1150" s="169">
        <f>'Historical NAV'!C1150</f>
        <v>200000</v>
      </c>
      <c r="D1150" s="169" t="e">
        <f>'Historical NAV'!#REF!</f>
        <v>#REF!</v>
      </c>
      <c r="E1150" s="169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2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38">
        <f t="shared" si="192"/>
        <v>1.7857142857142857E-4</v>
      </c>
      <c r="Y1150" s="135">
        <f t="shared" ref="Y1150:Y1151" si="293">I1150-X1150</f>
        <v>-2.8641878248586695E-3</v>
      </c>
      <c r="Z1150" s="135">
        <f t="shared" ref="Z1150:Z1151" si="294">IF(Y1150&lt;0,Y1150,0)</f>
        <v>-2.8641878248586695E-3</v>
      </c>
      <c r="AA1150" s="135">
        <f t="shared" ref="AA1150:AA1151" si="295">Z1150^2</f>
        <v>8.2035718960686362E-6</v>
      </c>
      <c r="AB1150" s="140">
        <f t="shared" si="284"/>
        <v>3.1289689256558963</v>
      </c>
      <c r="AC1150" s="140">
        <f t="shared" si="285"/>
        <v>-3.5807786469253103E-2</v>
      </c>
      <c r="AD1150" s="140">
        <f t="shared" si="286"/>
        <v>-5.223312034721813E-2</v>
      </c>
      <c r="AE1150" s="140">
        <f t="shared" si="287"/>
        <v>-4.7457125209975887E-2</v>
      </c>
    </row>
    <row r="1151" spans="1:31">
      <c r="A1151" s="168">
        <f>'Historical NAV'!A1151</f>
        <v>45632</v>
      </c>
      <c r="B1151" s="169">
        <f>'Historical NAV'!B1151</f>
        <v>79194729.926177502</v>
      </c>
      <c r="C1151" s="169">
        <f>'Historical NAV'!C1151</f>
        <v>0</v>
      </c>
      <c r="D1151" s="169" t="e">
        <f>'Historical NAV'!#REF!</f>
        <v>#REF!</v>
      </c>
      <c r="E1151" s="169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2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38">
        <f t="shared" si="192"/>
        <v>1.7857142857142857E-4</v>
      </c>
      <c r="Y1151" s="135">
        <f t="shared" si="293"/>
        <v>1.3864327361996754E-3</v>
      </c>
      <c r="Z1151" s="135">
        <f t="shared" si="294"/>
        <v>0</v>
      </c>
      <c r="AA1151" s="135">
        <f t="shared" si="295"/>
        <v>0</v>
      </c>
      <c r="AB1151" s="140">
        <f t="shared" si="284"/>
        <v>2.7255720775225658</v>
      </c>
      <c r="AC1151" s="140">
        <f t="shared" si="285"/>
        <v>-3.346296120725626E-2</v>
      </c>
      <c r="AD1151" s="140">
        <f t="shared" si="286"/>
        <v>-5.0671421841269888E-2</v>
      </c>
      <c r="AE1151" s="140">
        <f t="shared" si="287"/>
        <v>-4.7463646712353355E-2</v>
      </c>
    </row>
    <row r="1152" spans="1:31">
      <c r="A1152" s="168">
        <f>'Historical NAV'!A1152</f>
        <v>45635</v>
      </c>
      <c r="B1152" s="169">
        <f>'Historical NAV'!B1152</f>
        <v>77933170.673059896</v>
      </c>
      <c r="C1152" s="169">
        <f>'Historical NAV'!C1152</f>
        <v>0</v>
      </c>
      <c r="D1152" s="169" t="e">
        <f>'Historical NAV'!#REF!</f>
        <v>#REF!</v>
      </c>
      <c r="E1152" s="169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2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38">
        <f t="shared" si="192"/>
        <v>1.7857142857142857E-4</v>
      </c>
      <c r="Y1152" s="135">
        <f t="shared" ref="Y1152" si="309">I1152-X1152</f>
        <v>-1.5210342535402514E-2</v>
      </c>
      <c r="Z1152" s="135">
        <f t="shared" ref="Z1152" si="310">IF(Y1152&lt;0,Y1152,0)</f>
        <v>-1.5210342535402514E-2</v>
      </c>
      <c r="AA1152" s="135">
        <f t="shared" ref="AA1152" si="311">Z1152^2</f>
        <v>2.3135452004427497E-4</v>
      </c>
      <c r="AB1152" s="140">
        <f t="shared" ref="AB1152" si="312">AVERAGE(Y899:Y1152)/AVERAGE(AA899:AA1152)</f>
        <v>2.6976211399210328</v>
      </c>
      <c r="AC1152" s="140">
        <f t="shared" ref="AC1152" si="313">AVERAGE(I1121:I1152)-_xlfn.NORM.S.INV(0.95)*_xlfn.STDEV.S(I1121:I1152)</f>
        <v>-3.4487285459510832E-2</v>
      </c>
      <c r="AD1152" s="140">
        <f t="shared" ref="AD1152" si="314">AVERAGE(I1061:I1152)-_xlfn.NORM.S.INV(0.95)*_xlfn.STDEV.S(I1061:I1152)</f>
        <v>-4.833783872913245E-2</v>
      </c>
      <c r="AE1152" s="140">
        <f t="shared" ref="AE1152" si="315">AVERAGE(I786:I1152)-_xlfn.NORM.S.INV(0.95)*_xlfn.STDEV.S(I786:I1152)</f>
        <v>-4.7551201673967619E-2</v>
      </c>
    </row>
    <row r="1153" spans="1:31">
      <c r="A1153" s="168">
        <f>'Historical NAV'!A1153</f>
        <v>45636</v>
      </c>
      <c r="B1153" s="169">
        <f>'Historical NAV'!B1153</f>
        <v>76306517.924943596</v>
      </c>
      <c r="C1153" s="169">
        <f>'Historical NAV'!C1153</f>
        <v>0</v>
      </c>
      <c r="D1153" s="169" t="e">
        <f>'Historical NAV'!#REF!</f>
        <v>#REF!</v>
      </c>
      <c r="E1153" s="169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2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38">
        <f t="shared" si="192"/>
        <v>1.7857142857142857E-4</v>
      </c>
      <c r="Y1153" s="135">
        <f t="shared" ref="Y1153" si="329">I1153-X1153</f>
        <v>-2.286707252310639E-2</v>
      </c>
      <c r="Z1153" s="135">
        <f t="shared" ref="Z1153" si="330">IF(Y1153&lt;0,Y1153,0)</f>
        <v>-2.286707252310639E-2</v>
      </c>
      <c r="AA1153" s="135">
        <f t="shared" ref="AA1153" si="331">Z1153^2</f>
        <v>5.2290300577700725E-4</v>
      </c>
      <c r="AB1153" s="140">
        <f t="shared" ref="AB1153" si="332">AVERAGE(Y900:Y1153)/AVERAGE(AA900:AA1153)</f>
        <v>2.4592819938362913</v>
      </c>
      <c r="AC1153" s="140">
        <f t="shared" ref="AC1153" si="333">AVERAGE(I1122:I1153)-_xlfn.NORM.S.INV(0.95)*_xlfn.STDEV.S(I1122:I1153)</f>
        <v>-3.606384514373645E-2</v>
      </c>
      <c r="AD1153" s="140">
        <f t="shared" ref="AD1153" si="334">AVERAGE(I1062:I1153)-_xlfn.NORM.S.INV(0.95)*_xlfn.STDEV.S(I1062:I1153)</f>
        <v>-4.7138820272010495E-2</v>
      </c>
      <c r="AE1153" s="140">
        <f t="shared" ref="AE1153" si="335">AVERAGE(I787:I1153)-_xlfn.NORM.S.INV(0.95)*_xlfn.STDEV.S(I787:I1153)</f>
        <v>-4.7672625668641153E-2</v>
      </c>
    </row>
    <row r="1154" spans="1:31">
      <c r="A1154" s="168">
        <f>'Historical NAV'!A1154</f>
        <v>45637</v>
      </c>
      <c r="B1154" s="169">
        <f>'Historical NAV'!B1154</f>
        <v>78179562.519361794</v>
      </c>
      <c r="C1154" s="169">
        <f>'Historical NAV'!C1154</f>
        <v>0</v>
      </c>
      <c r="D1154" s="169" t="e">
        <f>'Historical NAV'!#REF!</f>
        <v>#REF!</v>
      </c>
      <c r="E1154" s="169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2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38">
        <f t="shared" si="192"/>
        <v>1.7857142857142857E-4</v>
      </c>
      <c r="Y1154" s="135">
        <f t="shared" ref="Y1154" si="349">I1154-X1154</f>
        <v>2.4554833996566675E-2</v>
      </c>
      <c r="Z1154" s="135">
        <f t="shared" ref="Z1154" si="350">IF(Y1154&lt;0,Y1154,0)</f>
        <v>0</v>
      </c>
      <c r="AA1154" s="135">
        <f t="shared" ref="AA1154" si="351">Z1154^2</f>
        <v>0</v>
      </c>
      <c r="AB1154" s="140">
        <f t="shared" ref="AB1154" si="352">AVERAGE(Y901:Y1154)/AVERAGE(AA901:AA1154)</f>
        <v>2.2219533563215084</v>
      </c>
      <c r="AC1154" s="140">
        <f t="shared" ref="AC1154" si="353">AVERAGE(I1123:I1154)-_xlfn.NORM.S.INV(0.95)*_xlfn.STDEV.S(I1123:I1154)</f>
        <v>-3.5579982653053503E-2</v>
      </c>
      <c r="AD1154" s="140">
        <f t="shared" ref="AD1154" si="354">AVERAGE(I1063:I1154)-_xlfn.NORM.S.INV(0.95)*_xlfn.STDEV.S(I1063:I1154)</f>
        <v>-4.2512655644360554E-2</v>
      </c>
      <c r="AE1154" s="140">
        <f t="shared" ref="AE1154" si="355">AVERAGE(I788:I1154)-_xlfn.NORM.S.INV(0.95)*_xlfn.STDEV.S(I788:I1154)</f>
        <v>-4.7644028893054857E-2</v>
      </c>
    </row>
    <row r="1155" spans="1:31">
      <c r="A1155" s="168">
        <f>'Historical NAV'!A1155</f>
        <v>45638</v>
      </c>
      <c r="B1155" s="169">
        <f>'Historical NAV'!B1155</f>
        <v>76823745.0425203</v>
      </c>
      <c r="C1155" s="169">
        <f>'Historical NAV'!C1155</f>
        <v>0</v>
      </c>
      <c r="D1155" s="169" t="e">
        <f>'Historical NAV'!#REF!</f>
        <v>#REF!</v>
      </c>
      <c r="E1155" s="169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2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38">
        <f t="shared" si="192"/>
        <v>1.7857142857142857E-4</v>
      </c>
      <c r="Y1155" s="135">
        <f t="shared" ref="Y1155" si="369">I1155-X1155</f>
        <v>-1.8138588363863901E-2</v>
      </c>
      <c r="Z1155" s="135">
        <f t="shared" ref="Z1155" si="370">IF(Y1155&lt;0,Y1155,0)</f>
        <v>-1.8138588363863901E-2</v>
      </c>
      <c r="AA1155" s="135">
        <f t="shared" ref="AA1155" si="371">Z1155^2</f>
        <v>3.290083878336989E-4</v>
      </c>
      <c r="AB1155" s="140">
        <f t="shared" ref="AB1155" si="372">AVERAGE(Y902:Y1155)/AVERAGE(AA902:AA1155)</f>
        <v>2.870133065333639</v>
      </c>
      <c r="AC1155" s="140">
        <f t="shared" ref="AC1155" si="373">AVERAGE(I1124:I1155)-_xlfn.NORM.S.INV(0.95)*_xlfn.STDEV.S(I1124:I1155)</f>
        <v>-3.6843025742127486E-2</v>
      </c>
      <c r="AD1155" s="140">
        <f t="shared" ref="AD1155" si="374">AVERAGE(I1064:I1155)-_xlfn.NORM.S.INV(0.95)*_xlfn.STDEV.S(I1064:I1155)</f>
        <v>-4.3018994313566969E-2</v>
      </c>
      <c r="AE1155" s="140">
        <f t="shared" ref="AE1155" si="375">AVERAGE(I789:I1155)-_xlfn.NORM.S.INV(0.95)*_xlfn.STDEV.S(I789:I1155)</f>
        <v>-4.7715326530633762E-2</v>
      </c>
    </row>
    <row r="1156" spans="1:31">
      <c r="A1156" s="168">
        <f>'Historical NAV'!A1156</f>
        <v>45639</v>
      </c>
      <c r="B1156" s="169">
        <f>'Historical NAV'!B1156</f>
        <v>76579798.656568497</v>
      </c>
      <c r="C1156" s="169">
        <f>'Historical NAV'!C1156</f>
        <v>0</v>
      </c>
      <c r="D1156" s="169" t="e">
        <f>'Historical NAV'!#REF!</f>
        <v>#REF!</v>
      </c>
      <c r="E1156" s="169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2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38">
        <f t="shared" si="192"/>
        <v>1.7857142857142857E-4</v>
      </c>
      <c r="Y1156" s="135">
        <f t="shared" ref="Y1156" si="389">I1156-X1156</f>
        <v>-4.678195024901923E-3</v>
      </c>
      <c r="Z1156" s="135">
        <f t="shared" ref="Z1156" si="390">IF(Y1156&lt;0,Y1156,0)</f>
        <v>-4.678195024901923E-3</v>
      </c>
      <c r="AA1156" s="135">
        <f t="shared" ref="AA1156" si="391">Z1156^2</f>
        <v>2.1885508691017103E-5</v>
      </c>
      <c r="AB1156" s="140">
        <f t="shared" ref="AB1156" si="392">AVERAGE(Y903:Y1156)/AVERAGE(AA903:AA1156)</f>
        <v>2.3193060979138944</v>
      </c>
      <c r="AC1156" s="140">
        <f t="shared" ref="AC1156" si="393">AVERAGE(I1125:I1156)-_xlfn.NORM.S.INV(0.95)*_xlfn.STDEV.S(I1125:I1156)</f>
        <v>-3.5897458575232535E-2</v>
      </c>
      <c r="AD1156" s="140">
        <f t="shared" ref="AD1156" si="394">AVERAGE(I1065:I1156)-_xlfn.NORM.S.INV(0.95)*_xlfn.STDEV.S(I1065:I1156)</f>
        <v>-4.2429819985263295E-2</v>
      </c>
      <c r="AE1156" s="140">
        <f t="shared" ref="AE1156" si="395">AVERAGE(I790:I1156)-_xlfn.NORM.S.INV(0.95)*_xlfn.STDEV.S(I790:I1156)</f>
        <v>-4.7757258820907582E-2</v>
      </c>
    </row>
    <row r="1157" spans="1:31">
      <c r="A1157" s="168">
        <f>'Historical NAV'!A1157</f>
        <v>45642</v>
      </c>
      <c r="B1157" s="169">
        <f>'Historical NAV'!B1157</f>
        <v>76740517.720513999</v>
      </c>
      <c r="C1157" s="169">
        <f>'Historical NAV'!C1157</f>
        <v>0</v>
      </c>
      <c r="D1157" s="169" t="e">
        <f>'Historical NAV'!#REF!</f>
        <v>#REF!</v>
      </c>
      <c r="E1157" s="169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2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38">
        <f t="shared" si="192"/>
        <v>1.7857142857142857E-4</v>
      </c>
      <c r="Y1157" s="135">
        <f t="shared" ref="Y1157" si="409">I1157-X1157</f>
        <v>2.197679190231859E-3</v>
      </c>
      <c r="Z1157" s="135">
        <f t="shared" ref="Z1157" si="410">IF(Y1157&lt;0,Y1157,0)</f>
        <v>0</v>
      </c>
      <c r="AA1157" s="135">
        <f t="shared" ref="AA1157" si="411">Z1157^2</f>
        <v>0</v>
      </c>
      <c r="AB1157" s="140">
        <f t="shared" ref="AB1157" si="412">AVERAGE(Y904:Y1157)/AVERAGE(AA904:AA1157)</f>
        <v>2.2556925690055354</v>
      </c>
      <c r="AC1157" s="140">
        <f t="shared" ref="AC1157" si="413">AVERAGE(I1126:I1157)-_xlfn.NORM.S.INV(0.95)*_xlfn.STDEV.S(I1126:I1157)</f>
        <v>-2.9406577948517899E-2</v>
      </c>
      <c r="AD1157" s="140">
        <f t="shared" ref="AD1157" si="414">AVERAGE(I1066:I1157)-_xlfn.NORM.S.INV(0.95)*_xlfn.STDEV.S(I1066:I1157)</f>
        <v>-4.0947911239807303E-2</v>
      </c>
      <c r="AE1157" s="140">
        <f t="shared" ref="AE1157" si="415">AVERAGE(I791:I1157)-_xlfn.NORM.S.INV(0.95)*_xlfn.STDEV.S(I791:I1157)</f>
        <v>-4.7779593097119245E-2</v>
      </c>
    </row>
    <row r="1158" spans="1:31">
      <c r="A1158" s="168">
        <f>'Historical NAV'!A1158</f>
        <v>45643</v>
      </c>
      <c r="B1158" s="169">
        <f>'Historical NAV'!B1158</f>
        <v>75616350.592625797</v>
      </c>
      <c r="C1158" s="169">
        <f>'Historical NAV'!C1158</f>
        <v>0</v>
      </c>
      <c r="D1158" s="169" t="e">
        <f>'Historical NAV'!#REF!</f>
        <v>#REF!</v>
      </c>
      <c r="E1158" s="169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2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38">
        <f t="shared" si="192"/>
        <v>1.7857142857142857E-4</v>
      </c>
      <c r="Y1158" s="135">
        <f t="shared" ref="Y1158" si="429">I1158-X1158</f>
        <v>-4.9177029680891006E-3</v>
      </c>
      <c r="Z1158" s="135">
        <f t="shared" ref="Z1158" si="430">IF(Y1158&lt;0,Y1158,0)</f>
        <v>-4.9177029680891006E-3</v>
      </c>
      <c r="AA1158" s="135">
        <f t="shared" ref="AA1158" si="431">Z1158^2</f>
        <v>2.418380248235235E-5</v>
      </c>
      <c r="AB1158" s="140">
        <f t="shared" ref="AB1158" si="432">AVERAGE(Y905:Y1158)/AVERAGE(AA905:AA1158)</f>
        <v>2.2205661885826284</v>
      </c>
      <c r="AC1158" s="140">
        <f t="shared" ref="AC1158" si="433">AVERAGE(I1127:I1158)-_xlfn.NORM.S.INV(0.95)*_xlfn.STDEV.S(I1127:I1158)</f>
        <v>-2.9890872435490108E-2</v>
      </c>
      <c r="AD1158" s="140">
        <f t="shared" ref="AD1158" si="434">AVERAGE(I1067:I1158)-_xlfn.NORM.S.INV(0.95)*_xlfn.STDEV.S(I1067:I1158)</f>
        <v>-4.1143596711972097E-2</v>
      </c>
      <c r="AE1158" s="140">
        <f t="shared" ref="AE1158" si="435">AVERAGE(I792:I1158)-_xlfn.NORM.S.INV(0.95)*_xlfn.STDEV.S(I792:I1158)</f>
        <v>-4.7784450008854285E-2</v>
      </c>
    </row>
    <row r="1159" spans="1:31">
      <c r="A1159" s="168">
        <f>'Historical NAV'!A1159</f>
        <v>45644</v>
      </c>
      <c r="B1159" s="169">
        <f>'Historical NAV'!B1159</f>
        <v>70343066.272483796</v>
      </c>
      <c r="C1159" s="169">
        <f>'Historical NAV'!C1159</f>
        <v>0</v>
      </c>
      <c r="D1159" s="169" t="e">
        <f>'Historical NAV'!#REF!</f>
        <v>#REF!</v>
      </c>
      <c r="E1159" s="169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2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38">
        <f t="shared" si="192"/>
        <v>1.7857142857142857E-4</v>
      </c>
      <c r="Y1159" s="135">
        <f t="shared" ref="Y1159" si="449">I1159-X1159</f>
        <v>-6.9650636914026134E-2</v>
      </c>
      <c r="Z1159" s="135">
        <f t="shared" ref="Z1159" si="450">IF(Y1159&lt;0,Y1159,0)</f>
        <v>-6.9650636914026134E-2</v>
      </c>
      <c r="AA1159" s="135">
        <f t="shared" ref="AA1159" si="451">Z1159^2</f>
        <v>4.8512112225295003E-3</v>
      </c>
      <c r="AB1159" s="140">
        <f t="shared" ref="AB1159" si="452">AVERAGE(Y906:Y1159)/AVERAGE(AA906:AA1159)</f>
        <v>1.2757067965909539</v>
      </c>
      <c r="AC1159" s="140">
        <f t="shared" ref="AC1159" si="453">AVERAGE(I1128:I1159)-_xlfn.NORM.S.INV(0.95)*_xlfn.STDEV.S(I1128:I1159)</f>
        <v>-3.8204793501271615E-2</v>
      </c>
      <c r="AD1159" s="140">
        <f t="shared" ref="AD1159" si="454">AVERAGE(I1068:I1159)-_xlfn.NORM.S.INV(0.95)*_xlfn.STDEV.S(I1068:I1159)</f>
        <v>-4.3743531120729769E-2</v>
      </c>
      <c r="AE1159" s="140">
        <f t="shared" ref="AE1159" si="455">AVERAGE(I793:I1159)-_xlfn.NORM.S.INV(0.95)*_xlfn.STDEV.S(I793:I1159)</f>
        <v>-4.8044280834099576E-2</v>
      </c>
    </row>
    <row r="1160" spans="1:31">
      <c r="A1160" s="168">
        <f>'Historical NAV'!A1160</f>
        <v>45645</v>
      </c>
      <c r="B1160" s="169">
        <f>'Historical NAV'!B1160</f>
        <v>69661755.750236794</v>
      </c>
      <c r="C1160" s="169">
        <f>'Historical NAV'!C1160</f>
        <v>0</v>
      </c>
      <c r="D1160" s="169" t="e">
        <f>'Historical NAV'!#REF!</f>
        <v>#REF!</v>
      </c>
      <c r="E1160" s="169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2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38">
        <f t="shared" si="192"/>
        <v>1.7857142857142857E-4</v>
      </c>
      <c r="Y1160" s="135">
        <f t="shared" ref="Y1160" si="469">I1160-X1160</f>
        <v>-1.1441890391352062E-2</v>
      </c>
      <c r="Z1160" s="135">
        <f t="shared" ref="Z1160" si="470">IF(Y1160&lt;0,Y1160,0)</f>
        <v>-1.1441890391352062E-2</v>
      </c>
      <c r="AA1160" s="135">
        <f t="shared" ref="AA1160" si="471">Z1160^2</f>
        <v>1.3091685572771465E-4</v>
      </c>
      <c r="AB1160" s="140">
        <f t="shared" ref="AB1160" si="472">AVERAGE(Y907:Y1160)/AVERAGE(AA907:AA1160)</f>
        <v>0.89428782396453932</v>
      </c>
      <c r="AC1160" s="140">
        <f t="shared" ref="AC1160" si="473">AVERAGE(I1129:I1160)-_xlfn.NORM.S.INV(0.95)*_xlfn.STDEV.S(I1129:I1160)</f>
        <v>-3.7613958449908745E-2</v>
      </c>
      <c r="AD1160" s="140">
        <f t="shared" ref="AD1160" si="474">AVERAGE(I1069:I1160)-_xlfn.NORM.S.INV(0.95)*_xlfn.STDEV.S(I1069:I1160)</f>
        <v>-4.3579234035890972E-2</v>
      </c>
      <c r="AE1160" s="140">
        <f t="shared" ref="AE1160" si="475">AVERAGE(I794:I1160)-_xlfn.NORM.S.INV(0.95)*_xlfn.STDEV.S(I794:I1160)</f>
        <v>-4.8078819092667563E-2</v>
      </c>
    </row>
    <row r="1161" spans="1:31">
      <c r="A1161" s="168">
        <f>'Historical NAV'!A1161</f>
        <v>45646</v>
      </c>
      <c r="B1161" s="169">
        <f>'Historical NAV'!B1161</f>
        <v>72017375.235193595</v>
      </c>
      <c r="C1161" s="169">
        <f>'Historical NAV'!C1161</f>
        <v>0</v>
      </c>
      <c r="D1161" s="169" t="e">
        <f>'Historical NAV'!#REF!</f>
        <v>#REF!</v>
      </c>
      <c r="E1161" s="169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2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38">
        <f t="shared" si="192"/>
        <v>1.7857142857142857E-4</v>
      </c>
      <c r="Y1161" s="135">
        <f t="shared" ref="Y1161" si="489">I1161-X1161</f>
        <v>2.8273595238934128E-2</v>
      </c>
      <c r="Z1161" s="135">
        <f t="shared" ref="Z1161" si="490">IF(Y1161&lt;0,Y1161,0)</f>
        <v>0</v>
      </c>
      <c r="AA1161" s="135">
        <f t="shared" ref="AA1161" si="491">Z1161^2</f>
        <v>0</v>
      </c>
      <c r="AB1161" s="140">
        <f t="shared" ref="AB1161" si="492">AVERAGE(Y908:Y1161)/AVERAGE(AA908:AA1161)</f>
        <v>1.2276363524106608</v>
      </c>
      <c r="AC1161" s="140">
        <f t="shared" ref="AC1161" si="493">AVERAGE(I1130:I1161)-_xlfn.NORM.S.INV(0.95)*_xlfn.STDEV.S(I1130:I1161)</f>
        <v>-3.5874709968457694E-2</v>
      </c>
      <c r="AD1161" s="140">
        <f t="shared" ref="AD1161" si="494">AVERAGE(I1070:I1161)-_xlfn.NORM.S.INV(0.95)*_xlfn.STDEV.S(I1070:I1161)</f>
        <v>-4.3513989231508982E-2</v>
      </c>
      <c r="AE1161" s="140">
        <f t="shared" ref="AE1161" si="495">AVERAGE(I795:I1161)-_xlfn.NORM.S.INV(0.95)*_xlfn.STDEV.S(I795:I1161)</f>
        <v>-4.8055247964824771E-2</v>
      </c>
    </row>
    <row r="1162" spans="1:31">
      <c r="A1162" s="168">
        <f>'Historical NAV'!A1162</f>
        <v>45649</v>
      </c>
      <c r="B1162" s="169">
        <f>'Historical NAV'!B1162</f>
        <v>74183361.931585699</v>
      </c>
      <c r="C1162" s="169">
        <f>'Historical NAV'!C1162</f>
        <v>0</v>
      </c>
      <c r="D1162" s="169" t="e">
        <f>'Historical NAV'!#REF!</f>
        <v>#REF!</v>
      </c>
      <c r="E1162" s="169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2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38">
        <f t="shared" si="192"/>
        <v>1.7857142857142857E-4</v>
      </c>
      <c r="Y1162" s="135">
        <f t="shared" ref="Y1162" si="509">I1162-X1162</f>
        <v>2.7368286394464463E-2</v>
      </c>
      <c r="Z1162" s="135">
        <f t="shared" ref="Z1162" si="510">IF(Y1162&lt;0,Y1162,0)</f>
        <v>0</v>
      </c>
      <c r="AA1162" s="135">
        <f t="shared" ref="AA1162" si="511">Z1162^2</f>
        <v>0</v>
      </c>
      <c r="AB1162" s="140">
        <f t="shared" ref="AB1162" si="512">AVERAGE(Y909:Y1162)/AVERAGE(AA909:AA1162)</f>
        <v>1.8206422915801244</v>
      </c>
      <c r="AC1162" s="140">
        <f t="shared" ref="AC1162" si="513">AVERAGE(I1131:I1162)-_xlfn.NORM.S.INV(0.95)*_xlfn.STDEV.S(I1131:I1162)</f>
        <v>-3.545335506095923E-2</v>
      </c>
      <c r="AD1162" s="140">
        <f t="shared" ref="AD1162" si="514">AVERAGE(I1071:I1162)-_xlfn.NORM.S.INV(0.95)*_xlfn.STDEV.S(I1071:I1162)</f>
        <v>-4.3138726966252781E-2</v>
      </c>
      <c r="AE1162" s="140">
        <f t="shared" ref="AE1162" si="515">AVERAGE(I796:I1162)-_xlfn.NORM.S.INV(0.95)*_xlfn.STDEV.S(I796:I1162)</f>
        <v>-4.8051879374464784E-2</v>
      </c>
    </row>
    <row r="1163" spans="1:31">
      <c r="A1163" s="168">
        <f>'Historical NAV'!A1163</f>
        <v>45650</v>
      </c>
      <c r="B1163" s="169">
        <f>'Historical NAV'!B1163</f>
        <v>75925636.637719199</v>
      </c>
      <c r="C1163" s="169">
        <f>'Historical NAV'!C1163</f>
        <v>0</v>
      </c>
      <c r="D1163" s="169" t="e">
        <f>'Historical NAV'!#REF!</f>
        <v>#REF!</v>
      </c>
      <c r="E1163" s="169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2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38">
        <f t="shared" si="192"/>
        <v>1.7857142857142857E-4</v>
      </c>
      <c r="Y1163" s="135">
        <f t="shared" ref="Y1163" si="529">I1163-X1163</f>
        <v>2.0507992595700707E-2</v>
      </c>
      <c r="Z1163" s="135">
        <f t="shared" ref="Z1163" si="530">IF(Y1163&lt;0,Y1163,0)</f>
        <v>0</v>
      </c>
      <c r="AA1163" s="135">
        <f t="shared" ref="AA1163" si="531">Z1163^2</f>
        <v>0</v>
      </c>
      <c r="AB1163" s="140">
        <f t="shared" ref="AB1163" si="532">AVERAGE(Y910:Y1163)/AVERAGE(AA910:AA1163)</f>
        <v>1.9825221682609486</v>
      </c>
      <c r="AC1163" s="140">
        <f t="shared" ref="AC1163" si="533">AVERAGE(I1132:I1163)-_xlfn.NORM.S.INV(0.95)*_xlfn.STDEV.S(I1132:I1163)</f>
        <v>-3.5312889065608276E-2</v>
      </c>
      <c r="AD1163" s="140">
        <f t="shared" ref="AD1163" si="534">AVERAGE(I1072:I1163)-_xlfn.NORM.S.INV(0.95)*_xlfn.STDEV.S(I1072:I1163)</f>
        <v>-4.3137178612381956E-2</v>
      </c>
      <c r="AE1163" s="140">
        <f t="shared" ref="AE1163" si="535">AVERAGE(I797:I1163)-_xlfn.NORM.S.INV(0.95)*_xlfn.STDEV.S(I797:I1163)</f>
        <v>-4.8021711891645995E-2</v>
      </c>
    </row>
    <row r="1164" spans="1:31">
      <c r="A1164" s="168">
        <f>'Historical NAV'!A1164</f>
        <v>45651</v>
      </c>
      <c r="B1164" s="169">
        <f>'Historical NAV'!B1164</f>
        <v>75928550.679627493</v>
      </c>
      <c r="C1164" s="169">
        <f>'Historical NAV'!C1164</f>
        <v>0</v>
      </c>
      <c r="D1164" s="169" t="e">
        <f>'Historical NAV'!#REF!</f>
        <v>#REF!</v>
      </c>
      <c r="E1164" s="169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2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38">
        <f t="shared" si="192"/>
        <v>1.7857142857142857E-4</v>
      </c>
      <c r="Y1164" s="135">
        <f t="shared" ref="Y1164" si="549">I1164-X1164</f>
        <v>-1.4019121817953714E-4</v>
      </c>
      <c r="Z1164" s="135">
        <f t="shared" ref="Z1164" si="550">IF(Y1164&lt;0,Y1164,0)</f>
        <v>-1.4019121817953714E-4</v>
      </c>
      <c r="AA1164" s="135">
        <f t="shared" ref="AA1164" si="551">Z1164^2</f>
        <v>1.9653577654662586E-8</v>
      </c>
      <c r="AB1164" s="140">
        <f t="shared" ref="AB1164" si="552">AVERAGE(Y911:Y1164)/AVERAGE(AA911:AA1164)</f>
        <v>2.5498505300485195</v>
      </c>
      <c r="AC1164" s="140">
        <f t="shared" ref="AC1164" si="553">AVERAGE(I1133:I1164)-_xlfn.NORM.S.INV(0.95)*_xlfn.STDEV.S(I1133:I1164)</f>
        <v>-3.4369379861282474E-2</v>
      </c>
      <c r="AD1164" s="140">
        <f t="shared" ref="AD1164" si="554">AVERAGE(I1073:I1164)-_xlfn.NORM.S.INV(0.95)*_xlfn.STDEV.S(I1073:I1164)</f>
        <v>-4.3175815513777603E-2</v>
      </c>
      <c r="AE1164" s="140">
        <f t="shared" ref="AE1164" si="555">AVERAGE(I798:I1164)-_xlfn.NORM.S.INV(0.95)*_xlfn.STDEV.S(I798:I1164)</f>
        <v>-4.7925673362732027E-2</v>
      </c>
    </row>
    <row r="1165" spans="1:31">
      <c r="A1165" s="168">
        <f>'Historical NAV'!A1165</f>
        <v>45652</v>
      </c>
      <c r="B1165" s="169">
        <f>'Historical NAV'!B1165</f>
        <v>75709228.804973707</v>
      </c>
      <c r="C1165" s="169">
        <f>'Historical NAV'!C1165</f>
        <v>0</v>
      </c>
      <c r="D1165" s="169" t="e">
        <f>'Historical NAV'!#REF!</f>
        <v>#REF!</v>
      </c>
      <c r="E1165" s="169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2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38">
        <f t="shared" si="192"/>
        <v>1.7857142857142857E-4</v>
      </c>
      <c r="Y1165" s="135">
        <f t="shared" ref="Y1165" si="569">I1165-X1165</f>
        <v>-3.5543954415347156E-3</v>
      </c>
      <c r="Z1165" s="135">
        <f t="shared" ref="Z1165" si="570">IF(Y1165&lt;0,Y1165,0)</f>
        <v>-3.5543954415347156E-3</v>
      </c>
      <c r="AA1165" s="135">
        <f t="shared" ref="AA1165" si="571">Z1165^2</f>
        <v>1.2633726954802765E-5</v>
      </c>
      <c r="AB1165" s="140">
        <f t="shared" ref="AB1165" si="572">AVERAGE(Y912:Y1165)/AVERAGE(AA912:AA1165)</f>
        <v>3.0895374165459666</v>
      </c>
      <c r="AC1165" s="140">
        <f t="shared" ref="AC1165" si="573">AVERAGE(I1134:I1165)-_xlfn.NORM.S.INV(0.95)*_xlfn.STDEV.S(I1134:I1165)</f>
        <v>-3.3954459824473072E-2</v>
      </c>
      <c r="AD1165" s="140">
        <f t="shared" ref="AD1165" si="574">AVERAGE(I1074:I1165)-_xlfn.NORM.S.INV(0.95)*_xlfn.STDEV.S(I1074:I1165)</f>
        <v>-4.2767134555411285E-2</v>
      </c>
      <c r="AE1165" s="140">
        <f t="shared" ref="AE1165" si="575">AVERAGE(I799:I1165)-_xlfn.NORM.S.INV(0.95)*_xlfn.STDEV.S(I799:I1165)</f>
        <v>-4.7957374456700431E-2</v>
      </c>
    </row>
    <row r="1166" spans="1:31">
      <c r="A1166" s="168">
        <f>'Historical NAV'!A1166</f>
        <v>45653</v>
      </c>
      <c r="B1166" s="169">
        <f>'Historical NAV'!B1166</f>
        <v>73648042.516767606</v>
      </c>
      <c r="C1166" s="169">
        <f>'Historical NAV'!C1166</f>
        <v>0</v>
      </c>
      <c r="D1166" s="169" t="e">
        <f>'Historical NAV'!#REF!</f>
        <v>#REF!</v>
      </c>
      <c r="E1166" s="169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2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38">
        <f t="shared" si="192"/>
        <v>1.7857142857142857E-4</v>
      </c>
      <c r="Y1166" s="135">
        <f t="shared" ref="Y1166" si="589">I1166-X1166</f>
        <v>-2.6164441305466201E-2</v>
      </c>
      <c r="Z1166" s="135">
        <f t="shared" ref="Z1166" si="590">IF(Y1166&lt;0,Y1166,0)</f>
        <v>-2.6164441305466201E-2</v>
      </c>
      <c r="AA1166" s="135">
        <f t="shared" ref="AA1166" si="591">Z1166^2</f>
        <v>6.8457798882718584E-4</v>
      </c>
      <c r="AB1166" s="140">
        <f t="shared" ref="AB1166" si="592">AVERAGE(Y913:Y1166)/AVERAGE(AA913:AA1166)</f>
        <v>2.9337150382756723</v>
      </c>
      <c r="AC1166" s="140">
        <f t="shared" ref="AC1166" si="593">AVERAGE(I1135:I1166)-_xlfn.NORM.S.INV(0.95)*_xlfn.STDEV.S(I1135:I1166)</f>
        <v>-3.487037176112736E-2</v>
      </c>
      <c r="AD1166" s="140">
        <f t="shared" ref="AD1166" si="594">AVERAGE(I1075:I1166)-_xlfn.NORM.S.INV(0.95)*_xlfn.STDEV.S(I1075:I1166)</f>
        <v>-4.3409035766622625E-2</v>
      </c>
      <c r="AE1166" s="140">
        <f t="shared" ref="AE1166" si="595">AVERAGE(I800:I1166)-_xlfn.NORM.S.INV(0.95)*_xlfn.STDEV.S(I800:I1166)</f>
        <v>-4.8088152720317523E-2</v>
      </c>
    </row>
    <row r="1167" spans="1:31">
      <c r="A1167" s="168">
        <f>'Historical NAV'!A1167</f>
        <v>45656</v>
      </c>
      <c r="B1167" s="169">
        <f>'Historical NAV'!B1167</f>
        <v>72275004.793477505</v>
      </c>
      <c r="C1167" s="169">
        <f>'Historical NAV'!C1167</f>
        <v>0</v>
      </c>
      <c r="D1167" s="169" t="e">
        <f>'Historical NAV'!#REF!</f>
        <v>#REF!</v>
      </c>
      <c r="E1167" s="169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2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38">
        <f t="shared" si="192"/>
        <v>1.7857142857142857E-4</v>
      </c>
      <c r="Y1167" s="135">
        <f t="shared" ref="Y1167" si="609">I1167-X1167</f>
        <v>-1.6827102216215167E-2</v>
      </c>
      <c r="Z1167" s="135">
        <f t="shared" ref="Z1167" si="610">IF(Y1167&lt;0,Y1167,0)</f>
        <v>-1.6827102216215167E-2</v>
      </c>
      <c r="AA1167" s="135">
        <f t="shared" ref="AA1167" si="611">Z1167^2</f>
        <v>2.8315136899495339E-4</v>
      </c>
      <c r="AB1167" s="140">
        <f t="shared" ref="AB1167" si="612">AVERAGE(Y914:Y1167)/AVERAGE(AA914:AA1167)</f>
        <v>2.7851829443292635</v>
      </c>
      <c r="AC1167" s="140">
        <f t="shared" ref="AC1167" si="613">AVERAGE(I1136:I1167)-_xlfn.NORM.S.INV(0.95)*_xlfn.STDEV.S(I1136:I1167)</f>
        <v>-3.5272907083957701E-2</v>
      </c>
      <c r="AD1167" s="140">
        <f t="shared" ref="AD1167" si="614">AVERAGE(I1076:I1167)-_xlfn.NORM.S.INV(0.95)*_xlfn.STDEV.S(I1076:I1167)</f>
        <v>-4.2836264655143313E-2</v>
      </c>
      <c r="AE1167" s="140">
        <f t="shared" ref="AE1167" si="615">AVERAGE(I801:I1167)-_xlfn.NORM.S.INV(0.95)*_xlfn.STDEV.S(I801:I1167)</f>
        <v>-4.8090040790715882E-2</v>
      </c>
    </row>
    <row r="1168" spans="1:31">
      <c r="A1168" s="168">
        <f>'Historical NAV'!A1168</f>
        <v>45657</v>
      </c>
      <c r="B1168" s="169">
        <f>'Historical NAV'!B1168</f>
        <v>71204832.621444106</v>
      </c>
      <c r="C1168" s="169">
        <f>'Historical NAV'!C1168</f>
        <v>0</v>
      </c>
      <c r="D1168" s="169" t="e">
        <f>'Historical NAV'!#REF!</f>
        <v>#REF!</v>
      </c>
      <c r="E1168" s="169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2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38">
        <f t="shared" si="192"/>
        <v>1.7857142857142857E-4</v>
      </c>
      <c r="Y1168" s="135">
        <f t="shared" ref="Y1168" si="629">I1168-X1168</f>
        <v>-3.3035797956057746E-2</v>
      </c>
      <c r="Z1168" s="135">
        <f t="shared" ref="Z1168" si="630">IF(Y1168&lt;0,Y1168,0)</f>
        <v>-3.3035797956057746E-2</v>
      </c>
      <c r="AA1168" s="135">
        <f t="shared" ref="AA1168" si="631">Z1168^2</f>
        <v>1.0913639465934691E-3</v>
      </c>
      <c r="AB1168" s="140">
        <f t="shared" ref="AB1168" si="632">AVERAGE(Y915:Y1168)/AVERAGE(AA915:AA1168)</f>
        <v>2.2647682355058909</v>
      </c>
      <c r="AC1168" s="140">
        <f t="shared" ref="AC1168" si="633">AVERAGE(I1137:I1168)-_xlfn.NORM.S.INV(0.95)*_xlfn.STDEV.S(I1137:I1168)</f>
        <v>-3.5274392243932022E-2</v>
      </c>
      <c r="AD1168" s="140">
        <f t="shared" ref="AD1168" si="634">AVERAGE(I1077:I1168)-_xlfn.NORM.S.INV(0.95)*_xlfn.STDEV.S(I1077:I1168)</f>
        <v>-4.3251501410551819E-2</v>
      </c>
      <c r="AE1168" s="140">
        <f t="shared" ref="AE1168" si="635">AVERAGE(I802:I1168)-_xlfn.NORM.S.INV(0.95)*_xlfn.STDEV.S(I802:I1168)</f>
        <v>-4.7976175125806507E-2</v>
      </c>
    </row>
    <row r="1169" spans="1:31">
      <c r="A1169" s="168">
        <f>'Historical NAV'!A1169</f>
        <v>45659</v>
      </c>
      <c r="B1169" s="169">
        <f>'Historical NAV'!B1169</f>
        <v>63255466.560107999</v>
      </c>
      <c r="C1169" s="169">
        <f>'Historical NAV'!C1169</f>
        <v>-9000000</v>
      </c>
      <c r="D1169" s="169" t="e">
        <f>'Historical NAV'!#REF!</f>
        <v>#REF!</v>
      </c>
      <c r="E1169" s="169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2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38">
        <f t="shared" si="192"/>
        <v>1.7857142857142857E-4</v>
      </c>
      <c r="Y1169" s="135">
        <f t="shared" ref="Y1169" si="649">I1169-X1169</f>
        <v>1.4528586219440765E-2</v>
      </c>
      <c r="Z1169" s="135">
        <f t="shared" ref="Z1169" si="650">IF(Y1169&lt;0,Y1169,0)</f>
        <v>0</v>
      </c>
      <c r="AA1169" s="135">
        <f t="shared" ref="AA1169" si="651">Z1169^2</f>
        <v>0</v>
      </c>
      <c r="AB1169" s="140">
        <f t="shared" ref="AB1169" si="652">AVERAGE(Y916:Y1169)/AVERAGE(AA916:AA1169)</f>
        <v>2.4762227234322554</v>
      </c>
      <c r="AC1169" s="140">
        <f t="shared" ref="AC1169" si="653">AVERAGE(I1138:I1169)-_xlfn.NORM.S.INV(0.95)*_xlfn.STDEV.S(I1138:I1169)</f>
        <v>-3.5286682971807481E-2</v>
      </c>
      <c r="AD1169" s="140">
        <f t="shared" ref="AD1169" si="654">AVERAGE(I1078:I1169)-_xlfn.NORM.S.INV(0.95)*_xlfn.STDEV.S(I1078:I1169)</f>
        <v>-4.2815813585864775E-2</v>
      </c>
      <c r="AE1169" s="140">
        <f t="shared" ref="AE1169" si="655">AVERAGE(I803:I1169)-_xlfn.NORM.S.INV(0.95)*_xlfn.STDEV.S(I803:I1169)</f>
        <v>-4.7887303800085719E-2</v>
      </c>
    </row>
    <row r="1170" spans="1:31">
      <c r="A1170" s="168">
        <f>'Historical NAV'!A1170</f>
        <v>45660</v>
      </c>
      <c r="B1170" s="169">
        <f>'Historical NAV'!B1170</f>
        <v>66348162.478378601</v>
      </c>
      <c r="C1170" s="169">
        <f>'Historical NAV'!C1170</f>
        <v>0</v>
      </c>
      <c r="D1170" s="169" t="e">
        <f>'Historical NAV'!#REF!</f>
        <v>#REF!</v>
      </c>
      <c r="E1170" s="169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2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38">
        <f t="shared" si="192"/>
        <v>1.7857142857142857E-4</v>
      </c>
      <c r="Y1170" s="135">
        <f t="shared" ref="Y1170" si="669">I1170-X1170</f>
        <v>4.6997327992468391E-2</v>
      </c>
      <c r="Z1170" s="135">
        <f t="shared" ref="Z1170" si="670">IF(Y1170&lt;0,Y1170,0)</f>
        <v>0</v>
      </c>
      <c r="AA1170" s="135">
        <f t="shared" ref="AA1170" si="671">Z1170^2</f>
        <v>0</v>
      </c>
      <c r="AB1170" s="140">
        <f t="shared" ref="AB1170" si="672">AVERAGE(Y917:Y1170)/AVERAGE(AA917:AA1170)</f>
        <v>2.8109138052447658</v>
      </c>
      <c r="AC1170" s="140">
        <f t="shared" ref="AC1170" si="673">AVERAGE(I1139:I1170)-_xlfn.NORM.S.INV(0.95)*_xlfn.STDEV.S(I1139:I1170)</f>
        <v>-3.6595475459088658E-2</v>
      </c>
      <c r="AD1170" s="140">
        <f t="shared" ref="AD1170" si="674">AVERAGE(I1079:I1170)-_xlfn.NORM.S.INV(0.95)*_xlfn.STDEV.S(I1079:I1170)</f>
        <v>-4.3099541195662887E-2</v>
      </c>
      <c r="AE1170" s="140">
        <f t="shared" ref="AE1170" si="675">AVERAGE(I804:I1170)-_xlfn.NORM.S.INV(0.95)*_xlfn.STDEV.S(I804:I1170)</f>
        <v>-4.791643547386832E-2</v>
      </c>
    </row>
    <row r="1171" spans="1:31">
      <c r="A1171" s="168">
        <f>'Historical NAV'!A1171</f>
        <v>45663</v>
      </c>
      <c r="B1171" s="169">
        <f>'Historical NAV'!B1171</f>
        <v>68445979.203684106</v>
      </c>
      <c r="C1171" s="169">
        <f>'Historical NAV'!C1171</f>
        <v>0</v>
      </c>
      <c r="D1171" s="169" t="e">
        <f>'Historical NAV'!#REF!</f>
        <v>#REF!</v>
      </c>
      <c r="E1171" s="169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2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38">
        <f t="shared" si="192"/>
        <v>1.7857142857142857E-4</v>
      </c>
      <c r="Y1171" s="135">
        <f t="shared" ref="Y1171" si="689">I1171-X1171</f>
        <v>3.289758446377386E-2</v>
      </c>
      <c r="Z1171" s="135">
        <f t="shared" ref="Z1171" si="690">IF(Y1171&lt;0,Y1171,0)</f>
        <v>0</v>
      </c>
      <c r="AA1171" s="135">
        <f t="shared" ref="AA1171" si="691">Z1171^2</f>
        <v>0</v>
      </c>
      <c r="AB1171" s="140">
        <f t="shared" ref="AB1171" si="692">AVERAGE(Y918:Y1171)/AVERAGE(AA918:AA1171)</f>
        <v>3.1426886188258916</v>
      </c>
      <c r="AC1171" s="140">
        <f t="shared" ref="AC1171" si="693">AVERAGE(I1140:I1171)-_xlfn.NORM.S.INV(0.95)*_xlfn.STDEV.S(I1140:I1171)</f>
        <v>-3.6820617686536827E-2</v>
      </c>
      <c r="AD1171" s="140">
        <f t="shared" ref="AD1171" si="694">AVERAGE(I1080:I1171)-_xlfn.NORM.S.INV(0.95)*_xlfn.STDEV.S(I1080:I1171)</f>
        <v>-4.2442355476737872E-2</v>
      </c>
      <c r="AE1171" s="140">
        <f t="shared" ref="AE1171" si="695">AVERAGE(I805:I1171)-_xlfn.NORM.S.INV(0.95)*_xlfn.STDEV.S(I805:I1171)</f>
        <v>-4.791201617788983E-2</v>
      </c>
    </row>
    <row r="1172" spans="1:31">
      <c r="A1172" s="168">
        <f>'Historical NAV'!A1172</f>
        <v>45664</v>
      </c>
      <c r="B1172" s="169">
        <f>'Historical NAV'!B1172</f>
        <v>64784770.194913499</v>
      </c>
      <c r="C1172" s="169">
        <f>'Historical NAV'!C1172</f>
        <v>0</v>
      </c>
      <c r="D1172" s="169" t="e">
        <f>'Historical NAV'!#REF!</f>
        <v>#REF!</v>
      </c>
      <c r="E1172" s="169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2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38">
        <f t="shared" si="192"/>
        <v>1.7857142857142857E-4</v>
      </c>
      <c r="Y1172" s="135">
        <f t="shared" ref="Y1172" si="709">I1172-X1172</f>
        <v>-5.4767615551261042E-2</v>
      </c>
      <c r="Z1172" s="135">
        <f t="shared" ref="Z1172" si="710">IF(Y1172&lt;0,Y1172,0)</f>
        <v>-5.4767615551261042E-2</v>
      </c>
      <c r="AA1172" s="135">
        <f t="shared" ref="AA1172" si="711">Z1172^2</f>
        <v>2.9994917131707303E-3</v>
      </c>
      <c r="AB1172" s="140">
        <f t="shared" ref="AB1172" si="712">AVERAGE(Y919:Y1172)/AVERAGE(AA919:AA1172)</f>
        <v>2.6792493827861774</v>
      </c>
      <c r="AC1172" s="140">
        <f t="shared" ref="AC1172" si="713">AVERAGE(I1141:I1172)-_xlfn.NORM.S.INV(0.95)*_xlfn.STDEV.S(I1141:I1172)</f>
        <v>-4.2017401515694407E-2</v>
      </c>
      <c r="AD1172" s="140">
        <f t="shared" ref="AD1172" si="714">AVERAGE(I1081:I1172)-_xlfn.NORM.S.INV(0.95)*_xlfn.STDEV.S(I1081:I1172)</f>
        <v>-4.3756650009922543E-2</v>
      </c>
      <c r="AE1172" s="140">
        <f t="shared" ref="AE1172" si="715">AVERAGE(I806:I1172)-_xlfn.NORM.S.INV(0.95)*_xlfn.STDEV.S(I806:I1172)</f>
        <v>-4.8275884064888239E-2</v>
      </c>
    </row>
    <row r="1173" spans="1:31">
      <c r="A1173" s="168">
        <f>'Historical NAV'!A1173</f>
        <v>45665</v>
      </c>
      <c r="B1173" s="169">
        <f>'Historical NAV'!B1173</f>
        <v>64378423.867367402</v>
      </c>
      <c r="C1173" s="169">
        <f>'Historical NAV'!C1173</f>
        <v>0</v>
      </c>
      <c r="D1173" s="169" t="e">
        <f>'Historical NAV'!#REF!</f>
        <v>#REF!</v>
      </c>
      <c r="E1173" s="169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2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38">
        <f t="shared" si="192"/>
        <v>1.7857142857142857E-4</v>
      </c>
      <c r="Y1173" s="135">
        <f t="shared" ref="Y1173" si="729">I1173-X1173</f>
        <v>-6.9545494281131074E-3</v>
      </c>
      <c r="Z1173" s="135">
        <f t="shared" ref="Z1173" si="730">IF(Y1173&lt;0,Y1173,0)</f>
        <v>-6.9545494281131074E-3</v>
      </c>
      <c r="AA1173" s="135">
        <f t="shared" ref="AA1173" si="731">Z1173^2</f>
        <v>4.8365757748068348E-5</v>
      </c>
      <c r="AB1173" s="140">
        <f t="shared" ref="AB1173" si="732">AVERAGE(Y920:Y1173)/AVERAGE(AA920:AA1173)</f>
        <v>2.6293408551529258</v>
      </c>
      <c r="AC1173" s="140">
        <f t="shared" ref="AC1173" si="733">AVERAGE(I1142:I1173)-_xlfn.NORM.S.INV(0.95)*_xlfn.STDEV.S(I1142:I1173)</f>
        <v>-4.2149742913038885E-2</v>
      </c>
      <c r="AD1173" s="140">
        <f t="shared" ref="AD1173" si="734">AVERAGE(I1082:I1173)-_xlfn.NORM.S.INV(0.95)*_xlfn.STDEV.S(I1082:I1173)</f>
        <v>-4.3917580521928332E-2</v>
      </c>
      <c r="AE1173" s="140">
        <f t="shared" ref="AE1173" si="735">AVERAGE(I807:I1173)-_xlfn.NORM.S.INV(0.95)*_xlfn.STDEV.S(I807:I1173)</f>
        <v>-4.8229076455636608E-2</v>
      </c>
    </row>
    <row r="1174" spans="1:31">
      <c r="A1174" s="168">
        <f>'Historical NAV'!A1174</f>
        <v>45666</v>
      </c>
      <c r="B1174" s="169">
        <f>'Historical NAV'!B1174</f>
        <v>64340660.011150397</v>
      </c>
      <c r="C1174" s="169">
        <f>'Historical NAV'!C1174</f>
        <v>0</v>
      </c>
      <c r="D1174" s="169" t="e">
        <f>'Historical NAV'!#REF!</f>
        <v>#REF!</v>
      </c>
      <c r="E1174" s="169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2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38">
        <f t="shared" si="192"/>
        <v>1.7857142857142857E-4</v>
      </c>
      <c r="Y1174" s="135">
        <f t="shared" ref="Y1174" si="749">I1174-X1174</f>
        <v>-8.4321003956254416E-4</v>
      </c>
      <c r="Z1174" s="135">
        <f t="shared" ref="Z1174" si="750">IF(Y1174&lt;0,Y1174,0)</f>
        <v>-8.4321003956254416E-4</v>
      </c>
      <c r="AA1174" s="135">
        <f t="shared" ref="AA1174" si="751">Z1174^2</f>
        <v>7.1100317081906732E-7</v>
      </c>
      <c r="AB1174" s="140">
        <f t="shared" ref="AB1174" si="752">AVERAGE(Y921:Y1174)/AVERAGE(AA921:AA1174)</f>
        <v>2.7960136083032743</v>
      </c>
      <c r="AC1174" s="140">
        <f t="shared" ref="AC1174" si="753">AVERAGE(I1143:I1174)-_xlfn.NORM.S.INV(0.95)*_xlfn.STDEV.S(I1143:I1174)</f>
        <v>-4.1166355493530662E-2</v>
      </c>
      <c r="AD1174" s="140">
        <f t="shared" ref="AD1174" si="754">AVERAGE(I1083:I1174)-_xlfn.NORM.S.INV(0.95)*_xlfn.STDEV.S(I1083:I1174)</f>
        <v>-4.3872376842952081E-2</v>
      </c>
      <c r="AE1174" s="140">
        <f t="shared" ref="AE1174" si="755">AVERAGE(I808:I1174)-_xlfn.NORM.S.INV(0.95)*_xlfn.STDEV.S(I808:I1174)</f>
        <v>-4.822433292430009E-2</v>
      </c>
    </row>
    <row r="1175" spans="1:31">
      <c r="A1175" s="168">
        <f>'Historical NAV'!A1175</f>
        <v>45667</v>
      </c>
      <c r="B1175" s="169">
        <f>'Historical NAV'!B1175</f>
        <v>61771085.473509103</v>
      </c>
      <c r="C1175" s="169">
        <f>'Historical NAV'!C1175</f>
        <v>0</v>
      </c>
      <c r="D1175" s="169" t="e">
        <f>'Historical NAV'!#REF!</f>
        <v>#REF!</v>
      </c>
      <c r="E1175" s="169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2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38">
        <f t="shared" si="192"/>
        <v>1.7857142857142857E-4</v>
      </c>
      <c r="Y1175" s="135">
        <f t="shared" ref="Y1175" si="769">I1175-X1175</f>
        <v>-4.0194645668330538E-2</v>
      </c>
      <c r="Z1175" s="135">
        <f t="shared" ref="Z1175" si="770">IF(Y1175&lt;0,Y1175,0)</f>
        <v>-4.0194645668330538E-2</v>
      </c>
      <c r="AA1175" s="135">
        <f t="shared" ref="AA1175" si="771">Z1175^2</f>
        <v>1.6156095404026428E-3</v>
      </c>
      <c r="AB1175" s="140">
        <f t="shared" ref="AB1175" si="772">AVERAGE(Y922:Y1175)/AVERAGE(AA922:AA1175)</f>
        <v>2.5483552618007828</v>
      </c>
      <c r="AC1175" s="140">
        <f t="shared" ref="AC1175" si="773">AVERAGE(I1144:I1175)-_xlfn.NORM.S.INV(0.95)*_xlfn.STDEV.S(I1144:I1175)</f>
        <v>-4.4083723390437861E-2</v>
      </c>
      <c r="AD1175" s="140">
        <f t="shared" ref="AD1175" si="774">AVERAGE(I1084:I1175)-_xlfn.NORM.S.INV(0.95)*_xlfn.STDEV.S(I1084:I1175)</f>
        <v>-4.0487680398896803E-2</v>
      </c>
      <c r="AE1175" s="140">
        <f t="shared" ref="AE1175" si="775">AVERAGE(I809:I1175)-_xlfn.NORM.S.INV(0.95)*_xlfn.STDEV.S(I809:I1175)</f>
        <v>-4.8401301310148602E-2</v>
      </c>
    </row>
    <row r="1176" spans="1:31">
      <c r="A1176" s="168">
        <f>'Historical NAV'!A1176</f>
        <v>45670</v>
      </c>
      <c r="B1176" s="169">
        <f>'Historical NAV'!B1176</f>
        <v>60426206.230531901</v>
      </c>
      <c r="C1176" s="169">
        <f>'Historical NAV'!C1176</f>
        <v>0</v>
      </c>
      <c r="D1176" s="169" t="e">
        <f>'Historical NAV'!#REF!</f>
        <v>#REF!</v>
      </c>
      <c r="E1176" s="169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2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38">
        <f t="shared" si="192"/>
        <v>1.7857142857142857E-4</v>
      </c>
      <c r="Y1176" s="135">
        <f t="shared" ref="Y1176" si="789">I1176-X1176</f>
        <v>-2.519079650335659E-2</v>
      </c>
      <c r="Z1176" s="135">
        <f t="shared" ref="Z1176" si="790">IF(Y1176&lt;0,Y1176,0)</f>
        <v>-2.519079650335659E-2</v>
      </c>
      <c r="AA1176" s="135">
        <f t="shared" ref="AA1176" si="791">Z1176^2</f>
        <v>6.3457622847352263E-4</v>
      </c>
      <c r="AB1176" s="140">
        <f t="shared" ref="AB1176" si="792">AVERAGE(Y923:Y1176)/AVERAGE(AA923:AA1176)</f>
        <v>2.2951673403257891</v>
      </c>
      <c r="AC1176" s="140">
        <f t="shared" ref="AC1176" si="793">AVERAGE(I1145:I1176)-_xlfn.NORM.S.INV(0.95)*_xlfn.STDEV.S(I1145:I1176)</f>
        <v>-4.5169374803182498E-2</v>
      </c>
      <c r="AD1176" s="140">
        <f t="shared" ref="AD1176" si="794">AVERAGE(I1085:I1176)-_xlfn.NORM.S.INV(0.95)*_xlfn.STDEV.S(I1085:I1176)</f>
        <v>-4.0530601534270801E-2</v>
      </c>
      <c r="AE1176" s="140">
        <f t="shared" ref="AE1176" si="795">AVERAGE(I810:I1176)-_xlfn.NORM.S.INV(0.95)*_xlfn.STDEV.S(I810:I1176)</f>
        <v>-4.8549774676215719E-2</v>
      </c>
    </row>
    <row r="1177" spans="1:31">
      <c r="A1177" s="168">
        <f>'Historical NAV'!A1177</f>
        <v>45671</v>
      </c>
      <c r="B1177" s="169">
        <f>'Historical NAV'!B1177</f>
        <v>61034161.451888002</v>
      </c>
      <c r="C1177" s="169">
        <f>'Historical NAV'!C1177</f>
        <v>0</v>
      </c>
      <c r="D1177" s="169" t="e">
        <f>'Historical NAV'!#REF!</f>
        <v>#REF!</v>
      </c>
      <c r="E1177" s="169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2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38">
        <f t="shared" si="192"/>
        <v>1.7857142857142857E-4</v>
      </c>
      <c r="Y1177" s="135">
        <f t="shared" ref="Y1177" si="809">I1177-X1177</f>
        <v>1.0189026347897265E-2</v>
      </c>
      <c r="Z1177" s="135">
        <f t="shared" ref="Z1177" si="810">IF(Y1177&lt;0,Y1177,0)</f>
        <v>0</v>
      </c>
      <c r="AA1177" s="135">
        <f t="shared" ref="AA1177" si="811">Z1177^2</f>
        <v>0</v>
      </c>
      <c r="AB1177" s="140">
        <f t="shared" ref="AB1177" si="812">AVERAGE(Y924:Y1177)/AVERAGE(AA924:AA1177)</f>
        <v>2.1898981241043169</v>
      </c>
      <c r="AC1177" s="140">
        <f t="shared" ref="AC1177" si="813">AVERAGE(I1146:I1177)-_xlfn.NORM.S.INV(0.95)*_xlfn.STDEV.S(I1146:I1177)</f>
        <v>-4.4843013037483774E-2</v>
      </c>
      <c r="AD1177" s="140">
        <f t="shared" ref="AD1177" si="814">AVERAGE(I1086:I1177)-_xlfn.NORM.S.INV(0.95)*_xlfn.STDEV.S(I1086:I1177)</f>
        <v>-4.043243765361635E-2</v>
      </c>
      <c r="AE1177" s="140">
        <f t="shared" ref="AE1177" si="815">AVERAGE(I811:I1177)-_xlfn.NORM.S.INV(0.95)*_xlfn.STDEV.S(I811:I1177)</f>
        <v>-4.8432079215171904E-2</v>
      </c>
    </row>
    <row r="1178" spans="1:31">
      <c r="A1178" s="168">
        <f>'Historical NAV'!A1178</f>
        <v>45672</v>
      </c>
      <c r="B1178" s="169">
        <f>'Historical NAV'!B1178</f>
        <v>65091413.221050799</v>
      </c>
      <c r="C1178" s="169">
        <f>'Historical NAV'!C1178</f>
        <v>0</v>
      </c>
      <c r="D1178" s="169" t="e">
        <f>'Historical NAV'!#REF!</f>
        <v>#REF!</v>
      </c>
      <c r="E1178" s="169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2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38">
        <f t="shared" si="192"/>
        <v>1.7857142857142857E-4</v>
      </c>
      <c r="Y1178" s="135">
        <f t="shared" ref="Y1178" si="829">I1178-X1178</f>
        <v>6.4038480562097877E-2</v>
      </c>
      <c r="Z1178" s="135">
        <f t="shared" ref="Z1178" si="830">IF(Y1178&lt;0,Y1178,0)</f>
        <v>0</v>
      </c>
      <c r="AA1178" s="135">
        <f t="shared" ref="AA1178" si="831">Z1178^2</f>
        <v>0</v>
      </c>
      <c r="AB1178" s="140">
        <f t="shared" ref="AB1178" si="832">AVERAGE(Y925:Y1178)/AVERAGE(AA925:AA1178)</f>
        <v>2.591943305486851</v>
      </c>
      <c r="AC1178" s="140">
        <f t="shared" ref="AC1178" si="833">AVERAGE(I1147:I1178)-_xlfn.NORM.S.INV(0.95)*_xlfn.STDEV.S(I1147:I1178)</f>
        <v>-4.7279165541306102E-2</v>
      </c>
      <c r="AD1178" s="140">
        <f t="shared" ref="AD1178" si="834">AVERAGE(I1087:I1178)-_xlfn.NORM.S.INV(0.95)*_xlfn.STDEV.S(I1087:I1178)</f>
        <v>-3.8886471284000586E-2</v>
      </c>
      <c r="AE1178" s="140">
        <f t="shared" ref="AE1178" si="835">AVERAGE(I812:I1178)-_xlfn.NORM.S.INV(0.95)*_xlfn.STDEV.S(I812:I1178)</f>
        <v>-4.8448935867479795E-2</v>
      </c>
    </row>
    <row r="1179" spans="1:31">
      <c r="A1179" s="168">
        <f>'Historical NAV'!A1179</f>
        <v>45673</v>
      </c>
      <c r="B1179" s="169">
        <f>'Historical NAV'!B1179</f>
        <v>65602497.052014701</v>
      </c>
      <c r="C1179" s="169">
        <f>'Historical NAV'!C1179</f>
        <v>0</v>
      </c>
      <c r="D1179" s="169" t="e">
        <f>'Historical NAV'!#REF!</f>
        <v>#REF!</v>
      </c>
      <c r="E1179" s="169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2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38">
        <f t="shared" si="192"/>
        <v>1.7857142857142857E-4</v>
      </c>
      <c r="Y1179" s="135">
        <f t="shared" ref="Y1179" si="849">I1179-X1179</f>
        <v>8.0068229974877229E-3</v>
      </c>
      <c r="Z1179" s="135">
        <f t="shared" ref="Z1179" si="850">IF(Y1179&lt;0,Y1179,0)</f>
        <v>0</v>
      </c>
      <c r="AA1179" s="135">
        <f t="shared" ref="AA1179" si="851">Z1179^2</f>
        <v>0</v>
      </c>
      <c r="AB1179" s="140">
        <f t="shared" ref="AB1179" si="852">AVERAGE(Y926:Y1179)/AVERAGE(AA926:AA1179)</f>
        <v>2.6345593414443993</v>
      </c>
      <c r="AC1179" s="140">
        <f t="shared" ref="AC1179" si="853">AVERAGE(I1148:I1179)-_xlfn.NORM.S.INV(0.95)*_xlfn.STDEV.S(I1148:I1179)</f>
        <v>-4.7328042200717152E-2</v>
      </c>
      <c r="AD1179" s="140">
        <f t="shared" ref="AD1179" si="854">AVERAGE(I1088:I1179)-_xlfn.NORM.S.INV(0.95)*_xlfn.STDEV.S(I1088:I1179)</f>
        <v>-3.8866443056562068E-2</v>
      </c>
      <c r="AE1179" s="140">
        <f t="shared" ref="AE1179" si="855">AVERAGE(I813:I1179)-_xlfn.NORM.S.INV(0.95)*_xlfn.STDEV.S(I813:I1179)</f>
        <v>-4.8290320476973701E-2</v>
      </c>
    </row>
    <row r="1180" spans="1:31">
      <c r="A1180" s="168">
        <f>'Historical NAV'!A1180</f>
        <v>45674</v>
      </c>
      <c r="B1180" s="169">
        <f>'Historical NAV'!B1180</f>
        <v>67491530.463527396</v>
      </c>
      <c r="C1180" s="169">
        <f>'Historical NAV'!C1180</f>
        <v>0</v>
      </c>
      <c r="D1180" s="169" t="e">
        <f>'Historical NAV'!#REF!</f>
        <v>#REF!</v>
      </c>
      <c r="E1180" s="169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2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38">
        <f t="shared" si="192"/>
        <v>1.7857142857142857E-4</v>
      </c>
      <c r="Y1180" s="135">
        <f t="shared" ref="Y1180" si="869">I1180-X1180</f>
        <v>2.6225563769808172E-2</v>
      </c>
      <c r="Z1180" s="135">
        <f t="shared" ref="Z1180" si="870">IF(Y1180&lt;0,Y1180,0)</f>
        <v>0</v>
      </c>
      <c r="AA1180" s="135">
        <f t="shared" ref="AA1180" si="871">Z1180^2</f>
        <v>0</v>
      </c>
      <c r="AB1180" s="140">
        <f t="shared" ref="AB1180" si="872">AVERAGE(Y927:Y1180)/AVERAGE(AA927:AA1180)</f>
        <v>2.8883937544591807</v>
      </c>
      <c r="AC1180" s="140">
        <f t="shared" ref="AC1180" si="873">AVERAGE(I1149:I1180)-_xlfn.NORM.S.INV(0.95)*_xlfn.STDEV.S(I1149:I1180)</f>
        <v>-4.7399469453948961E-2</v>
      </c>
      <c r="AD1180" s="140">
        <f t="shared" ref="AD1180" si="874">AVERAGE(I1089:I1180)-_xlfn.NORM.S.INV(0.95)*_xlfn.STDEV.S(I1089:I1180)</f>
        <v>-3.885395274713048E-2</v>
      </c>
      <c r="AE1180" s="140">
        <f t="shared" ref="AE1180" si="875">AVERAGE(I814:I1180)-_xlfn.NORM.S.INV(0.95)*_xlfn.STDEV.S(I814:I1180)</f>
        <v>-4.826050430050019E-2</v>
      </c>
    </row>
    <row r="1181" spans="1:31">
      <c r="A1181" s="168">
        <f>'Historical NAV'!A1181</f>
        <v>45677</v>
      </c>
      <c r="B1181" s="169">
        <f>'Historical NAV'!B1181</f>
        <v>67750650.121583998</v>
      </c>
      <c r="C1181" s="169">
        <f>'Historical NAV'!C1181</f>
        <v>0</v>
      </c>
      <c r="D1181" s="169" t="e">
        <f>'Historical NAV'!#REF!</f>
        <v>#REF!</v>
      </c>
      <c r="E1181" s="169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2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38">
        <f t="shared" si="192"/>
        <v>1.7857142857142857E-4</v>
      </c>
      <c r="Y1181" s="135">
        <f t="shared" ref="Y1181" si="889">I1181-X1181</f>
        <v>3.6146877596307404E-3</v>
      </c>
      <c r="Z1181" s="135">
        <f t="shared" ref="Z1181" si="890">IF(Y1181&lt;0,Y1181,0)</f>
        <v>0</v>
      </c>
      <c r="AA1181" s="135">
        <f t="shared" ref="AA1181" si="891">Z1181^2</f>
        <v>0</v>
      </c>
      <c r="AB1181" s="140">
        <f t="shared" ref="AB1181" si="892">AVERAGE(Y928:Y1181)/AVERAGE(AA928:AA1181)</f>
        <v>2.9895698994298519</v>
      </c>
      <c r="AC1181" s="140">
        <f t="shared" ref="AC1181" si="893">AVERAGE(I1150:I1181)-_xlfn.NORM.S.INV(0.95)*_xlfn.STDEV.S(I1150:I1181)</f>
        <v>-4.7494768097612029E-2</v>
      </c>
      <c r="AD1181" s="140">
        <f t="shared" ref="AD1181" si="894">AVERAGE(I1090:I1181)-_xlfn.NORM.S.INV(0.95)*_xlfn.STDEV.S(I1090:I1181)</f>
        <v>-3.8437123929455669E-2</v>
      </c>
      <c r="AE1181" s="140">
        <f t="shared" ref="AE1181" si="895">AVERAGE(I815:I1181)-_xlfn.NORM.S.INV(0.95)*_xlfn.STDEV.S(I815:I1181)</f>
        <v>-4.8281096440223839E-2</v>
      </c>
    </row>
    <row r="1182" spans="1:31">
      <c r="A1182" s="168">
        <f>'Historical NAV'!A1182</f>
        <v>45678</v>
      </c>
      <c r="B1182" s="169">
        <f>'Historical NAV'!B1182</f>
        <v>70414288.741659999</v>
      </c>
      <c r="C1182" s="169">
        <f>'Historical NAV'!C1182</f>
        <v>0</v>
      </c>
      <c r="D1182" s="169" t="e">
        <f>'Historical NAV'!#REF!</f>
        <v>#REF!</v>
      </c>
      <c r="E1182" s="169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2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38">
        <f t="shared" si="192"/>
        <v>1.7857142857142857E-4</v>
      </c>
      <c r="Y1182" s="135">
        <f t="shared" ref="Y1182" si="909">I1182-X1182</f>
        <v>3.8540457766991804E-2</v>
      </c>
      <c r="Z1182" s="135">
        <f t="shared" ref="Z1182" si="910">IF(Y1182&lt;0,Y1182,0)</f>
        <v>0</v>
      </c>
      <c r="AA1182" s="135">
        <f t="shared" ref="AA1182" si="911">Z1182^2</f>
        <v>0</v>
      </c>
      <c r="AB1182" s="140">
        <f t="shared" ref="AB1182" si="912">AVERAGE(Y929:Y1182)/AVERAGE(AA929:AA1182)</f>
        <v>3.3318985526051881</v>
      </c>
      <c r="AC1182" s="140">
        <f t="shared" ref="AC1182" si="913">AVERAGE(I1151:I1182)-_xlfn.NORM.S.INV(0.95)*_xlfn.STDEV.S(I1151:I1182)</f>
        <v>-4.7636756801525917E-2</v>
      </c>
      <c r="AD1182" s="140">
        <f t="shared" ref="AD1182" si="914">AVERAGE(I1091:I1182)-_xlfn.NORM.S.INV(0.95)*_xlfn.STDEV.S(I1091:I1182)</f>
        <v>-3.8523241061416705E-2</v>
      </c>
      <c r="AE1182" s="140">
        <f t="shared" ref="AE1182" si="915">AVERAGE(I816:I1182)-_xlfn.NORM.S.INV(0.95)*_xlfn.STDEV.S(I816:I1182)</f>
        <v>-4.8270816926147216E-2</v>
      </c>
    </row>
    <row r="1183" spans="1:31">
      <c r="A1183" s="168">
        <f>'Historical NAV'!A1183</f>
        <v>45679</v>
      </c>
      <c r="B1183" s="169">
        <f>'Historical NAV'!B1183</f>
        <v>72037102.589977294</v>
      </c>
      <c r="C1183" s="169">
        <f>'Historical NAV'!C1183</f>
        <v>0</v>
      </c>
      <c r="D1183" s="169" t="e">
        <f>'Historical NAV'!#REF!</f>
        <v>#REF!</v>
      </c>
      <c r="E1183" s="169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2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38">
        <f t="shared" si="192"/>
        <v>1.7857142857142857E-4</v>
      </c>
      <c r="Y1183" s="135">
        <f t="shared" ref="Y1183" si="929">I1183-X1183</f>
        <v>2.3041174982783869E-2</v>
      </c>
      <c r="Z1183" s="135">
        <f t="shared" ref="Z1183" si="930">IF(Y1183&lt;0,Y1183,0)</f>
        <v>0</v>
      </c>
      <c r="AA1183" s="135">
        <f t="shared" ref="AA1183" si="931">Z1183^2</f>
        <v>0</v>
      </c>
      <c r="AB1183" s="140">
        <f t="shared" ref="AB1183" si="932">AVERAGE(Y930:Y1183)/AVERAGE(AA930:AA1183)</f>
        <v>3.2861423792826807</v>
      </c>
      <c r="AC1183" s="140">
        <f t="shared" ref="AC1183" si="933">AVERAGE(I1152:I1183)-_xlfn.NORM.S.INV(0.95)*_xlfn.STDEV.S(I1152:I1183)</f>
        <v>-4.7435184533514856E-2</v>
      </c>
      <c r="AD1183" s="140">
        <f t="shared" ref="AD1183" si="934">AVERAGE(I1092:I1183)-_xlfn.NORM.S.INV(0.95)*_xlfn.STDEV.S(I1092:I1183)</f>
        <v>-3.8528361625832536E-2</v>
      </c>
      <c r="AE1183" s="140">
        <f t="shared" ref="AE1183" si="935">AVERAGE(I817:I1183)-_xlfn.NORM.S.INV(0.95)*_xlfn.STDEV.S(I817:I1183)</f>
        <v>-4.8262083401030637E-2</v>
      </c>
    </row>
    <row r="1184" spans="1:31">
      <c r="A1184" s="168">
        <f>'Historical NAV'!A1184</f>
        <v>45680</v>
      </c>
      <c r="B1184" s="169">
        <f>'Historical NAV'!B1184</f>
        <v>72476904.048146799</v>
      </c>
      <c r="C1184" s="169">
        <f>'Historical NAV'!C1184</f>
        <v>0</v>
      </c>
      <c r="D1184" s="169" t="e">
        <f>'Historical NAV'!#REF!</f>
        <v>#REF!</v>
      </c>
      <c r="E1184" s="169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2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38">
        <f t="shared" si="192"/>
        <v>1.7857142857142857E-4</v>
      </c>
      <c r="Y1184" s="135">
        <f t="shared" ref="Y1184" si="949">I1184-X1184</f>
        <v>5.7338519318423401E-3</v>
      </c>
      <c r="Z1184" s="135">
        <f t="shared" ref="Z1184" si="950">IF(Y1184&lt;0,Y1184,0)</f>
        <v>0</v>
      </c>
      <c r="AA1184" s="135">
        <f t="shared" ref="AA1184" si="951">Z1184^2</f>
        <v>0</v>
      </c>
      <c r="AB1184" s="140">
        <f t="shared" ref="AB1184" si="952">AVERAGE(Y931:Y1184)/AVERAGE(AA931:AA1184)</f>
        <v>3.3604515604606471</v>
      </c>
      <c r="AC1184" s="140">
        <f t="shared" ref="AC1184" si="953">AVERAGE(I1153:I1184)-_xlfn.NORM.S.INV(0.95)*_xlfn.STDEV.S(I1153:I1184)</f>
        <v>-4.6568343008895299E-2</v>
      </c>
      <c r="AD1184" s="140">
        <f t="shared" ref="AD1184" si="954">AVERAGE(I1093:I1184)-_xlfn.NORM.S.INV(0.95)*_xlfn.STDEV.S(I1093:I1184)</f>
        <v>-3.8308671845133334E-2</v>
      </c>
      <c r="AE1184" s="140">
        <f t="shared" ref="AE1184" si="955">AVERAGE(I818:I1184)-_xlfn.NORM.S.INV(0.95)*_xlfn.STDEV.S(I818:I1184)</f>
        <v>-4.8018773993982362E-2</v>
      </c>
    </row>
    <row r="1185" spans="1:31">
      <c r="A1185" s="168">
        <f>'Historical NAV'!A1185</f>
        <v>45681</v>
      </c>
      <c r="B1185" s="169">
        <f>'Historical NAV'!B1185</f>
        <v>71733741.613693804</v>
      </c>
      <c r="C1185" s="169">
        <f>'Historical NAV'!C1185</f>
        <v>0</v>
      </c>
      <c r="D1185" s="169" t="e">
        <f>'Historical NAV'!#REF!</f>
        <v>#REF!</v>
      </c>
      <c r="E1185" s="169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2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38">
        <f t="shared" si="192"/>
        <v>1.7857142857142857E-4</v>
      </c>
      <c r="Y1185" s="135">
        <f t="shared" ref="Y1185" si="969">I1185-X1185</f>
        <v>-1.2524799184913839E-2</v>
      </c>
      <c r="Z1185" s="135">
        <f t="shared" ref="Z1185" si="970">IF(Y1185&lt;0,Y1185,0)</f>
        <v>-1.2524799184913839E-2</v>
      </c>
      <c r="AA1185" s="135">
        <f t="shared" ref="AA1185" si="971">Z1185^2</f>
        <v>1.5687059462241837E-4</v>
      </c>
      <c r="AB1185" s="140">
        <f t="shared" ref="AB1185" si="972">AVERAGE(Y932:Y1185)/AVERAGE(AA932:AA1185)</f>
        <v>3.5106749973853923</v>
      </c>
      <c r="AC1185" s="140">
        <f t="shared" ref="AC1185" si="973">AVERAGE(I1154:I1185)-_xlfn.NORM.S.INV(0.95)*_xlfn.STDEV.S(I1154:I1185)</f>
        <v>-4.5885400240555235E-2</v>
      </c>
      <c r="AD1185" s="140">
        <f t="shared" ref="AD1185" si="974">AVERAGE(I1094:I1185)-_xlfn.NORM.S.INV(0.95)*_xlfn.STDEV.S(I1094:I1185)</f>
        <v>-3.8537160568325131E-2</v>
      </c>
      <c r="AE1185" s="140">
        <f t="shared" ref="AE1185" si="975">AVERAGE(I819:I1185)-_xlfn.NORM.S.INV(0.95)*_xlfn.STDEV.S(I819:I1185)</f>
        <v>-4.8094832174680607E-2</v>
      </c>
    </row>
    <row r="1186" spans="1:31">
      <c r="A1186" s="168">
        <f>'Historical NAV'!A1186</f>
        <v>45684</v>
      </c>
      <c r="B1186" s="169">
        <f>'Historical NAV'!B1186</f>
        <v>66306438.2069019</v>
      </c>
      <c r="C1186" s="169">
        <f>'Historical NAV'!C1186</f>
        <v>0</v>
      </c>
      <c r="D1186" s="169" t="e">
        <f>'Historical NAV'!#REF!</f>
        <v>#REF!</v>
      </c>
      <c r="E1186" s="169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2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38">
        <f t="shared" si="192"/>
        <v>1.7857142857142857E-4</v>
      </c>
      <c r="Y1186" s="135">
        <f t="shared" ref="Y1186" si="989">I1186-X1186</f>
        <v>-7.7263791750277241E-2</v>
      </c>
      <c r="Z1186" s="135">
        <f t="shared" ref="Z1186" si="990">IF(Y1186&lt;0,Y1186,0)</f>
        <v>-7.7263791750277241E-2</v>
      </c>
      <c r="AA1186" s="135">
        <f t="shared" ref="AA1186" si="991">Z1186^2</f>
        <v>5.9696935156302094E-3</v>
      </c>
      <c r="AB1186" s="140">
        <f t="shared" ref="AB1186" si="992">AVERAGE(Y933:Y1186)/AVERAGE(AA933:AA1186)</f>
        <v>2.6558634468755709</v>
      </c>
      <c r="AC1186" s="140">
        <f t="shared" ref="AC1186" si="993">AVERAGE(I1155:I1186)-_xlfn.NORM.S.INV(0.95)*_xlfn.STDEV.S(I1155:I1186)</f>
        <v>-5.3743293196579452E-2</v>
      </c>
      <c r="AD1186" s="140">
        <f t="shared" ref="AD1186" si="994">AVERAGE(I1095:I1186)-_xlfn.NORM.S.INV(0.95)*_xlfn.STDEV.S(I1095:I1186)</f>
        <v>-4.1269563789762702E-2</v>
      </c>
      <c r="AE1186" s="140">
        <f t="shared" ref="AE1186" si="995">AVERAGE(I820:I1186)-_xlfn.NORM.S.INV(0.95)*_xlfn.STDEV.S(I820:I1186)</f>
        <v>-4.8787753193559817E-2</v>
      </c>
    </row>
    <row r="1187" spans="1:31">
      <c r="A1187" s="168">
        <f>'Historical NAV'!A1187</f>
        <v>45685</v>
      </c>
      <c r="B1187" s="169">
        <f>'Historical NAV'!B1187</f>
        <v>66298758.242438599</v>
      </c>
      <c r="C1187" s="169">
        <f>'Historical NAV'!C1187</f>
        <v>0</v>
      </c>
      <c r="D1187" s="169" t="e">
        <f>'Historical NAV'!#REF!</f>
        <v>#REF!</v>
      </c>
      <c r="E1187" s="169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2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38">
        <f t="shared" si="192"/>
        <v>1.7857142857142857E-4</v>
      </c>
      <c r="Y1187" s="135">
        <f t="shared" ref="Y1187" si="1009">I1187-X1187</f>
        <v>-4.4765275680727146E-4</v>
      </c>
      <c r="Z1187" s="135">
        <f t="shared" ref="Z1187" si="1010">IF(Y1187&lt;0,Y1187,0)</f>
        <v>-4.4765275680727146E-4</v>
      </c>
      <c r="AA1187" s="135">
        <f t="shared" ref="AA1187" si="1011">Z1187^2</f>
        <v>2.0039299067715012E-7</v>
      </c>
      <c r="AB1187" s="140">
        <f t="shared" ref="AB1187" si="1012">AVERAGE(Y934:Y1187)/AVERAGE(AA934:AA1187)</f>
        <v>2.6866622529810367</v>
      </c>
      <c r="AC1187" s="140">
        <f t="shared" ref="AC1187" si="1013">AVERAGE(I1156:I1187)-_xlfn.NORM.S.INV(0.95)*_xlfn.STDEV.S(I1156:I1187)</f>
        <v>-5.2957045781731896E-2</v>
      </c>
      <c r="AD1187" s="140">
        <f t="shared" ref="AD1187" si="1014">AVERAGE(I1096:I1187)-_xlfn.NORM.S.INV(0.95)*_xlfn.STDEV.S(I1096:I1187)</f>
        <v>-4.0327821993739785E-2</v>
      </c>
      <c r="AE1187" s="140">
        <f t="shared" ref="AE1187" si="1015">AVERAGE(I821:I1187)-_xlfn.NORM.S.INV(0.95)*_xlfn.STDEV.S(I821:I1187)</f>
        <v>-4.8804975142837589E-2</v>
      </c>
    </row>
    <row r="1188" spans="1:31">
      <c r="A1188" s="168">
        <f>'Historical NAV'!A1188</f>
        <v>45686</v>
      </c>
      <c r="B1188" s="169">
        <f>'Historical NAV'!B1188</f>
        <v>66293412.228287399</v>
      </c>
      <c r="C1188" s="169">
        <f>'Historical NAV'!C1188</f>
        <v>0</v>
      </c>
      <c r="D1188" s="169" t="e">
        <f>'Historical NAV'!#REF!</f>
        <v>#REF!</v>
      </c>
      <c r="E1188" s="169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2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38">
        <f t="shared" si="192"/>
        <v>1.7857142857142857E-4</v>
      </c>
      <c r="Y1188" s="135">
        <f t="shared" ref="Y1188" si="1029">I1188-X1188</f>
        <v>-1.3120288152692158E-4</v>
      </c>
      <c r="Z1188" s="135">
        <f t="shared" ref="Z1188" si="1030">IF(Y1188&lt;0,Y1188,0)</f>
        <v>-1.3120288152692158E-4</v>
      </c>
      <c r="AA1188" s="135">
        <f t="shared" ref="AA1188" si="1031">Z1188^2</f>
        <v>1.721419612096742E-8</v>
      </c>
      <c r="AB1188" s="140">
        <f t="shared" ref="AB1188" si="1032">AVERAGE(Y935:Y1188)/AVERAGE(AA935:AA1188)</f>
        <v>2.9251786735176473</v>
      </c>
      <c r="AC1188" s="140">
        <f t="shared" ref="AC1188" si="1033">AVERAGE(I1157:I1188)-_xlfn.NORM.S.INV(0.95)*_xlfn.STDEV.S(I1157:I1188)</f>
        <v>-5.2804746428916E-2</v>
      </c>
      <c r="AD1188" s="140">
        <f t="shared" ref="AD1188" si="1034">AVERAGE(I1097:I1188)-_xlfn.NORM.S.INV(0.95)*_xlfn.STDEV.S(I1097:I1188)</f>
        <v>-4.0185571647907946E-2</v>
      </c>
      <c r="AE1188" s="140">
        <f t="shared" ref="AE1188" si="1035">AVERAGE(I822:I1188)-_xlfn.NORM.S.INV(0.95)*_xlfn.STDEV.S(I822:I1188)</f>
        <v>-4.88196807116765E-2</v>
      </c>
    </row>
    <row r="1189" spans="1:31">
      <c r="A1189" s="168">
        <f>'Historical NAV'!A1189</f>
        <v>45687</v>
      </c>
      <c r="B1189" s="169">
        <f>'Historical NAV'!B1189</f>
        <v>66307189.627214603</v>
      </c>
      <c r="C1189" s="169">
        <f>'Historical NAV'!C1189</f>
        <v>0</v>
      </c>
      <c r="D1189" s="169" t="e">
        <f>'Historical NAV'!#REF!</f>
        <v>#REF!</v>
      </c>
      <c r="E1189" s="169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2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38">
        <f t="shared" si="192"/>
        <v>1.7857142857142857E-4</v>
      </c>
      <c r="Y1189" s="135">
        <f t="shared" ref="Y1189" si="1049">I1189-X1189</f>
        <v>-9.3516236242705442E-5</v>
      </c>
      <c r="Z1189" s="135">
        <f t="shared" ref="Z1189" si="1050">IF(Y1189&lt;0,Y1189,0)</f>
        <v>-9.3516236242705442E-5</v>
      </c>
      <c r="AA1189" s="135">
        <f t="shared" ref="AA1189" si="1051">Z1189^2</f>
        <v>8.7452864410014952E-9</v>
      </c>
      <c r="AB1189" s="140">
        <f t="shared" ref="AB1189" si="1052">AVERAGE(Y936:Y1189)/AVERAGE(AA936:AA1189)</f>
        <v>2.8317806066572389</v>
      </c>
      <c r="AC1189" s="140">
        <f t="shared" ref="AC1189" si="1053">AVERAGE(I1158:I1189)-_xlfn.NORM.S.INV(0.95)*_xlfn.STDEV.S(I1158:I1189)</f>
        <v>-5.2868328005715337E-2</v>
      </c>
      <c r="AD1189" s="140">
        <f t="shared" ref="AD1189" si="1054">AVERAGE(I1098:I1189)-_xlfn.NORM.S.INV(0.95)*_xlfn.STDEV.S(I1098:I1189)</f>
        <v>-4.0240393789123738E-2</v>
      </c>
      <c r="AE1189" s="140">
        <f t="shared" ref="AE1189" si="1055">AVERAGE(I823:I1189)-_xlfn.NORM.S.INV(0.95)*_xlfn.STDEV.S(I823:I1189)</f>
        <v>-4.8829753297691014E-2</v>
      </c>
    </row>
    <row r="1190" spans="1:31">
      <c r="A1190" s="168">
        <f>'Historical NAV'!A1190</f>
        <v>45688</v>
      </c>
      <c r="B1190" s="169">
        <f>'Historical NAV'!B1190</f>
        <v>66302018.384809397</v>
      </c>
      <c r="C1190" s="169">
        <f>'Historical NAV'!C1190</f>
        <v>0</v>
      </c>
      <c r="D1190" s="169" t="e">
        <f>'Historical NAV'!#REF!</f>
        <v>#REF!</v>
      </c>
      <c r="E1190" s="169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2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38">
        <f t="shared" si="192"/>
        <v>1.7857142857142857E-4</v>
      </c>
      <c r="Y1190" s="135">
        <f t="shared" ref="Y1190" si="1069">I1190-X1190</f>
        <v>-2.1684996849259918E-4</v>
      </c>
      <c r="Z1190" s="135">
        <f t="shared" ref="Z1190" si="1070">IF(Y1190&lt;0,Y1190,0)</f>
        <v>-2.1684996849259918E-4</v>
      </c>
      <c r="AA1190" s="135">
        <f t="shared" ref="AA1190" si="1071">Z1190^2</f>
        <v>4.7023908835241258E-8</v>
      </c>
      <c r="AB1190" s="140">
        <f t="shared" ref="AB1190" si="1072">AVERAGE(Y937:Y1190)/AVERAGE(AA937:AA1190)</f>
        <v>2.7919194707857931</v>
      </c>
      <c r="AC1190" s="140">
        <f t="shared" ref="AC1190" si="1073">AVERAGE(I1159:I1190)-_xlfn.NORM.S.INV(0.95)*_xlfn.STDEV.S(I1159:I1190)</f>
        <v>-5.27090123979626E-2</v>
      </c>
      <c r="AD1190" s="140">
        <f t="shared" ref="AD1190" si="1074">AVERAGE(I1099:I1190)-_xlfn.NORM.S.INV(0.95)*_xlfn.STDEV.S(I1099:I1190)</f>
        <v>-4.0161896088962278E-2</v>
      </c>
      <c r="AE1190" s="140">
        <f t="shared" ref="AE1190" si="1075">AVERAGE(I824:I1190)-_xlfn.NORM.S.INV(0.95)*_xlfn.STDEV.S(I824:I1190)</f>
        <v>-4.8828632725076329E-2</v>
      </c>
    </row>
    <row r="1191" spans="1:31">
      <c r="A1191" s="168">
        <f>'Historical NAV'!A1191</f>
        <v>45691</v>
      </c>
      <c r="B1191" s="169">
        <f>'Historical NAV'!B1191</f>
        <v>66304300.988508098</v>
      </c>
      <c r="C1191" s="169">
        <f>'Historical NAV'!C1191</f>
        <v>0</v>
      </c>
      <c r="D1191" s="169" t="e">
        <f>'Historical NAV'!#REF!</f>
        <v>#REF!</v>
      </c>
      <c r="E1191" s="169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2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38">
        <f t="shared" si="192"/>
        <v>1.7857142857142857E-4</v>
      </c>
      <c r="Y1191" s="135">
        <f t="shared" ref="Y1191" si="1089">I1191-X1191</f>
        <v>-7.5856551036705333E-5</v>
      </c>
      <c r="Z1191" s="135">
        <f t="shared" ref="Z1191" si="1090">IF(Y1191&lt;0,Y1191,0)</f>
        <v>-7.5856551036705333E-5</v>
      </c>
      <c r="AA1191" s="135">
        <f t="shared" ref="AA1191" si="1091">Z1191^2</f>
        <v>5.7542163351842813E-9</v>
      </c>
      <c r="AB1191" s="140">
        <f t="shared" ref="AB1191" si="1092">AVERAGE(Y938:Y1191)/AVERAGE(AA938:AA1191)</f>
        <v>2.8835072413983287</v>
      </c>
      <c r="AC1191" s="140">
        <f t="shared" ref="AC1191" si="1093">AVERAGE(I1160:I1191)-_xlfn.NORM.S.INV(0.95)*_xlfn.STDEV.S(I1160:I1191)</f>
        <v>-4.6266409533410893E-2</v>
      </c>
      <c r="AD1191" s="140">
        <f t="shared" ref="AD1191" si="1094">AVERAGE(I1100:I1191)-_xlfn.NORM.S.INV(0.95)*_xlfn.STDEV.S(I1100:I1191)</f>
        <v>-4.0162800392476432E-2</v>
      </c>
      <c r="AE1191" s="140">
        <f t="shared" ref="AE1191" si="1095">AVERAGE(I825:I1191)-_xlfn.NORM.S.INV(0.95)*_xlfn.STDEV.S(I825:I1191)</f>
        <v>-4.8825294691646648E-2</v>
      </c>
    </row>
    <row r="1192" spans="1:31">
      <c r="A1192" s="168">
        <f>'Historical NAV'!A1192</f>
        <v>45692</v>
      </c>
      <c r="B1192" s="169">
        <f>'Historical NAV'!B1192</f>
        <v>66329744.372785799</v>
      </c>
      <c r="C1192" s="169">
        <f>'Historical NAV'!C1192</f>
        <v>0</v>
      </c>
      <c r="D1192" s="169" t="e">
        <f>'Historical NAV'!#REF!</f>
        <v>#REF!</v>
      </c>
      <c r="E1192" s="169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2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38">
        <f t="shared" si="192"/>
        <v>1.7857142857142857E-4</v>
      </c>
      <c r="Y1192" s="135">
        <f t="shared" ref="Y1192" si="1109">I1192-X1192</f>
        <v>1.5051407496903099E-4</v>
      </c>
      <c r="Z1192" s="135">
        <f t="shared" ref="Z1192" si="1110">IF(Y1192&lt;0,Y1192,0)</f>
        <v>0</v>
      </c>
      <c r="AA1192" s="135">
        <f t="shared" ref="AA1192" si="1111">Z1192^2</f>
        <v>0</v>
      </c>
      <c r="AB1192" s="140">
        <f t="shared" ref="AB1192" si="1112">AVERAGE(Y939:Y1192)/AVERAGE(AA939:AA1192)</f>
        <v>2.9041004005396966</v>
      </c>
      <c r="AC1192" s="140">
        <f t="shared" ref="AC1192" si="1113">AVERAGE(I1161:I1192)-_xlfn.NORM.S.INV(0.95)*_xlfn.STDEV.S(I1161:I1192)</f>
        <v>-4.5753738386200581E-2</v>
      </c>
      <c r="AD1192" s="140">
        <f t="shared" ref="AD1192" si="1114">AVERAGE(I1101:I1192)-_xlfn.NORM.S.INV(0.95)*_xlfn.STDEV.S(I1101:I1192)</f>
        <v>-4.020772705771844E-2</v>
      </c>
      <c r="AE1192" s="140">
        <f t="shared" ref="AE1192" si="1115">AVERAGE(I826:I1192)-_xlfn.NORM.S.INV(0.95)*_xlfn.STDEV.S(I826:I1192)</f>
        <v>-4.8815485956024585E-2</v>
      </c>
    </row>
    <row r="1193" spans="1:31">
      <c r="A1193" s="168">
        <f>'Historical NAV'!A1193</f>
        <v>45693</v>
      </c>
      <c r="B1193" s="169">
        <f>'Historical NAV'!B1193</f>
        <v>66377104.687559403</v>
      </c>
      <c r="C1193" s="169">
        <f>'Historical NAV'!C1193</f>
        <v>0</v>
      </c>
      <c r="D1193" s="169" t="e">
        <f>'Historical NAV'!#REF!</f>
        <v>#REF!</v>
      </c>
      <c r="E1193" s="169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2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38">
        <f t="shared" si="192"/>
        <v>1.7857142857142857E-4</v>
      </c>
      <c r="Y1193" s="135">
        <f t="shared" ref="Y1193" si="1129">I1193-X1193</f>
        <v>4.1611614555690205E-4</v>
      </c>
      <c r="Z1193" s="135">
        <f t="shared" ref="Z1193" si="1130">IF(Y1193&lt;0,Y1193,0)</f>
        <v>0</v>
      </c>
      <c r="AA1193" s="135">
        <f t="shared" ref="AA1193" si="1131">Z1193^2</f>
        <v>0</v>
      </c>
      <c r="AB1193" s="140">
        <f t="shared" ref="AB1193" si="1132">AVERAGE(Y940:Y1193)/AVERAGE(AA940:AA1193)</f>
        <v>2.8451493704088096</v>
      </c>
      <c r="AC1193" s="140">
        <f t="shared" ref="AC1193" si="1133">AVERAGE(I1162:I1193)-_xlfn.NORM.S.INV(0.95)*_xlfn.STDEV.S(I1162:I1193)</f>
        <v>-4.5946281995564373E-2</v>
      </c>
      <c r="AD1193" s="140">
        <f t="shared" ref="AD1193" si="1134">AVERAGE(I1102:I1193)-_xlfn.NORM.S.INV(0.95)*_xlfn.STDEV.S(I1102:I1193)</f>
        <v>-3.9780378507826897E-2</v>
      </c>
      <c r="AE1193" s="140">
        <f t="shared" ref="AE1193" si="1135">AVERAGE(I827:I1193)-_xlfn.NORM.S.INV(0.95)*_xlfn.STDEV.S(I827:I1193)</f>
        <v>-4.8752499840479427E-2</v>
      </c>
    </row>
    <row r="1194" spans="1:31">
      <c r="A1194" s="168">
        <f>'Historical NAV'!A1194</f>
        <v>45694</v>
      </c>
      <c r="B1194" s="169">
        <f>'Historical NAV'!B1194</f>
        <v>66395828.245891698</v>
      </c>
      <c r="C1194" s="169">
        <f>'Historical NAV'!C1194</f>
        <v>0</v>
      </c>
      <c r="D1194" s="169" t="e">
        <f>'Historical NAV'!#REF!</f>
        <v>#REF!</v>
      </c>
      <c r="E1194" s="169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2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38">
        <f t="shared" si="192"/>
        <v>1.7857142857142857E-4</v>
      </c>
      <c r="Y1194" s="135">
        <f t="shared" ref="Y1194" si="1149">I1194-X1194</f>
        <v>7.9003203717385452E-5</v>
      </c>
      <c r="Z1194" s="135">
        <f t="shared" ref="Z1194" si="1150">IF(Y1194&lt;0,Y1194,0)</f>
        <v>0</v>
      </c>
      <c r="AA1194" s="135">
        <f t="shared" ref="AA1194" si="1151">Z1194^2</f>
        <v>0</v>
      </c>
      <c r="AB1194" s="140">
        <f t="shared" ref="AB1194" si="1152">AVERAGE(Y941:Y1194)/AVERAGE(AA941:AA1194)</f>
        <v>3.0260445652119783</v>
      </c>
      <c r="AC1194" s="140">
        <f t="shared" ref="AC1194" si="1153">AVERAGE(I1163:I1194)-_xlfn.NORM.S.INV(0.95)*_xlfn.STDEV.S(I1163:I1194)</f>
        <v>-4.6112852105102825E-2</v>
      </c>
      <c r="AD1194" s="140">
        <f t="shared" ref="AD1194" si="1154">AVERAGE(I1103:I1194)-_xlfn.NORM.S.INV(0.95)*_xlfn.STDEV.S(I1103:I1194)</f>
        <v>-3.9731280653561546E-2</v>
      </c>
      <c r="AE1194" s="140">
        <f t="shared" ref="AE1194" si="1155">AVERAGE(I828:I1194)-_xlfn.NORM.S.INV(0.95)*_xlfn.STDEV.S(I828:I1194)</f>
        <v>-4.872465810870881E-2</v>
      </c>
    </row>
    <row r="1195" spans="1:31">
      <c r="A1195" s="168">
        <f>'Historical NAV'!A1195</f>
        <v>45695</v>
      </c>
      <c r="B1195" s="169">
        <f>'Historical NAV'!B1195</f>
        <v>66415024.908763699</v>
      </c>
      <c r="C1195" s="169">
        <f>'Historical NAV'!C1195</f>
        <v>0</v>
      </c>
      <c r="D1195" s="169" t="e">
        <f>'Historical NAV'!#REF!</f>
        <v>#REF!</v>
      </c>
      <c r="E1195" s="169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2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38">
        <f t="shared" si="192"/>
        <v>1.7857142857142857E-4</v>
      </c>
      <c r="Y1195" s="135">
        <f t="shared" ref="Y1195" si="1169">I1195-X1195</f>
        <v>1.0140192763339812E-4</v>
      </c>
      <c r="Z1195" s="135">
        <f t="shared" ref="Z1195" si="1170">IF(Y1195&lt;0,Y1195,0)</f>
        <v>0</v>
      </c>
      <c r="AA1195" s="135">
        <f t="shared" ref="AA1195" si="1171">Z1195^2</f>
        <v>0</v>
      </c>
      <c r="AB1195" s="140">
        <f t="shared" ref="AB1195" si="1172">AVERAGE(Y942:Y1195)/AVERAGE(AA942:AA1195)</f>
        <v>2.8733437021885266</v>
      </c>
      <c r="AC1195" s="140">
        <f t="shared" ref="AC1195" si="1173">AVERAGE(I1164:I1195)-_xlfn.NORM.S.INV(0.95)*_xlfn.STDEV.S(I1164:I1195)</f>
        <v>-4.633483538559946E-2</v>
      </c>
      <c r="AD1195" s="140">
        <f t="shared" ref="AD1195" si="1174">AVERAGE(I1104:I1195)-_xlfn.NORM.S.INV(0.95)*_xlfn.STDEV.S(I1104:I1195)</f>
        <v>-3.8960326575057394E-2</v>
      </c>
      <c r="AE1195" s="140">
        <f t="shared" ref="AE1195" si="1175">AVERAGE(I829:I1195)-_xlfn.NORM.S.INV(0.95)*_xlfn.STDEV.S(I829:I1195)</f>
        <v>-4.8735991211494946E-2</v>
      </c>
    </row>
    <row r="1196" spans="1:31">
      <c r="A1196" s="168">
        <f>'Historical NAV'!A1196</f>
        <v>45698</v>
      </c>
      <c r="B1196" s="169">
        <f>'Historical NAV'!B1196</f>
        <v>66431670.820359498</v>
      </c>
      <c r="C1196" s="169">
        <f>'Historical NAV'!C1196</f>
        <v>0</v>
      </c>
      <c r="D1196" s="169" t="e">
        <f>'Historical NAV'!#REF!</f>
        <v>#REF!</v>
      </c>
      <c r="E1196" s="169" t="e">
        <f>'Historical NAV'!#REF!</f>
        <v>#REF!</v>
      </c>
      <c r="F1196" s="67">
        <f t="shared" ref="F1196" si="1176">B1196</f>
        <v>66431670.820359498</v>
      </c>
      <c r="G1196" s="67">
        <f t="shared" ref="G1196" si="1177">IF(MONTH(A1196)=MONTH(A1195),G1195,F1195)</f>
        <v>66302018.384809397</v>
      </c>
      <c r="H1196" s="172">
        <f>B1196-C1196-F1195-'Daily P&amp;L breakdown'!H204</f>
        <v>9970.4115957990289</v>
      </c>
      <c r="I1196" s="70">
        <f t="shared" ref="I1196" si="1178">H1196/B1195</f>
        <v>1.5012283153541961E-4</v>
      </c>
      <c r="J1196" s="67">
        <f t="shared" ref="J1196" si="1179">IF(MONTH(A1196)=MONTH(A1195),J1195+H1196,H1196)</f>
        <v>113731.9955501011</v>
      </c>
      <c r="K1196" s="70">
        <f t="shared" ref="K1196" si="1180">(1+K1195)*(1+I1196)-1</f>
        <v>0.13338528264837524</v>
      </c>
      <c r="L1196" s="70">
        <f t="shared" ref="L1196" si="1181">1+I1196</f>
        <v>1.0001501228315355</v>
      </c>
      <c r="M1196" s="70">
        <f>PRODUCT($L$2:L1196)-1</f>
        <v>0.46346287835673849</v>
      </c>
      <c r="N1196" s="70">
        <f>PRODUCT($L$909:L1196)-1</f>
        <v>0.15644860264405658</v>
      </c>
      <c r="O1196" s="70">
        <f>AVERAGE($I$909:I1196)*252</f>
        <v>0.2487254950441935</v>
      </c>
      <c r="P1196" s="70">
        <f>STDEV($I$909:I1196)*252^0.5</f>
        <v>0.49198112223825807</v>
      </c>
      <c r="Q1196" s="67">
        <f t="shared" ref="Q1196" si="1182">B1196-C1196-F1165</f>
        <v>-9277557.9846142083</v>
      </c>
      <c r="R1196" s="70">
        <f t="shared" ref="R1196" si="1183">Q1196/B1165</f>
        <v>-0.12254196920316167</v>
      </c>
      <c r="S1196" s="67">
        <f t="shared" ref="S1196" si="1184">B1196-C1196-F1105</f>
        <v>663178.60855029523</v>
      </c>
      <c r="T1196" s="70">
        <f t="shared" ref="T1196" si="1185">S1196/B1105</f>
        <v>1.0083530673236519E-2</v>
      </c>
      <c r="U1196" s="67">
        <f t="shared" ref="U1196" si="1186">B1196-C1196-F830</f>
        <v>29853741.910359502</v>
      </c>
      <c r="V1196" s="70">
        <f t="shared" ref="V1196" si="1187">U1196/B830</f>
        <v>0.81616818666290925</v>
      </c>
      <c r="W1196" s="87">
        <f t="shared" ref="W1196" si="1188">O1196/P1196</f>
        <v>0.50555902208731496</v>
      </c>
      <c r="X1196" s="138">
        <f t="shared" si="192"/>
        <v>1.7857142857142857E-4</v>
      </c>
      <c r="Y1196" s="135">
        <f t="shared" ref="Y1196" si="1189">I1196-X1196</f>
        <v>-2.8448597036008966E-5</v>
      </c>
      <c r="Z1196" s="135">
        <f t="shared" ref="Z1196" si="1190">IF(Y1196&lt;0,Y1196,0)</f>
        <v>-2.8448597036008966E-5</v>
      </c>
      <c r="AA1196" s="135">
        <f t="shared" ref="AA1196" si="1191">Z1196^2</f>
        <v>8.0932267331721807E-10</v>
      </c>
      <c r="AB1196" s="140">
        <f t="shared" ref="AB1196" si="1192">AVERAGE(Y943:Y1196)/AVERAGE(AA943:AA1196)</f>
        <v>2.7882423984225029</v>
      </c>
      <c r="AC1196" s="140">
        <f t="shared" ref="AC1196" si="1193">AVERAGE(I1165:I1196)-_xlfn.NORM.S.INV(0.95)*_xlfn.STDEV.S(I1165:I1196)</f>
        <v>-4.6331484009556952E-2</v>
      </c>
      <c r="AD1196" s="140">
        <f t="shared" ref="AD1196" si="1194">AVERAGE(I1105:I1196)-_xlfn.NORM.S.INV(0.95)*_xlfn.STDEV.S(I1105:I1196)</f>
        <v>-3.9017573939783522E-2</v>
      </c>
      <c r="AE1196" s="140">
        <f t="shared" ref="AE1196" si="1195">AVERAGE(I830:I1196)-_xlfn.NORM.S.INV(0.95)*_xlfn.STDEV.S(I830:I1196)</f>
        <v>-4.876603108483852E-2</v>
      </c>
    </row>
    <row r="1197" spans="1:31">
      <c r="A1197" s="168">
        <f>'Historical NAV'!A1197</f>
        <v>45699</v>
      </c>
      <c r="B1197" s="169">
        <f>'Historical NAV'!B1197</f>
        <v>66430092.593976997</v>
      </c>
      <c r="C1197" s="169">
        <f>'Historical NAV'!C1197</f>
        <v>0</v>
      </c>
      <c r="D1197" s="169" t="e">
        <f>'Historical NAV'!#REF!</f>
        <v>#REF!</v>
      </c>
      <c r="E1197" s="169" t="e">
        <f>'Historical NAV'!#REF!</f>
        <v>#REF!</v>
      </c>
      <c r="F1197" s="67">
        <f t="shared" ref="F1197" si="1196">B1197</f>
        <v>66430092.593976997</v>
      </c>
      <c r="G1197" s="67">
        <f t="shared" ref="G1197" si="1197">IF(MONTH(A1197)=MONTH(A1196),G1196,F1196)</f>
        <v>66302018.384809397</v>
      </c>
      <c r="H1197" s="172">
        <f>B1197-C1197-F1196-'Daily P&amp;L breakdown'!H205</f>
        <v>-1057.4263825014234</v>
      </c>
      <c r="I1197" s="70">
        <f t="shared" ref="I1197" si="1198">H1197/B1196</f>
        <v>-1.591750394718886E-5</v>
      </c>
      <c r="J1197" s="67">
        <f t="shared" ref="J1197" si="1199">IF(MONTH(A1197)=MONTH(A1196),J1196+H1197,H1197)</f>
        <v>112674.56916759968</v>
      </c>
      <c r="K1197" s="70">
        <f t="shared" ref="K1197" si="1200">(1+K1196)*(1+I1197)-1</f>
        <v>0.13336724198366512</v>
      </c>
      <c r="L1197" s="70">
        <f t="shared" ref="L1197" si="1201">1+I1197</f>
        <v>0.99998408249605286</v>
      </c>
      <c r="M1197" s="70">
        <f>PRODUCT($L$2:L1197)-1</f>
        <v>0.46343958368059579</v>
      </c>
      <c r="N1197" s="70">
        <f>PRODUCT($L$909:L1197)-1</f>
        <v>0.15643019486885934</v>
      </c>
      <c r="O1197" s="70">
        <f>AVERAGE($I$909:I1197)*252</f>
        <v>0.24785097357001049</v>
      </c>
      <c r="P1197" s="70">
        <f>STDEV($I$909:I1197)*252^0.5</f>
        <v>0.49112713854426748</v>
      </c>
      <c r="Q1197" s="67">
        <f t="shared" ref="Q1197" si="1202">B1197-C1197-F1166</f>
        <v>-7217949.9227906093</v>
      </c>
      <c r="R1197" s="70">
        <f t="shared" ref="R1197" si="1203">Q1197/B1166</f>
        <v>-9.8005998206229086E-2</v>
      </c>
      <c r="S1197" s="67">
        <f t="shared" ref="S1197" si="1204">B1197-C1197-F1106</f>
        <v>-1623262.6803596094</v>
      </c>
      <c r="T1197" s="70">
        <f t="shared" ref="T1197" si="1205">S1197/B1106</f>
        <v>-2.3852794234992748E-2</v>
      </c>
      <c r="U1197" s="67">
        <f t="shared" ref="U1197" si="1206">B1197-C1197-F831</f>
        <v>29649302.203976996</v>
      </c>
      <c r="V1197" s="70">
        <f t="shared" ref="V1197" si="1207">U1197/B831</f>
        <v>0.80610834866773495</v>
      </c>
      <c r="W1197" s="87">
        <f t="shared" ref="W1197" si="1208">O1197/P1197</f>
        <v>0.50465745856491817</v>
      </c>
      <c r="X1197" s="138">
        <f t="shared" si="192"/>
        <v>1.7857142857142857E-4</v>
      </c>
      <c r="Y1197" s="135">
        <f t="shared" ref="Y1197" si="1209">I1197-X1197</f>
        <v>-1.9448893251861743E-4</v>
      </c>
      <c r="Z1197" s="135">
        <f t="shared" ref="Z1197" si="1210">IF(Y1197&lt;0,Y1197,0)</f>
        <v>-1.9448893251861743E-4</v>
      </c>
      <c r="AA1197" s="135">
        <f t="shared" ref="AA1197" si="1211">Z1197^2</f>
        <v>3.7825944872231323E-8</v>
      </c>
      <c r="AB1197" s="140">
        <f t="shared" ref="AB1197" si="1212">AVERAGE(Y944:Y1197)/AVERAGE(AA944:AA1197)</f>
        <v>2.7788396856785682</v>
      </c>
      <c r="AC1197" s="140">
        <f t="shared" ref="AC1197" si="1213">AVERAGE(I1166:I1197)-_xlfn.NORM.S.INV(0.95)*_xlfn.STDEV.S(I1166:I1197)</f>
        <v>-4.6218896301420613E-2</v>
      </c>
      <c r="AD1197" s="140">
        <f t="shared" ref="AD1197" si="1214">AVERAGE(I1106:I1197)-_xlfn.NORM.S.INV(0.95)*_xlfn.STDEV.S(I1106:I1197)</f>
        <v>-3.910519564423761E-2</v>
      </c>
      <c r="AE1197" s="140">
        <f t="shared" ref="AE1197" si="1215">AVERAGE(I831:I1197)-_xlfn.NORM.S.INV(0.95)*_xlfn.STDEV.S(I831:I1197)</f>
        <v>-4.8681495417721612E-2</v>
      </c>
    </row>
    <row r="1198" spans="1:31">
      <c r="A1198" s="168">
        <f>'Historical NAV'!A1198</f>
        <v>45700</v>
      </c>
      <c r="B1198" s="169">
        <f>'Historical NAV'!B1198</f>
        <v>66435397.653966203</v>
      </c>
      <c r="C1198" s="169">
        <f>'Historical NAV'!C1198</f>
        <v>0</v>
      </c>
      <c r="D1198" s="169" t="e">
        <f>'Historical NAV'!#REF!</f>
        <v>#REF!</v>
      </c>
      <c r="E1198" s="169" t="e">
        <f>'Historical NAV'!#REF!</f>
        <v>#REF!</v>
      </c>
      <c r="F1198" s="67">
        <f t="shared" ref="F1198" si="1216">B1198</f>
        <v>66435397.653966203</v>
      </c>
      <c r="G1198" s="67">
        <f t="shared" ref="G1198" si="1217">IF(MONTH(A1198)=MONTH(A1197),G1197,F1197)</f>
        <v>66302018.384809397</v>
      </c>
      <c r="H1198" s="172">
        <f>B1198-C1198-F1197-'Daily P&amp;L breakdown'!H206</f>
        <v>6594.0599892064929</v>
      </c>
      <c r="I1198" s="70">
        <f t="shared" ref="I1198" si="1218">H1198/B1197</f>
        <v>9.9263146139350026E-5</v>
      </c>
      <c r="J1198" s="67">
        <f t="shared" ref="J1198" si="1219">IF(MONTH(A1198)=MONTH(A1197),J1197+H1198,H1198)</f>
        <v>119268.62915680617</v>
      </c>
      <c r="K1198" s="70">
        <f t="shared" ref="K1198" si="1220">(1+K1197)*(1+I1198)-1</f>
        <v>0.13347974358183579</v>
      </c>
      <c r="L1198" s="70">
        <f t="shared" ref="L1198" si="1221">1+I1198</f>
        <v>1.0000992631461394</v>
      </c>
      <c r="M1198" s="70">
        <f>PRODUCT($L$2:L1198)-1</f>
        <v>0.46358484929785693</v>
      </c>
      <c r="N1198" s="70">
        <f>PRODUCT($L$909:L1198)-1</f>
        <v>0.15654498576829257</v>
      </c>
      <c r="O1198" s="70">
        <f>AVERAGE($I$909:I1198)*252</f>
        <v>0.24708257129158676</v>
      </c>
      <c r="P1198" s="70">
        <f>STDEV($I$909:I1198)*252^0.5</f>
        <v>0.49027739425473238</v>
      </c>
      <c r="Q1198" s="67">
        <f t="shared" ref="Q1198" si="1222">B1198-C1198-F1167</f>
        <v>-5839607.1395113021</v>
      </c>
      <c r="R1198" s="70">
        <f t="shared" ref="R1198" si="1223">Q1198/B1167</f>
        <v>-8.0797049494465076E-2</v>
      </c>
      <c r="S1198" s="67">
        <f t="shared" ref="S1198" si="1224">B1198-C1198-F1107</f>
        <v>-1209858.7924968898</v>
      </c>
      <c r="T1198" s="70">
        <f t="shared" ref="T1198" si="1225">S1198/B1107</f>
        <v>-1.7885345640672023E-2</v>
      </c>
      <c r="U1198" s="67">
        <f t="shared" ref="U1198" si="1226">B1198-C1198-F832</f>
        <v>28955514.7039662</v>
      </c>
      <c r="V1198" s="70">
        <f t="shared" ref="V1198" si="1227">U1198/B832</f>
        <v>0.77256150299600113</v>
      </c>
      <c r="W1198" s="87">
        <f t="shared" ref="W1198" si="1228">O1198/P1198</f>
        <v>0.50396484558945542</v>
      </c>
      <c r="X1198" s="138">
        <f t="shared" si="192"/>
        <v>1.7857142857142857E-4</v>
      </c>
      <c r="Y1198" s="135">
        <f t="shared" ref="Y1198" si="1229">I1198-X1198</f>
        <v>-7.9308282432078545E-5</v>
      </c>
      <c r="Z1198" s="135">
        <f t="shared" ref="Z1198" si="1230">IF(Y1198&lt;0,Y1198,0)</f>
        <v>-7.9308282432078545E-5</v>
      </c>
      <c r="AA1198" s="135">
        <f t="shared" ref="AA1198" si="1231">Z1198^2</f>
        <v>6.2898036623263385E-9</v>
      </c>
      <c r="AB1198" s="140">
        <f t="shared" ref="AB1198" si="1232">AVERAGE(Y945:Y1198)/AVERAGE(AA945:AA1198)</f>
        <v>2.8259714838529155</v>
      </c>
      <c r="AC1198" s="140">
        <f t="shared" ref="AC1198" si="1233">AVERAGE(I1167:I1198)-_xlfn.NORM.S.INV(0.95)*_xlfn.STDEV.S(I1167:I1198)</f>
        <v>-4.4757785035203966E-2</v>
      </c>
      <c r="AD1198" s="140">
        <f t="shared" ref="AD1198" si="1234">AVERAGE(I1107:I1198)-_xlfn.NORM.S.INV(0.95)*_xlfn.STDEV.S(I1107:I1198)</f>
        <v>-3.9104010750582605E-2</v>
      </c>
      <c r="AE1198" s="140">
        <f t="shared" ref="AE1198" si="1235">AVERAGE(I832:I1198)-_xlfn.NORM.S.INV(0.95)*_xlfn.STDEV.S(I832:I1198)</f>
        <v>-4.8695547778249741E-2</v>
      </c>
    </row>
    <row r="1199" spans="1:31">
      <c r="A1199" s="168">
        <f>'Historical NAV'!A1199</f>
        <v>45701</v>
      </c>
      <c r="B1199" s="169">
        <f>'Historical NAV'!B1199</f>
        <v>66585533.1466804</v>
      </c>
      <c r="C1199" s="169">
        <f>'Historical NAV'!C1199</f>
        <v>0</v>
      </c>
      <c r="D1199" s="169" t="e">
        <f>'Historical NAV'!#REF!</f>
        <v>#REF!</v>
      </c>
      <c r="E1199" s="169" t="e">
        <f>'Historical NAV'!#REF!</f>
        <v>#REF!</v>
      </c>
      <c r="F1199" s="67">
        <f t="shared" ref="F1199" si="1236">B1199</f>
        <v>66585533.1466804</v>
      </c>
      <c r="G1199" s="67">
        <f t="shared" ref="G1199" si="1237">IF(MONTH(A1199)=MONTH(A1198),G1198,F1198)</f>
        <v>66302018.384809397</v>
      </c>
      <c r="H1199" s="172">
        <f>B1199-C1199-F1198-'Daily P&amp;L breakdown'!H207</f>
        <v>147077.19271419646</v>
      </c>
      <c r="I1199" s="70">
        <f t="shared" ref="I1199" si="1238">H1199/B1198</f>
        <v>2.2138377718495666E-3</v>
      </c>
      <c r="J1199" s="67">
        <f t="shared" ref="J1199" si="1239">IF(MONTH(A1199)=MONTH(A1198),J1198+H1199,H1199)</f>
        <v>266345.82187100261</v>
      </c>
      <c r="K1199" s="70">
        <f t="shared" ref="K1199" si="1240">(1+K1198)*(1+I1199)-1</f>
        <v>0.13598908385180342</v>
      </c>
      <c r="L1199" s="70">
        <f t="shared" ref="L1199" si="1241">1+I1199</f>
        <v>1.0022138377718495</v>
      </c>
      <c r="M1199" s="70">
        <f>PRODUCT($L$2:L1199)-1</f>
        <v>0.46682498871953904</v>
      </c>
      <c r="N1199" s="70">
        <f>PRODUCT($L$909:L1199)-1</f>
        <v>0.15910538874262947</v>
      </c>
      <c r="O1199" s="70">
        <f>AVERAGE($I$909:I1199)*252</f>
        <v>0.24815062815486685</v>
      </c>
      <c r="P1199" s="70">
        <f>STDEV($I$909:I1199)*252^0.5</f>
        <v>0.48943270416423995</v>
      </c>
      <c r="Q1199" s="67">
        <f t="shared" ref="Q1199" si="1242">B1199-C1199-F1168</f>
        <v>-4619299.4747637063</v>
      </c>
      <c r="R1199" s="70">
        <f t="shared" ref="R1199" si="1243">Q1199/B1168</f>
        <v>-6.4873398401508978E-2</v>
      </c>
      <c r="S1199" s="67">
        <f t="shared" ref="S1199" si="1244">B1199-C1199-F1108</f>
        <v>-2057126.0375107974</v>
      </c>
      <c r="T1199" s="70">
        <f t="shared" ref="T1199" si="1245">S1199/B1108</f>
        <v>-2.9968623913459422E-2</v>
      </c>
      <c r="U1199" s="67">
        <f t="shared" ref="U1199" si="1246">B1199-C1199-F833</f>
        <v>30338426.796680398</v>
      </c>
      <c r="V1199" s="70">
        <f t="shared" ref="V1199" si="1247">U1199/B833</f>
        <v>0.83698893102622518</v>
      </c>
      <c r="W1199" s="87">
        <f t="shared" ref="W1199" si="1248">O1199/P1199</f>
        <v>0.50701685041380973</v>
      </c>
      <c r="X1199" s="138">
        <f t="shared" si="192"/>
        <v>1.7857142857142857E-4</v>
      </c>
      <c r="Y1199" s="135">
        <f t="shared" ref="Y1199" si="1249">I1199-X1199</f>
        <v>2.0352663432781381E-3</v>
      </c>
      <c r="Z1199" s="135">
        <f t="shared" ref="Z1199" si="1250">IF(Y1199&lt;0,Y1199,0)</f>
        <v>0</v>
      </c>
      <c r="AA1199" s="135">
        <f t="shared" ref="AA1199" si="1251">Z1199^2</f>
        <v>0</v>
      </c>
      <c r="AB1199" s="140">
        <f t="shared" ref="AB1199" si="1252">AVERAGE(Y946:Y1199)/AVERAGE(AA946:AA1199)</f>
        <v>2.9272911513388515</v>
      </c>
      <c r="AC1199" s="140">
        <f t="shared" ref="AC1199" si="1253">AVERAGE(I1168:I1199)-_xlfn.NORM.S.INV(0.95)*_xlfn.STDEV.S(I1168:I1199)</f>
        <v>-4.3880294183188916E-2</v>
      </c>
      <c r="AD1199" s="140">
        <f t="shared" ref="AD1199" si="1254">AVERAGE(I1108:I1199)-_xlfn.NORM.S.INV(0.95)*_xlfn.STDEV.S(I1108:I1199)</f>
        <v>-3.901247475273515E-2</v>
      </c>
      <c r="AE1199" s="140">
        <f t="shared" ref="AE1199" si="1255">AVERAGE(I833:I1199)-_xlfn.NORM.S.INV(0.95)*_xlfn.STDEV.S(I833:I1199)</f>
        <v>-4.8719658383609379E-2</v>
      </c>
    </row>
    <row r="1200" spans="1:31">
      <c r="A1200" s="168">
        <f>'Historical NAV'!A1200</f>
        <v>45702</v>
      </c>
      <c r="B1200" s="169">
        <f>'Historical NAV'!B1200</f>
        <v>66615111.351361498</v>
      </c>
      <c r="C1200" s="169">
        <f>'Historical NAV'!C1200</f>
        <v>0</v>
      </c>
      <c r="D1200" s="169" t="e">
        <f>'Historical NAV'!#REF!</f>
        <v>#REF!</v>
      </c>
      <c r="E1200" s="169" t="e">
        <f>'Historical NAV'!#REF!</f>
        <v>#REF!</v>
      </c>
      <c r="F1200" s="67">
        <f t="shared" ref="F1200" si="1256">B1200</f>
        <v>66615111.351361498</v>
      </c>
      <c r="G1200" s="67">
        <f t="shared" ref="G1200" si="1257">IF(MONTH(A1200)=MONTH(A1199),G1199,F1199)</f>
        <v>66302018.384809397</v>
      </c>
      <c r="H1200" s="172">
        <f>B1200-C1200-F1199-'Daily P&amp;L breakdown'!H208</f>
        <v>27170.604681098463</v>
      </c>
      <c r="I1200" s="70">
        <f t="shared" ref="I1200" si="1258">H1200/B1199</f>
        <v>4.0805567511556441E-4</v>
      </c>
      <c r="J1200" s="67">
        <f t="shared" ref="J1200" si="1259">IF(MONTH(A1200)=MONTH(A1199),J1199+H1200,H1200)</f>
        <v>293516.4265521011</v>
      </c>
      <c r="K1200" s="70">
        <f t="shared" ref="K1200" si="1260">(1+K1199)*(1+I1200)-1</f>
        <v>0.13645263064433855</v>
      </c>
      <c r="L1200" s="70">
        <f t="shared" ref="L1200" si="1261">1+I1200</f>
        <v>1.0004080556751156</v>
      </c>
      <c r="M1200" s="70">
        <f>PRODUCT($L$2:L1200)-1</f>
        <v>0.46742353498058731</v>
      </c>
      <c r="N1200" s="70">
        <f>PRODUCT($L$909:L1200)-1</f>
        <v>0.15957836827456306</v>
      </c>
      <c r="O1200" s="70">
        <f>AVERAGE($I$909:I1200)*252</f>
        <v>0.24765295487395672</v>
      </c>
      <c r="P1200" s="70">
        <f>STDEV($I$909:I1200)*252^0.5</f>
        <v>0.48859132448554143</v>
      </c>
      <c r="Q1200" s="67">
        <f t="shared" ref="Q1200" si="1262">B1200-C1200-F1169</f>
        <v>3359644.7912534997</v>
      </c>
      <c r="R1200" s="70">
        <f t="shared" ref="R1200" si="1263">Q1200/B1169</f>
        <v>5.3112323312974448E-2</v>
      </c>
      <c r="S1200" s="67">
        <f t="shared" ref="S1200" si="1264">B1200-C1200-F1109</f>
        <v>-2688030.9714187086</v>
      </c>
      <c r="T1200" s="70">
        <f t="shared" ref="T1200" si="1265">S1200/B1109</f>
        <v>-3.8786566976994674E-2</v>
      </c>
      <c r="U1200" s="67">
        <f t="shared" ref="U1200" si="1266">B1200-C1200-F834</f>
        <v>30502715.2713615</v>
      </c>
      <c r="V1200" s="70">
        <f t="shared" ref="V1200" si="1267">U1200/B834</f>
        <v>0.8446605205533485</v>
      </c>
      <c r="W1200" s="87">
        <f t="shared" ref="W1200" si="1268">O1200/P1200</f>
        <v>0.50687137176396047</v>
      </c>
      <c r="X1200" s="138">
        <f t="shared" si="192"/>
        <v>1.7857142857142857E-4</v>
      </c>
      <c r="Y1200" s="135">
        <f t="shared" ref="Y1200" si="1269">I1200-X1200</f>
        <v>2.2948424654413584E-4</v>
      </c>
      <c r="Z1200" s="135">
        <f t="shared" ref="Z1200" si="1270">IF(Y1200&lt;0,Y1200,0)</f>
        <v>0</v>
      </c>
      <c r="AA1200" s="135">
        <f t="shared" ref="AA1200" si="1271">Z1200^2</f>
        <v>0</v>
      </c>
      <c r="AB1200" s="140">
        <f t="shared" ref="AB1200" si="1272">AVERAGE(Y947:Y1200)/AVERAGE(AA947:AA1200)</f>
        <v>2.7694431063910518</v>
      </c>
      <c r="AC1200" s="140">
        <f t="shared" ref="AC1200" si="1273">AVERAGE(I1169:I1200)-_xlfn.NORM.S.INV(0.95)*_xlfn.STDEV.S(I1169:I1200)</f>
        <v>-4.167998607361862E-2</v>
      </c>
      <c r="AD1200" s="140">
        <f t="shared" ref="AD1200" si="1274">AVERAGE(I1109:I1200)-_xlfn.NORM.S.INV(0.95)*_xlfn.STDEV.S(I1109:I1200)</f>
        <v>-3.9096584782561235E-2</v>
      </c>
      <c r="AE1200" s="140">
        <f t="shared" ref="AE1200" si="1275">AVERAGE(I834:I1200)-_xlfn.NORM.S.INV(0.95)*_xlfn.STDEV.S(I834:I1200)</f>
        <v>-4.8540780199763184E-2</v>
      </c>
    </row>
    <row r="1201" spans="1:31">
      <c r="A1201" s="168">
        <f>'Historical NAV'!A1201</f>
        <v>45705</v>
      </c>
      <c r="B1201" s="169">
        <f>'Historical NAV'!B1201</f>
        <v>66617016.363238297</v>
      </c>
      <c r="C1201" s="169">
        <f>'Historical NAV'!C1201</f>
        <v>0</v>
      </c>
      <c r="D1201" s="169" t="e">
        <f>'Historical NAV'!#REF!</f>
        <v>#REF!</v>
      </c>
      <c r="E1201" s="169" t="e">
        <f>'Historical NAV'!#REF!</f>
        <v>#REF!</v>
      </c>
      <c r="F1201" s="67">
        <f t="shared" ref="F1201" si="1276">B1201</f>
        <v>66617016.363238297</v>
      </c>
      <c r="G1201" s="67">
        <f t="shared" ref="G1201" si="1277">IF(MONTH(A1201)=MONTH(A1200),G1200,F1200)</f>
        <v>66302018.384809397</v>
      </c>
      <c r="H1201" s="172">
        <f>B1201-C1201-F1200-'Daily P&amp;L breakdown'!H209</f>
        <v>1905.0118767991662</v>
      </c>
      <c r="I1201" s="70">
        <f t="shared" ref="I1201" si="1278">H1201/B1200</f>
        <v>2.859729328907338E-5</v>
      </c>
      <c r="J1201" s="67">
        <f t="shared" ref="J1201" si="1279">IF(MONTH(A1201)=MONTH(A1200),J1200+H1201,H1201)</f>
        <v>295421.43842890026</v>
      </c>
      <c r="K1201" s="70">
        <f t="shared" ref="K1201" si="1280">(1+K1200)*(1+I1201)-1</f>
        <v>0.13648513011352614</v>
      </c>
      <c r="L1201" s="70">
        <f t="shared" ref="L1201" si="1281">1+I1201</f>
        <v>1.000028597293289</v>
      </c>
      <c r="M1201" s="70">
        <f>PRODUCT($L$2:L1201)-1</f>
        <v>0.46746549932179637</v>
      </c>
      <c r="N1201" s="70">
        <f>PRODUCT($L$909:L1201)-1</f>
        <v>0.15961152907725218</v>
      </c>
      <c r="O1201" s="70">
        <f>AVERAGE($I$909:I1201)*252</f>
        <v>0.24683231857032151</v>
      </c>
      <c r="P1201" s="70">
        <f>STDEV($I$909:I1201)*252^0.5</f>
        <v>0.48775478065476674</v>
      </c>
      <c r="Q1201" s="67">
        <f t="shared" ref="Q1201" si="1282">B1201-C1201-F1170</f>
        <v>268853.88485969603</v>
      </c>
      <c r="R1201" s="70">
        <f t="shared" ref="R1201" si="1283">Q1201/B1170</f>
        <v>4.052167758938457E-3</v>
      </c>
      <c r="S1201" s="67">
        <f t="shared" ref="S1201" si="1284">B1201-C1201-F1110</f>
        <v>-3289159.2222058997</v>
      </c>
      <c r="T1201" s="70">
        <f t="shared" ref="T1201" si="1285">S1201/B1110</f>
        <v>-4.7051053711065341E-2</v>
      </c>
      <c r="U1201" s="67">
        <f t="shared" ref="U1201" si="1286">B1201-C1201-F835</f>
        <v>30678727.583238296</v>
      </c>
      <c r="V1201" s="70">
        <f t="shared" ref="V1201" si="1287">U1201/B835</f>
        <v>0.85365020496778077</v>
      </c>
      <c r="W1201" s="87">
        <f t="shared" ref="W1201" si="1288">O1201/P1201</f>
        <v>0.50605822507566489</v>
      </c>
      <c r="X1201" s="138">
        <f t="shared" si="192"/>
        <v>1.7857142857142857E-4</v>
      </c>
      <c r="Y1201" s="135">
        <f t="shared" ref="Y1201" si="1289">I1201-X1201</f>
        <v>-1.4997413528235518E-4</v>
      </c>
      <c r="Z1201" s="135">
        <f t="shared" ref="Z1201" si="1290">IF(Y1201&lt;0,Y1201,0)</f>
        <v>-1.4997413528235518E-4</v>
      </c>
      <c r="AA1201" s="135">
        <f t="shared" ref="AA1201" si="1291">Z1201^2</f>
        <v>2.2492241253690174E-8</v>
      </c>
      <c r="AB1201" s="140">
        <f t="shared" ref="AB1201" si="1292">AVERAGE(Y948:Y1201)/AVERAGE(AA948:AA1201)</f>
        <v>2.7761789023285046</v>
      </c>
      <c r="AC1201" s="140">
        <f t="shared" ref="AC1201" si="1293">AVERAGE(I1170:I1201)-_xlfn.NORM.S.INV(0.95)*_xlfn.STDEV.S(I1170:I1201)</f>
        <v>-4.1973736538052552E-2</v>
      </c>
      <c r="AD1201" s="140">
        <f t="shared" ref="AD1201" si="1294">AVERAGE(I1110:I1201)-_xlfn.NORM.S.INV(0.95)*_xlfn.STDEV.S(I1110:I1201)</f>
        <v>-3.9161740296684282E-2</v>
      </c>
      <c r="AE1201" s="140">
        <f t="shared" ref="AE1201" si="1295">AVERAGE(I835:I1201)-_xlfn.NORM.S.INV(0.95)*_xlfn.STDEV.S(I835:I1201)</f>
        <v>-4.8528533165318188E-2</v>
      </c>
    </row>
    <row r="1202" spans="1:31">
      <c r="A1202" s="168">
        <f>'Historical NAV'!A1202</f>
        <v>45706</v>
      </c>
      <c r="B1202" s="169">
        <f>'Historical NAV'!B1202</f>
        <v>66633264.731376797</v>
      </c>
      <c r="C1202" s="169">
        <f>'Historical NAV'!C1202</f>
        <v>0</v>
      </c>
      <c r="D1202" s="169" t="e">
        <f>'Historical NAV'!#REF!</f>
        <v>#REF!</v>
      </c>
      <c r="E1202" s="169" t="e">
        <f>'Historical NAV'!#REF!</f>
        <v>#REF!</v>
      </c>
      <c r="F1202" s="67">
        <f t="shared" ref="F1202" si="1296">B1202</f>
        <v>66633264.731376797</v>
      </c>
      <c r="G1202" s="67">
        <f t="shared" ref="G1202" si="1297">IF(MONTH(A1202)=MONTH(A1201),G1201,F1201)</f>
        <v>66302018.384809397</v>
      </c>
      <c r="H1202" s="172">
        <f>B1202-C1202-F1201-'Daily P&amp;L breakdown'!H210</f>
        <v>15783.368138499558</v>
      </c>
      <c r="I1202" s="70">
        <f t="shared" ref="I1202" si="1298">H1202/B1201</f>
        <v>2.3692697452012271E-4</v>
      </c>
      <c r="J1202" s="67">
        <f t="shared" ref="J1202" si="1299">IF(MONTH(A1202)=MONTH(A1201),J1201+H1202,H1202)</f>
        <v>311204.80656739982</v>
      </c>
      <c r="K1202" s="70">
        <f t="shared" ref="K1202" si="1300">(1+K1201)*(1+I1202)-1</f>
        <v>0.13675439409699108</v>
      </c>
      <c r="L1202" s="70">
        <f t="shared" ref="L1202" si="1301">1+I1202</f>
        <v>1.0002369269745202</v>
      </c>
      <c r="M1202" s="70">
        <f>PRODUCT($L$2:L1202)-1</f>
        <v>0.4678131814827633</v>
      </c>
      <c r="N1202" s="70">
        <f>PRODUCT($L$909:L1202)-1</f>
        <v>0.15988627232845509</v>
      </c>
      <c r="O1202" s="70">
        <f>AVERAGE($I$909:I1202)*252</f>
        <v>0.24619583312477303</v>
      </c>
      <c r="P1202" s="70">
        <f>STDEV($I$909:I1202)*252^0.5</f>
        <v>0.48692220853222068</v>
      </c>
      <c r="Q1202" s="67">
        <f t="shared" ref="Q1202" si="1302">B1202-C1202-F1171</f>
        <v>-1812714.4723073095</v>
      </c>
      <c r="R1202" s="70">
        <f t="shared" ref="R1202" si="1303">Q1202/B1171</f>
        <v>-2.6483870833565928E-2</v>
      </c>
      <c r="S1202" s="67">
        <f t="shared" ref="S1202" si="1304">B1202-C1202-F1111</f>
        <v>-4934895.866386801</v>
      </c>
      <c r="T1202" s="70">
        <f t="shared" ref="T1202" si="1305">S1202/B1111</f>
        <v>-6.8953789299162307E-2</v>
      </c>
      <c r="U1202" s="67">
        <f t="shared" ref="U1202" si="1306">B1202-C1202-F836</f>
        <v>31614994.811376795</v>
      </c>
      <c r="V1202" s="70">
        <f t="shared" ref="V1202" si="1307">U1202/B836</f>
        <v>0.90281429903881427</v>
      </c>
      <c r="W1202" s="87">
        <f t="shared" ref="W1202" si="1308">O1202/P1202</f>
        <v>0.50561635680349493</v>
      </c>
      <c r="X1202" s="138">
        <f t="shared" si="192"/>
        <v>1.7857142857142857E-4</v>
      </c>
      <c r="Y1202" s="135">
        <f t="shared" ref="Y1202" si="1309">I1202-X1202</f>
        <v>5.8355545948694137E-5</v>
      </c>
      <c r="Z1202" s="135">
        <f t="shared" ref="Z1202" si="1310">IF(Y1202&lt;0,Y1202,0)</f>
        <v>0</v>
      </c>
      <c r="AA1202" s="135">
        <f t="shared" ref="AA1202" si="1311">Z1202^2</f>
        <v>0</v>
      </c>
      <c r="AB1202" s="140">
        <f t="shared" ref="AB1202" si="1312">AVERAGE(Y949:Y1202)/AVERAGE(AA949:AA1202)</f>
        <v>2.8601285995229859</v>
      </c>
      <c r="AC1202" s="140">
        <f t="shared" ref="AC1202" si="1313">AVERAGE(I1171:I1202)-_xlfn.NORM.S.INV(0.95)*_xlfn.STDEV.S(I1171:I1202)</f>
        <v>-4.1226397691648327E-2</v>
      </c>
      <c r="AD1202" s="140">
        <f t="shared" ref="AD1202" si="1314">AVERAGE(I1111:I1202)-_xlfn.NORM.S.INV(0.95)*_xlfn.STDEV.S(I1111:I1202)</f>
        <v>-3.922403549798751E-2</v>
      </c>
      <c r="AE1202" s="140">
        <f t="shared" ref="AE1202" si="1315">AVERAGE(I836:I1202)-_xlfn.NORM.S.INV(0.95)*_xlfn.STDEV.S(I836:I1202)</f>
        <v>-4.8511650333664842E-2</v>
      </c>
    </row>
    <row r="1203" spans="1:31">
      <c r="A1203" s="168"/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38"/>
      <c r="Y1203" s="135"/>
      <c r="Z1203" s="135"/>
      <c r="AA1203" s="135"/>
      <c r="AB1203" s="140"/>
      <c r="AC1203" s="140"/>
      <c r="AD1203" s="140"/>
      <c r="AE1203" s="140"/>
    </row>
    <row r="1204" spans="1:31">
      <c r="A1204" s="168"/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38"/>
      <c r="Y1204" s="135"/>
      <c r="Z1204" s="135"/>
      <c r="AA1204" s="135"/>
      <c r="AB1204" s="140"/>
      <c r="AC1204" s="140"/>
      <c r="AD1204" s="140"/>
      <c r="AE1204" s="140"/>
    </row>
    <row r="1205" spans="1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38"/>
      <c r="Y1205" s="135"/>
      <c r="Z1205" s="135"/>
      <c r="AA1205" s="135"/>
      <c r="AB1205" s="140"/>
      <c r="AC1205" s="140"/>
      <c r="AD1205" s="140"/>
      <c r="AE1205" s="140"/>
    </row>
    <row r="1206" spans="1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38"/>
      <c r="Y1206" s="135"/>
      <c r="Z1206" s="135"/>
      <c r="AA1206" s="135"/>
      <c r="AB1206" s="140"/>
      <c r="AC1206" s="140"/>
      <c r="AD1206" s="140"/>
      <c r="AE1206" s="140"/>
    </row>
    <row r="1207" spans="1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38"/>
      <c r="Y1207" s="135"/>
      <c r="Z1207" s="135"/>
      <c r="AA1207" s="135"/>
      <c r="AB1207" s="140"/>
      <c r="AC1207" s="140"/>
      <c r="AD1207" s="140"/>
      <c r="AE1207" s="140"/>
    </row>
    <row r="1208" spans="1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38"/>
      <c r="Y1208" s="135"/>
      <c r="Z1208" s="135"/>
      <c r="AA1208" s="135"/>
      <c r="AB1208" s="140"/>
      <c r="AC1208" s="140"/>
      <c r="AD1208" s="140"/>
      <c r="AE1208" s="140"/>
    </row>
    <row r="1209" spans="1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38"/>
      <c r="Y1209" s="135"/>
      <c r="Z1209" s="135"/>
      <c r="AA1209" s="135"/>
      <c r="AB1209" s="140"/>
      <c r="AC1209" s="140"/>
      <c r="AD1209" s="140"/>
      <c r="AE1209" s="140"/>
    </row>
    <row r="1210" spans="1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38"/>
      <c r="Y1210" s="135"/>
      <c r="Z1210" s="135"/>
      <c r="AA1210" s="135"/>
      <c r="AB1210" s="140"/>
      <c r="AC1210" s="140"/>
      <c r="AD1210" s="140"/>
      <c r="AE1210" s="140"/>
    </row>
    <row r="1211" spans="1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38"/>
      <c r="Y1211" s="135"/>
      <c r="Z1211" s="135"/>
      <c r="AA1211" s="135"/>
      <c r="AB1211" s="140"/>
      <c r="AC1211" s="140"/>
      <c r="AD1211" s="140"/>
      <c r="AE1211" s="140"/>
    </row>
    <row r="1212" spans="1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38"/>
      <c r="Y1212" s="135"/>
      <c r="Z1212" s="135"/>
      <c r="AA1212" s="135"/>
      <c r="AB1212" s="140"/>
      <c r="AC1212" s="140"/>
      <c r="AD1212" s="140"/>
      <c r="AE1212" s="140"/>
    </row>
    <row r="1213" spans="1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38"/>
      <c r="Y1213" s="135"/>
      <c r="Z1213" s="135"/>
      <c r="AA1213" s="135"/>
      <c r="AB1213" s="140"/>
      <c r="AC1213" s="140"/>
      <c r="AD1213" s="140"/>
      <c r="AE1213" s="140"/>
    </row>
    <row r="1214" spans="1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38"/>
      <c r="Y1214" s="135"/>
      <c r="Z1214" s="135"/>
      <c r="AA1214" s="135"/>
      <c r="AB1214" s="140"/>
      <c r="AC1214" s="140"/>
      <c r="AD1214" s="140"/>
      <c r="AE1214" s="140"/>
    </row>
    <row r="1215" spans="1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38"/>
      <c r="Y1215" s="135"/>
      <c r="Z1215" s="135"/>
      <c r="AA1215" s="135"/>
      <c r="AB1215" s="140"/>
      <c r="AC1215" s="140"/>
      <c r="AD1215" s="140"/>
      <c r="AE1215" s="140"/>
    </row>
    <row r="1216" spans="1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38"/>
      <c r="Y1216" s="135"/>
      <c r="Z1216" s="135"/>
      <c r="AA1216" s="135"/>
      <c r="AB1216" s="140"/>
      <c r="AC1216" s="140"/>
      <c r="AD1216" s="140"/>
      <c r="AE1216" s="140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38"/>
      <c r="Y1217" s="135"/>
      <c r="Z1217" s="135"/>
      <c r="AA1217" s="135"/>
      <c r="AB1217" s="140"/>
      <c r="AC1217" s="140"/>
      <c r="AD1217" s="140"/>
      <c r="AE1217" s="140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38"/>
      <c r="Y1218" s="135"/>
      <c r="Z1218" s="135"/>
      <c r="AA1218" s="135"/>
      <c r="AB1218" s="140"/>
      <c r="AC1218" s="140"/>
      <c r="AD1218" s="140"/>
      <c r="AE1218" s="140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38"/>
      <c r="Y1219" s="135"/>
      <c r="Z1219" s="135"/>
      <c r="AA1219" s="135"/>
      <c r="AB1219" s="140"/>
      <c r="AC1219" s="140"/>
      <c r="AD1219" s="140"/>
      <c r="AE1219" s="140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38"/>
      <c r="Y1220" s="135"/>
      <c r="Z1220" s="135"/>
      <c r="AA1220" s="135"/>
      <c r="AB1220" s="140"/>
      <c r="AC1220" s="140"/>
      <c r="AD1220" s="140"/>
      <c r="AE1220" s="140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38"/>
      <c r="Y1221" s="135"/>
      <c r="Z1221" s="135"/>
      <c r="AA1221" s="135"/>
      <c r="AB1221" s="140"/>
      <c r="AC1221" s="140"/>
      <c r="AD1221" s="140"/>
      <c r="AE1221" s="140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38"/>
      <c r="Y1222" s="135"/>
      <c r="Z1222" s="135"/>
      <c r="AA1222" s="135"/>
      <c r="AB1222" s="140"/>
      <c r="AC1222" s="140"/>
      <c r="AD1222" s="140"/>
      <c r="AE1222" s="140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38"/>
      <c r="Y1223" s="135"/>
      <c r="Z1223" s="135"/>
      <c r="AA1223" s="135"/>
      <c r="AB1223" s="140"/>
      <c r="AC1223" s="140"/>
      <c r="AD1223" s="140"/>
      <c r="AE1223" s="140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38"/>
      <c r="Y1224" s="135"/>
      <c r="Z1224" s="135"/>
      <c r="AA1224" s="135"/>
      <c r="AB1224" s="140"/>
      <c r="AC1224" s="140"/>
      <c r="AD1224" s="140"/>
      <c r="AE1224" s="140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38"/>
      <c r="Y1225" s="135"/>
      <c r="Z1225" s="135"/>
      <c r="AA1225" s="135"/>
      <c r="AB1225" s="140"/>
      <c r="AC1225" s="140"/>
      <c r="AD1225" s="140"/>
      <c r="AE1225" s="140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38"/>
      <c r="Y1226" s="135"/>
      <c r="Z1226" s="135"/>
      <c r="AA1226" s="135"/>
      <c r="AB1226" s="140"/>
      <c r="AC1226" s="140"/>
      <c r="AD1226" s="140"/>
      <c r="AE1226" s="140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38"/>
      <c r="Y1227" s="135"/>
      <c r="Z1227" s="135"/>
      <c r="AA1227" s="135"/>
      <c r="AB1227" s="140"/>
      <c r="AC1227" s="140"/>
      <c r="AD1227" s="140"/>
      <c r="AE1227" s="140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38"/>
      <c r="Y1228" s="135"/>
      <c r="Z1228" s="135"/>
      <c r="AA1228" s="135"/>
      <c r="AB1228" s="140"/>
      <c r="AC1228" s="140"/>
      <c r="AD1228" s="140"/>
      <c r="AE1228" s="140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38"/>
      <c r="Y1229" s="135"/>
      <c r="Z1229" s="135"/>
      <c r="AA1229" s="135"/>
      <c r="AB1229" s="140"/>
      <c r="AC1229" s="140"/>
      <c r="AD1229" s="140"/>
      <c r="AE1229" s="140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38"/>
      <c r="Y1230" s="135"/>
      <c r="Z1230" s="135"/>
      <c r="AA1230" s="135"/>
      <c r="AB1230" s="140"/>
      <c r="AC1230" s="140"/>
      <c r="AD1230" s="140"/>
      <c r="AE1230" s="140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38"/>
      <c r="Y1231" s="135"/>
      <c r="Z1231" s="135"/>
      <c r="AA1231" s="135"/>
      <c r="AB1231" s="140"/>
      <c r="AC1231" s="140"/>
      <c r="AD1231" s="140"/>
      <c r="AE1231" s="140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38"/>
      <c r="Y1232" s="135"/>
      <c r="Z1232" s="135"/>
      <c r="AA1232" s="135"/>
      <c r="AB1232" s="140"/>
      <c r="AC1232" s="140"/>
      <c r="AD1232" s="140"/>
      <c r="AE1232" s="140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38"/>
      <c r="Y1233" s="135"/>
      <c r="Z1233" s="135"/>
      <c r="AA1233" s="135"/>
      <c r="AB1233" s="140"/>
      <c r="AC1233" s="140"/>
      <c r="AD1233" s="140"/>
      <c r="AE1233" s="140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38"/>
      <c r="Y1234" s="135"/>
      <c r="Z1234" s="135"/>
      <c r="AA1234" s="135"/>
      <c r="AB1234" s="140"/>
      <c r="AC1234" s="140"/>
      <c r="AD1234" s="140"/>
      <c r="AE1234" s="140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38"/>
      <c r="Y1235" s="135"/>
      <c r="Z1235" s="135"/>
      <c r="AA1235" s="135"/>
      <c r="AB1235" s="140"/>
      <c r="AC1235" s="140"/>
      <c r="AD1235" s="140"/>
      <c r="AE1235" s="140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38"/>
      <c r="Y1236" s="135"/>
      <c r="Z1236" s="135"/>
      <c r="AA1236" s="135"/>
      <c r="AB1236" s="140"/>
      <c r="AC1236" s="140"/>
      <c r="AD1236" s="140"/>
      <c r="AE1236" s="140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38"/>
      <c r="Y1237" s="135"/>
      <c r="Z1237" s="135"/>
      <c r="AA1237" s="135"/>
      <c r="AB1237" s="140"/>
      <c r="AC1237" s="140"/>
      <c r="AD1237" s="140"/>
      <c r="AE1237" s="140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38"/>
      <c r="Y1238" s="135"/>
      <c r="Z1238" s="135"/>
      <c r="AA1238" s="135"/>
      <c r="AB1238" s="140"/>
      <c r="AC1238" s="140"/>
      <c r="AD1238" s="140"/>
      <c r="AE1238" s="140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38"/>
      <c r="Y1239" s="135"/>
      <c r="Z1239" s="135"/>
      <c r="AA1239" s="135"/>
      <c r="AB1239" s="140"/>
      <c r="AC1239" s="140"/>
      <c r="AD1239" s="140"/>
      <c r="AE1239" s="140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38"/>
      <c r="Y1240" s="135"/>
      <c r="Z1240" s="135"/>
      <c r="AA1240" s="135"/>
      <c r="AB1240" s="140"/>
      <c r="AC1240" s="140"/>
      <c r="AD1240" s="140"/>
      <c r="AE1240" s="140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38"/>
      <c r="Y1241" s="135"/>
      <c r="Z1241" s="135"/>
      <c r="AA1241" s="135"/>
      <c r="AB1241" s="140"/>
      <c r="AC1241" s="140"/>
      <c r="AD1241" s="140"/>
      <c r="AE1241" s="140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38"/>
      <c r="Y1242" s="135"/>
      <c r="Z1242" s="135"/>
      <c r="AA1242" s="135"/>
      <c r="AB1242" s="140"/>
      <c r="AC1242" s="140"/>
      <c r="AD1242" s="140"/>
      <c r="AE1242" s="140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38"/>
      <c r="Y1243" s="135"/>
      <c r="Z1243" s="135"/>
      <c r="AA1243" s="135"/>
      <c r="AB1243" s="140"/>
      <c r="AC1243" s="140"/>
      <c r="AD1243" s="140"/>
      <c r="AE1243" s="140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38"/>
      <c r="Y1244" s="135"/>
      <c r="Z1244" s="135"/>
      <c r="AA1244" s="135"/>
      <c r="AB1244" s="140"/>
      <c r="AC1244" s="140"/>
      <c r="AD1244" s="140"/>
      <c r="AE1244" s="140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38"/>
      <c r="Y1245" s="135"/>
      <c r="Z1245" s="135"/>
      <c r="AA1245" s="135"/>
      <c r="AB1245" s="140"/>
      <c r="AC1245" s="140"/>
      <c r="AD1245" s="140"/>
      <c r="AE1245" s="140"/>
    </row>
    <row r="1246" spans="6:31">
      <c r="F1246" s="67"/>
      <c r="G1246" s="67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38"/>
      <c r="Y1246" s="135"/>
      <c r="Z1246" s="135"/>
      <c r="AA1246" s="135"/>
      <c r="AB1246" s="140"/>
      <c r="AC1246" s="140"/>
      <c r="AD1246" s="140"/>
      <c r="AE1246" s="140"/>
    </row>
    <row r="1247" spans="6:31">
      <c r="F1247" s="67"/>
      <c r="G1247" s="67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38"/>
      <c r="Y1247" s="135"/>
      <c r="Z1247" s="135"/>
      <c r="AA1247" s="135"/>
      <c r="AB1247" s="140"/>
      <c r="AC1247" s="140"/>
      <c r="AD1247" s="140"/>
      <c r="AE1247" s="140"/>
    </row>
    <row r="1248" spans="6:31">
      <c r="F1248" s="67"/>
      <c r="G1248" s="67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38"/>
      <c r="Y1248" s="135"/>
      <c r="Z1248" s="135"/>
      <c r="AA1248" s="135"/>
      <c r="AB1248" s="140"/>
      <c r="AC1248" s="140"/>
      <c r="AD1248" s="140"/>
      <c r="AE1248" s="140"/>
    </row>
    <row r="1249" spans="6:31">
      <c r="F1249" s="67"/>
      <c r="G1249" s="67"/>
      <c r="H1249" s="67"/>
      <c r="I1249" s="70"/>
      <c r="J1249" s="67"/>
      <c r="K1249" s="70"/>
      <c r="L1249" s="70"/>
      <c r="M1249" s="70"/>
      <c r="N1249" s="70"/>
      <c r="O1249" s="70"/>
      <c r="P1249" s="70"/>
      <c r="Q1249" s="67"/>
      <c r="R1249" s="70"/>
      <c r="S1249" s="67"/>
      <c r="T1249" s="70"/>
      <c r="U1249" s="67"/>
      <c r="V1249" s="70"/>
      <c r="W1249" s="87"/>
      <c r="X1249" s="138"/>
      <c r="Y1249" s="135"/>
      <c r="Z1249" s="135"/>
      <c r="AA1249" s="135"/>
      <c r="AB1249" s="140"/>
      <c r="AC1249" s="140"/>
      <c r="AD1249" s="140"/>
      <c r="AE1249" s="140"/>
    </row>
    <row r="1250" spans="6:31">
      <c r="F1250" s="67"/>
      <c r="G1250" s="67"/>
      <c r="H1250" s="67"/>
      <c r="I1250" s="70"/>
      <c r="J1250" s="67"/>
      <c r="K1250" s="70"/>
      <c r="L1250" s="70"/>
      <c r="M1250" s="70"/>
      <c r="N1250" s="70"/>
      <c r="O1250" s="70"/>
      <c r="P1250" s="70"/>
      <c r="Q1250" s="67"/>
      <c r="R1250" s="70"/>
      <c r="S1250" s="67"/>
      <c r="T1250" s="70"/>
      <c r="U1250" s="67"/>
      <c r="V1250" s="70"/>
      <c r="W1250" s="87"/>
      <c r="X1250" s="138"/>
      <c r="Y1250" s="135"/>
      <c r="Z1250" s="135"/>
      <c r="AA1250" s="135"/>
      <c r="AB1250" s="140"/>
      <c r="AC1250" s="140"/>
      <c r="AD1250" s="140"/>
      <c r="AE1250" s="140"/>
    </row>
    <row r="1251" spans="6:31">
      <c r="F1251" s="67"/>
      <c r="G1251" s="67"/>
      <c r="H1251" s="67"/>
      <c r="I1251" s="70"/>
      <c r="J1251" s="67"/>
      <c r="K1251" s="70"/>
      <c r="L1251" s="70"/>
      <c r="M1251" s="70"/>
      <c r="N1251" s="70"/>
      <c r="O1251" s="70"/>
      <c r="P1251" s="70"/>
      <c r="Q1251" s="67"/>
      <c r="R1251" s="70"/>
      <c r="S1251" s="67"/>
      <c r="T1251" s="70"/>
      <c r="U1251" s="67"/>
      <c r="V1251" s="70"/>
      <c r="W1251" s="87"/>
      <c r="X1251" s="138"/>
      <c r="Y1251" s="135"/>
      <c r="Z1251" s="135"/>
      <c r="AA1251" s="135"/>
      <c r="AB1251" s="140"/>
      <c r="AC1251" s="140"/>
      <c r="AD1251" s="140"/>
      <c r="AE1251" s="140"/>
    </row>
    <row r="1252" spans="6:31">
      <c r="F1252" s="67"/>
      <c r="G1252" s="67"/>
      <c r="H1252" s="67"/>
      <c r="I1252" s="70"/>
      <c r="J1252" s="67"/>
      <c r="K1252" s="70"/>
      <c r="L1252" s="70"/>
      <c r="M1252" s="70"/>
      <c r="N1252" s="70"/>
      <c r="O1252" s="70"/>
      <c r="P1252" s="70"/>
      <c r="Q1252" s="67"/>
      <c r="R1252" s="70"/>
      <c r="S1252" s="67"/>
      <c r="T1252" s="70"/>
      <c r="U1252" s="67"/>
      <c r="V1252" s="70"/>
      <c r="W1252" s="87"/>
      <c r="X1252" s="138"/>
      <c r="Y1252" s="135"/>
      <c r="Z1252" s="135"/>
      <c r="AA1252" s="135"/>
      <c r="AB1252" s="140"/>
      <c r="AC1252" s="140"/>
      <c r="AD1252" s="140"/>
      <c r="AE1252" s="140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4.45"/>
  <cols>
    <col min="1" max="4" width="20.7109375" customWidth="1"/>
  </cols>
  <sheetData>
    <row r="1" spans="1:4" s="5" customFormat="1" ht="25.9">
      <c r="A1" s="5" t="s">
        <v>313</v>
      </c>
    </row>
    <row r="2" spans="1:4">
      <c r="A2" t="s">
        <v>26</v>
      </c>
      <c r="B2" t="s">
        <v>34</v>
      </c>
    </row>
    <row r="3" spans="1:4">
      <c r="A3" s="40">
        <f>IB_html!B2</f>
        <v>0</v>
      </c>
      <c r="B3" s="40" t="s">
        <v>314</v>
      </c>
      <c r="C3" s="40" t="s">
        <v>315</v>
      </c>
      <c r="D3" s="40" t="s">
        <v>316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317</v>
      </c>
    </row>
    <row r="32" spans="1:4">
      <c r="A32" s="40" t="s">
        <v>318</v>
      </c>
    </row>
    <row r="33" spans="1:1">
      <c r="A33" s="40" t="s">
        <v>319</v>
      </c>
    </row>
    <row r="34" spans="1:1">
      <c r="A34" s="40" t="s">
        <v>320</v>
      </c>
    </row>
    <row r="35" spans="1:1">
      <c r="A35" s="40" t="s">
        <v>321</v>
      </c>
    </row>
    <row r="36" spans="1:1">
      <c r="A36" t="s">
        <v>322</v>
      </c>
    </row>
    <row r="37" spans="1:1">
      <c r="A37" t="s">
        <v>323</v>
      </c>
    </row>
    <row r="38" spans="1:1">
      <c r="A38" t="s">
        <v>240</v>
      </c>
    </row>
    <row r="39" spans="1:1">
      <c r="A39" t="s">
        <v>324</v>
      </c>
    </row>
    <row r="40" spans="1:1">
      <c r="A40" t="s">
        <v>325</v>
      </c>
    </row>
    <row r="41" spans="1:1">
      <c r="A41" t="s">
        <v>326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4.4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39" t="s">
        <v>34</v>
      </c>
      <c r="D5" s="339"/>
      <c r="E5" s="340"/>
      <c r="F5" s="13" t="s">
        <v>327</v>
      </c>
      <c r="G5" s="13" t="s">
        <v>328</v>
      </c>
      <c r="H5" s="13" t="s">
        <v>329</v>
      </c>
      <c r="J5" s="41" t="s">
        <v>330</v>
      </c>
      <c r="K5" s="330" t="s">
        <v>331</v>
      </c>
      <c r="L5" s="330"/>
      <c r="M5" s="330"/>
      <c r="N5" s="330"/>
      <c r="O5" s="330"/>
    </row>
    <row r="6" spans="1:15">
      <c r="A6" s="331" t="s">
        <v>163</v>
      </c>
      <c r="B6" s="332"/>
      <c r="C6" s="338">
        <f ca="1">SUM(F6:H6)</f>
        <v>82114681.314395994</v>
      </c>
      <c r="D6" s="343"/>
      <c r="E6" s="344"/>
      <c r="F6" s="338">
        <f ca="1">OFFSET('Historical NAV'!E1, COUNT('Historical NAV'!A:A),,,)</f>
        <v>66647365.624395996</v>
      </c>
      <c r="G6" s="338">
        <v>15365477.27</v>
      </c>
      <c r="H6" s="338">
        <v>101838.42</v>
      </c>
      <c r="K6" s="330"/>
      <c r="L6" s="330"/>
      <c r="M6" s="330"/>
      <c r="N6" s="330"/>
      <c r="O6" s="330"/>
    </row>
    <row r="7" spans="1:15">
      <c r="A7" s="331"/>
      <c r="B7" s="332"/>
      <c r="C7" s="338"/>
      <c r="D7" s="343"/>
      <c r="E7" s="344"/>
      <c r="F7" s="338"/>
      <c r="G7" s="338"/>
      <c r="H7" s="338"/>
    </row>
    <row r="8" spans="1:15">
      <c r="A8" s="325" t="s">
        <v>165</v>
      </c>
      <c r="B8" s="326"/>
      <c r="C8" s="341">
        <f ca="1">SUM(F8:H8)</f>
        <v>1</v>
      </c>
      <c r="D8" s="345"/>
      <c r="E8" s="346"/>
      <c r="F8" s="341">
        <f ca="1">F6/$C$6</f>
        <v>0.81163763358248175</v>
      </c>
      <c r="G8" s="341">
        <f ca="1">G6/$C$6</f>
        <v>0.18712216894771277</v>
      </c>
      <c r="H8" s="341">
        <f ca="1">H6/$C$6</f>
        <v>1.2401974698055137E-3</v>
      </c>
    </row>
    <row r="9" spans="1:15">
      <c r="A9" s="325"/>
      <c r="B9" s="326"/>
      <c r="C9" s="341"/>
      <c r="D9" s="345"/>
      <c r="E9" s="346"/>
      <c r="F9" s="341"/>
      <c r="G9" s="341"/>
      <c r="H9" s="341"/>
    </row>
    <row r="10" spans="1:15">
      <c r="A10" s="333" t="s">
        <v>166</v>
      </c>
      <c r="B10" s="334"/>
      <c r="C10" s="335" t="e">
        <f ca="1">SUM(F10:H10)</f>
        <v>#REF!</v>
      </c>
      <c r="D10" s="336"/>
      <c r="E10" s="337"/>
      <c r="F10" s="335">
        <f ca="1">OFFSET('Historical NAV'!B1, COUNT('Historical NAV'!A:A),,,)</f>
        <v>20985069.079877902</v>
      </c>
      <c r="G10" s="335" t="e">
        <f>G6+G12</f>
        <v>#REF!</v>
      </c>
      <c r="H10" s="335" t="e">
        <f>H6+H12</f>
        <v>#REF!</v>
      </c>
    </row>
    <row r="11" spans="1:15">
      <c r="A11" s="333"/>
      <c r="B11" s="334"/>
      <c r="C11" s="335"/>
      <c r="D11" s="336"/>
      <c r="E11" s="337"/>
      <c r="F11" s="335"/>
      <c r="G11" s="335"/>
      <c r="H11" s="335"/>
    </row>
    <row r="12" spans="1:15">
      <c r="A12" s="325" t="s">
        <v>167</v>
      </c>
      <c r="B12" s="326"/>
      <c r="C12" s="327" t="e">
        <f ca="1">SUM(F12:H12)</f>
        <v>#REF!</v>
      </c>
      <c r="D12" s="328"/>
      <c r="E12" s="329"/>
      <c r="F12" s="327">
        <f ca="1">OFFSET('Historical NAV'!J1, COUNT('Historical NAV'!A:A),,,)</f>
        <v>-45662296.544518098</v>
      </c>
      <c r="G12" s="342" t="e">
        <f>G14*G6</f>
        <v>#REF!</v>
      </c>
      <c r="H12" s="327" t="e">
        <f>H14*H6</f>
        <v>#REF!</v>
      </c>
    </row>
    <row r="13" spans="1:15">
      <c r="A13" s="325"/>
      <c r="B13" s="326"/>
      <c r="C13" s="327"/>
      <c r="D13" s="328"/>
      <c r="E13" s="329"/>
      <c r="F13" s="327"/>
      <c r="G13" s="342"/>
      <c r="H13" s="327"/>
    </row>
    <row r="14" spans="1:15">
      <c r="A14" s="333" t="s">
        <v>332</v>
      </c>
      <c r="B14" s="334"/>
      <c r="C14" s="349" t="e">
        <f ca="1">C12/C6</f>
        <v>#REF!</v>
      </c>
      <c r="D14" s="350"/>
      <c r="E14" s="351"/>
      <c r="F14" s="352">
        <f ca="1">OFFSET('Historical NAV'!K1, COUNT('Historical NAV'!A:A),,,)</f>
        <v>-0.68349275646356755</v>
      </c>
      <c r="G14" s="39" t="e">
        <f>IB_html!#REF!</f>
        <v>#REF!</v>
      </c>
      <c r="H14" s="14" t="e">
        <f>IB_html!#REF!</f>
        <v>#REF!</v>
      </c>
    </row>
    <row r="15" spans="1:15">
      <c r="A15" s="333"/>
      <c r="B15" s="334"/>
      <c r="C15" s="349"/>
      <c r="D15" s="350"/>
      <c r="E15" s="351"/>
      <c r="F15" s="352"/>
      <c r="G15" s="15" t="e">
        <f>IB_html!#REF!</f>
        <v>#REF!</v>
      </c>
      <c r="H15" s="15" t="e">
        <f>IB_html!#REF!</f>
        <v>#REF!</v>
      </c>
    </row>
    <row r="16" spans="1:15">
      <c r="A16" s="326" t="s">
        <v>116</v>
      </c>
      <c r="B16" s="326"/>
      <c r="C16" s="16"/>
      <c r="D16" s="16"/>
      <c r="E16" s="17"/>
      <c r="F16" s="327">
        <f ca="1">OFFSET('Historical NAV'!F1, COUNT('Historical NAV'!A:A),,,)</f>
        <v>-45662296.544518098</v>
      </c>
      <c r="G16" s="327"/>
      <c r="H16" s="327"/>
      <c r="N16" s="8"/>
    </row>
    <row r="17" spans="1:11">
      <c r="A17" s="326"/>
      <c r="B17" s="326"/>
      <c r="C17" s="16"/>
      <c r="D17" s="16"/>
      <c r="E17" s="17"/>
      <c r="F17" s="327"/>
      <c r="G17" s="327"/>
      <c r="H17" s="327"/>
    </row>
    <row r="18" spans="1:11">
      <c r="A18" s="333" t="s">
        <v>170</v>
      </c>
      <c r="B18" s="334"/>
      <c r="C18" s="18"/>
      <c r="D18" s="18"/>
      <c r="E18" s="19"/>
      <c r="F18" s="352">
        <f ca="1">OFFSET('Historical NAV'!G1, COUNT('Historical NAV'!A:A),,,)</f>
        <v>-0.68513280482617611</v>
      </c>
      <c r="G18" s="347"/>
      <c r="H18" s="347"/>
    </row>
    <row r="19" spans="1:11">
      <c r="A19" s="357"/>
      <c r="B19" s="358"/>
      <c r="C19" s="20"/>
      <c r="D19" s="20"/>
      <c r="E19" s="21"/>
      <c r="F19" s="359"/>
      <c r="G19" s="348"/>
      <c r="H19" s="348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39" t="s">
        <v>333</v>
      </c>
      <c r="B21" s="340"/>
      <c r="C21" s="13" t="s">
        <v>334</v>
      </c>
      <c r="D21" s="13" t="s">
        <v>335</v>
      </c>
      <c r="E21" s="23" t="s">
        <v>336</v>
      </c>
      <c r="F21" s="24" t="s">
        <v>337</v>
      </c>
      <c r="G21" s="24" t="s">
        <v>338</v>
      </c>
      <c r="H21" s="13" t="s">
        <v>339</v>
      </c>
    </row>
    <row r="22" spans="1:11">
      <c r="A22" s="355" t="s">
        <v>170</v>
      </c>
      <c r="B22" s="356"/>
      <c r="C22" s="25" t="e">
        <f ca="1">_xll.BDP(C27,$A27)/100</f>
        <v>#NAME?</v>
      </c>
      <c r="D22" s="25" t="e">
        <f ca="1">_xll.BDP(D27,$A27)/100</f>
        <v>#NAME?</v>
      </c>
      <c r="E22" s="26" t="e">
        <f ca="1">_xll.BDP(E27,$A27)/100</f>
        <v>#NAME?</v>
      </c>
      <c r="F22" s="27" t="e">
        <f ca="1">_xll.BDP(F27,$A27)/100</f>
        <v>#NAME?</v>
      </c>
      <c r="G22" s="27" t="e">
        <f ca="1">_xll.BDP(G27,$A27)/100</f>
        <v>#NAME?</v>
      </c>
      <c r="H22" s="25" t="e">
        <f ca="1">_xll.BDP(H27,$A27)/100</f>
        <v>#NAME?</v>
      </c>
    </row>
    <row r="23" spans="1:11">
      <c r="A23" s="353" t="s">
        <v>4</v>
      </c>
      <c r="B23" s="354"/>
      <c r="C23" s="28" t="e">
        <f ca="1">_xll.BDP(C27,$A28)/100</f>
        <v>#NAME?</v>
      </c>
      <c r="D23" s="28" t="e">
        <f ca="1">_xll.BDP(D27,$A28)/100</f>
        <v>#NAME?</v>
      </c>
      <c r="E23" s="29" t="e">
        <f ca="1">_xll.BDP(E27,$A28)/100</f>
        <v>#NAME?</v>
      </c>
      <c r="F23" s="30" t="e">
        <f ca="1">_xll.BDP(F27,$A28)/100</f>
        <v>#NAME?</v>
      </c>
      <c r="G23" s="30" t="e">
        <f ca="1">_xll.BDP(G27,$A28)/100</f>
        <v>#NAME?</v>
      </c>
      <c r="H23" s="28" t="e">
        <f ca="1">_xll.BDP(H27,$A28)/100</f>
        <v>#NAME?</v>
      </c>
    </row>
    <row r="24" spans="1:11" s="1" customFormat="1">
      <c r="A24" s="38"/>
      <c r="B24" s="38"/>
      <c r="C24" s="38" t="e">
        <f ca="1">_xll.BDP("")</f>
        <v>#NAME?</v>
      </c>
      <c r="D24" s="38"/>
      <c r="E24" s="38" t="s">
        <v>340</v>
      </c>
      <c r="F24" s="38" t="s">
        <v>341</v>
      </c>
      <c r="G24" s="38" t="s">
        <v>342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341</v>
      </c>
      <c r="B27" s="32"/>
      <c r="C27" s="32" t="s">
        <v>343</v>
      </c>
      <c r="D27" s="32" t="s">
        <v>344</v>
      </c>
      <c r="E27" s="32" t="s">
        <v>345</v>
      </c>
      <c r="F27" s="32" t="s">
        <v>346</v>
      </c>
      <c r="G27" s="32" t="s">
        <v>347</v>
      </c>
      <c r="H27" s="32" t="s">
        <v>348</v>
      </c>
      <c r="K27" s="42"/>
    </row>
    <row r="28" spans="1:11">
      <c r="A28" s="32" t="s">
        <v>342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Investment Team</cp:lastModifiedBy>
  <cp:revision/>
  <dcterms:created xsi:type="dcterms:W3CDTF">2019-10-23T08:47:10Z</dcterms:created>
  <dcterms:modified xsi:type="dcterms:W3CDTF">2025-08-25T07:37:12Z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