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reles/Documents/SINDIPRO/SINDIPRO/Sistema/"/>
    </mc:Choice>
  </mc:AlternateContent>
  <xr:revisionPtr revIDLastSave="0" documentId="8_{2AE091E9-358E-0B4C-97B0-7C9E78820D90}" xr6:coauthVersionLast="47" xr6:coauthVersionMax="47" xr10:uidLastSave="{00000000-0000-0000-0000-000000000000}"/>
  <bookViews>
    <workbookView xWindow="0" yWindow="500" windowWidth="20760" windowHeight="11180" tabRatio="500" xr2:uid="{00000000-000D-0000-FFFF-FFFF00000000}"/>
  </bookViews>
  <sheets>
    <sheet name="Realizada 2019.2020" sheetId="2" r:id="rId1"/>
    <sheet name="Previsão " sheetId="1" r:id="rId2"/>
    <sheet name="Planilha1" sheetId="9" r:id="rId3"/>
    <sheet name="Gráfico" sheetId="7" r:id="rId4"/>
  </sheets>
  <definedNames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Titles_1_1">#REF!</definedName>
    <definedName name="Excel_BuiltIn_Print_Titles_1_1_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7" i="1" l="1"/>
  <c r="T51" i="1"/>
  <c r="T18" i="1"/>
  <c r="T39" i="1" l="1"/>
  <c r="T41" i="1"/>
  <c r="T42" i="1"/>
  <c r="T43" i="1"/>
  <c r="T44" i="1"/>
  <c r="T45" i="1"/>
  <c r="T28" i="1"/>
  <c r="T29" i="1"/>
  <c r="T30" i="1"/>
  <c r="T31" i="1"/>
  <c r="T33" i="1"/>
  <c r="T34" i="1"/>
  <c r="T36" i="1"/>
  <c r="T23" i="1"/>
  <c r="T22" i="1"/>
  <c r="T21" i="1"/>
  <c r="T19" i="1"/>
  <c r="T16" i="1"/>
  <c r="T15" i="1"/>
  <c r="T10" i="1"/>
  <c r="T11" i="1"/>
  <c r="T12" i="1"/>
  <c r="T9" i="1"/>
  <c r="T6" i="1"/>
  <c r="T7" i="1"/>
  <c r="T5" i="1"/>
  <c r="E26" i="1"/>
  <c r="E46" i="1" s="1"/>
  <c r="G51" i="1" l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E56" i="1"/>
  <c r="E17" i="1"/>
  <c r="E8" i="1"/>
  <c r="E4" i="1"/>
  <c r="F45" i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F44" i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F43" i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F40" i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F38" i="1"/>
  <c r="F37" i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F34" i="1"/>
  <c r="G34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F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P34" i="2"/>
  <c r="G32" i="1" l="1"/>
  <c r="T32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T40" i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T38" i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F46" i="1"/>
  <c r="G35" i="1"/>
  <c r="G26" i="1" s="1"/>
  <c r="F26" i="1"/>
  <c r="H32" i="1"/>
  <c r="I32" i="1" s="1"/>
  <c r="J32" i="1" s="1"/>
  <c r="K32" i="1" s="1"/>
  <c r="L32" i="1" s="1"/>
  <c r="M32" i="1" s="1"/>
  <c r="N32" i="1" s="1"/>
  <c r="O32" i="1" s="1"/>
  <c r="P32" i="1" s="1"/>
  <c r="Q32" i="1" s="1"/>
  <c r="H34" i="1"/>
  <c r="I34" i="1" s="1"/>
  <c r="J34" i="1" s="1"/>
  <c r="K34" i="1" s="1"/>
  <c r="L34" i="1" s="1"/>
  <c r="M34" i="1" s="1"/>
  <c r="N34" i="1" s="1"/>
  <c r="O34" i="1" s="1"/>
  <c r="P34" i="1" s="1"/>
  <c r="Q34" i="1" s="1"/>
  <c r="F21" i="1"/>
  <c r="K19" i="1"/>
  <c r="L19" i="1" s="1"/>
  <c r="M19" i="1" s="1"/>
  <c r="N19" i="1" s="1"/>
  <c r="O19" i="1" s="1"/>
  <c r="F19" i="1"/>
  <c r="G19" i="1" s="1"/>
  <c r="H19" i="1" s="1"/>
  <c r="K15" i="1"/>
  <c r="Q15" i="1" s="1"/>
  <c r="F15" i="1"/>
  <c r="F14" i="1"/>
  <c r="F7" i="1"/>
  <c r="F6" i="1"/>
  <c r="F5" i="1"/>
  <c r="F12" i="1"/>
  <c r="F11" i="1"/>
  <c r="F10" i="1"/>
  <c r="F9" i="1"/>
  <c r="D45" i="1"/>
  <c r="D44" i="1"/>
  <c r="D43" i="1"/>
  <c r="D42" i="1"/>
  <c r="D41" i="1"/>
  <c r="D40" i="1"/>
  <c r="D39" i="1"/>
  <c r="D38" i="1"/>
  <c r="D37" i="1"/>
  <c r="S42" i="2"/>
  <c r="D28" i="1"/>
  <c r="D29" i="1"/>
  <c r="D30" i="1"/>
  <c r="D31" i="1"/>
  <c r="D32" i="1"/>
  <c r="D33" i="1"/>
  <c r="D34" i="1"/>
  <c r="D36" i="1"/>
  <c r="D23" i="1"/>
  <c r="D21" i="1"/>
  <c r="D22" i="1"/>
  <c r="E22" i="1" s="1"/>
  <c r="D20" i="1"/>
  <c r="D18" i="1"/>
  <c r="D19" i="1"/>
  <c r="D17" i="1"/>
  <c r="D16" i="1"/>
  <c r="E16" i="1" s="1"/>
  <c r="D15" i="1"/>
  <c r="D14" i="1"/>
  <c r="D13" i="1"/>
  <c r="D9" i="1"/>
  <c r="D10" i="1"/>
  <c r="D11" i="1"/>
  <c r="D12" i="1"/>
  <c r="D8" i="1"/>
  <c r="D5" i="1"/>
  <c r="D6" i="1"/>
  <c r="D7" i="1"/>
  <c r="D4" i="1"/>
  <c r="S159" i="2"/>
  <c r="S157" i="2"/>
  <c r="S145" i="2"/>
  <c r="S143" i="2"/>
  <c r="S131" i="2"/>
  <c r="S129" i="2"/>
  <c r="S117" i="2"/>
  <c r="S116" i="2"/>
  <c r="S115" i="2"/>
  <c r="S103" i="2"/>
  <c r="S102" i="2"/>
  <c r="S101" i="2"/>
  <c r="S89" i="2"/>
  <c r="S75" i="2"/>
  <c r="S73" i="2"/>
  <c r="S58" i="2"/>
  <c r="S55" i="2"/>
  <c r="S51" i="2"/>
  <c r="S50" i="2"/>
  <c r="S49" i="2"/>
  <c r="S48" i="2"/>
  <c r="S47" i="2"/>
  <c r="S45" i="2"/>
  <c r="S44" i="2"/>
  <c r="S43" i="2"/>
  <c r="S35" i="2"/>
  <c r="S30" i="2"/>
  <c r="P174" i="2"/>
  <c r="P165" i="2"/>
  <c r="P152" i="2"/>
  <c r="P151" i="2"/>
  <c r="P137" i="2"/>
  <c r="P123" i="2"/>
  <c r="P88" i="2"/>
  <c r="P82" i="2"/>
  <c r="P74" i="2"/>
  <c r="P65" i="2"/>
  <c r="P59" i="2"/>
  <c r="P63" i="2" s="1"/>
  <c r="P46" i="2"/>
  <c r="P37" i="2"/>
  <c r="S37" i="2" s="1"/>
  <c r="P36" i="2"/>
  <c r="P38" i="2"/>
  <c r="P39" i="2"/>
  <c r="P41" i="2"/>
  <c r="P29" i="2"/>
  <c r="P28" i="2"/>
  <c r="P26" i="2"/>
  <c r="P25" i="2"/>
  <c r="P24" i="2" s="1"/>
  <c r="P23" i="2"/>
  <c r="P13" i="2" s="1"/>
  <c r="P8" i="2"/>
  <c r="O174" i="2"/>
  <c r="O166" i="2"/>
  <c r="O165" i="2"/>
  <c r="O160" i="2"/>
  <c r="O164" i="2" s="1"/>
  <c r="O152" i="2"/>
  <c r="O146" i="2"/>
  <c r="O150" i="2" s="1"/>
  <c r="O138" i="2"/>
  <c r="O137" i="2"/>
  <c r="O132" i="2"/>
  <c r="O136" i="2" s="1"/>
  <c r="O124" i="2"/>
  <c r="O123" i="2"/>
  <c r="O122" i="2"/>
  <c r="O118" i="2"/>
  <c r="N118" i="2"/>
  <c r="O96" i="2"/>
  <c r="O90" i="2"/>
  <c r="O94" i="2" s="1"/>
  <c r="O82" i="2"/>
  <c r="O76" i="2"/>
  <c r="O80" i="2" s="1"/>
  <c r="O65" i="2"/>
  <c r="O63" i="2"/>
  <c r="O59" i="2"/>
  <c r="O26" i="2"/>
  <c r="O46" i="2"/>
  <c r="S46" i="2" s="1"/>
  <c r="O8" i="2"/>
  <c r="O41" i="2"/>
  <c r="O34" i="2"/>
  <c r="O39" i="2"/>
  <c r="O38" i="2"/>
  <c r="O36" i="2"/>
  <c r="O29" i="2"/>
  <c r="O28" i="2"/>
  <c r="O25" i="2"/>
  <c r="O24" i="2" s="1"/>
  <c r="O23" i="2"/>
  <c r="O13" i="2" s="1"/>
  <c r="N165" i="2"/>
  <c r="N174" i="2"/>
  <c r="N166" i="2"/>
  <c r="N152" i="2"/>
  <c r="N138" i="2"/>
  <c r="N96" i="2"/>
  <c r="N82" i="2"/>
  <c r="N65" i="2"/>
  <c r="N38" i="2"/>
  <c r="N39" i="2"/>
  <c r="N36" i="2"/>
  <c r="N41" i="2"/>
  <c r="N29" i="2"/>
  <c r="N28" i="2"/>
  <c r="N26" i="2"/>
  <c r="N25" i="2"/>
  <c r="N24" i="2" s="1"/>
  <c r="N23" i="2"/>
  <c r="S21" i="2"/>
  <c r="M166" i="2"/>
  <c r="M152" i="2"/>
  <c r="M151" i="2"/>
  <c r="M144" i="2"/>
  <c r="M138" i="2"/>
  <c r="M137" i="2"/>
  <c r="M96" i="2"/>
  <c r="M82" i="2"/>
  <c r="M65" i="2"/>
  <c r="M57" i="2"/>
  <c r="M41" i="2"/>
  <c r="M34" i="2"/>
  <c r="M36" i="2"/>
  <c r="M39" i="2"/>
  <c r="M38" i="2"/>
  <c r="M29" i="2"/>
  <c r="M28" i="2"/>
  <c r="M26" i="2"/>
  <c r="M25" i="2"/>
  <c r="M23" i="2"/>
  <c r="P4" i="2"/>
  <c r="O4" i="2"/>
  <c r="N4" i="2"/>
  <c r="M7" i="2"/>
  <c r="M5" i="2" s="1"/>
  <c r="M4" i="2" s="1"/>
  <c r="L166" i="2"/>
  <c r="L165" i="2"/>
  <c r="L152" i="2"/>
  <c r="L138" i="2"/>
  <c r="L137" i="2"/>
  <c r="L96" i="2"/>
  <c r="L95" i="2"/>
  <c r="L82" i="2"/>
  <c r="L65" i="2"/>
  <c r="L23" i="2"/>
  <c r="L41" i="2"/>
  <c r="L39" i="2"/>
  <c r="L38" i="2"/>
  <c r="L36" i="2"/>
  <c r="L34" i="2"/>
  <c r="L29" i="2"/>
  <c r="L28" i="2"/>
  <c r="L26" i="2"/>
  <c r="L25" i="2"/>
  <c r="T37" i="1" l="1"/>
  <c r="H35" i="1"/>
  <c r="I35" i="1" s="1"/>
  <c r="J35" i="1" s="1"/>
  <c r="K35" i="1" s="1"/>
  <c r="L35" i="1" s="1"/>
  <c r="M35" i="1" s="1"/>
  <c r="N35" i="1" s="1"/>
  <c r="O35" i="1" s="1"/>
  <c r="P35" i="1" s="1"/>
  <c r="Q35" i="1" s="1"/>
  <c r="Q26" i="1" s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G9" i="1"/>
  <c r="H9" i="1" s="1"/>
  <c r="I9" i="1" s="1"/>
  <c r="J9" i="1" s="1"/>
  <c r="K9" i="1" s="1"/>
  <c r="L9" i="1" s="1"/>
  <c r="G5" i="1"/>
  <c r="H5" i="1" s="1"/>
  <c r="I5" i="1" s="1"/>
  <c r="J5" i="1" s="1"/>
  <c r="K5" i="1" s="1"/>
  <c r="G15" i="1"/>
  <c r="H15" i="1" s="1"/>
  <c r="I15" i="1" s="1"/>
  <c r="J15" i="1" s="1"/>
  <c r="P15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E13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E20" i="1"/>
  <c r="F17" i="1"/>
  <c r="L15" i="1"/>
  <c r="G18" i="1"/>
  <c r="H18" i="1" s="1"/>
  <c r="I18" i="1" s="1"/>
  <c r="J18" i="1" s="1"/>
  <c r="K18" i="1" s="1"/>
  <c r="L18" i="1" s="1"/>
  <c r="M18" i="1" s="1"/>
  <c r="M17" i="1" s="1"/>
  <c r="P19" i="1"/>
  <c r="Q19" i="1" s="1"/>
  <c r="L5" i="1"/>
  <c r="M5" i="1" s="1"/>
  <c r="N5" i="1" s="1"/>
  <c r="O5" i="1" s="1"/>
  <c r="P5" i="1" s="1"/>
  <c r="Q5" i="1" s="1"/>
  <c r="O15" i="1"/>
  <c r="I19" i="1"/>
  <c r="S7" i="2"/>
  <c r="O27" i="2"/>
  <c r="S118" i="2"/>
  <c r="S104" i="2"/>
  <c r="O33" i="2"/>
  <c r="P27" i="2"/>
  <c r="P50" i="1"/>
  <c r="L5" i="2"/>
  <c r="L4" i="2" s="1"/>
  <c r="K166" i="2"/>
  <c r="K152" i="2"/>
  <c r="K138" i="2"/>
  <c r="K95" i="2"/>
  <c r="K96" i="2"/>
  <c r="K82" i="2"/>
  <c r="K65" i="2"/>
  <c r="K26" i="2"/>
  <c r="K39" i="2"/>
  <c r="K38" i="2"/>
  <c r="K36" i="2"/>
  <c r="K29" i="2"/>
  <c r="K28" i="2"/>
  <c r="K25" i="2"/>
  <c r="K23" i="2"/>
  <c r="K5" i="2"/>
  <c r="K4" i="2" s="1"/>
  <c r="J4" i="2"/>
  <c r="H5" i="2"/>
  <c r="G4" i="2"/>
  <c r="F4" i="2"/>
  <c r="E4" i="2"/>
  <c r="J166" i="2"/>
  <c r="J165" i="2"/>
  <c r="J152" i="2"/>
  <c r="J138" i="2"/>
  <c r="J96" i="2"/>
  <c r="J95" i="2"/>
  <c r="J82" i="2"/>
  <c r="J65" i="2"/>
  <c r="J57" i="2"/>
  <c r="J59" i="2" s="1"/>
  <c r="J63" i="2" s="1"/>
  <c r="E41" i="2"/>
  <c r="J41" i="2"/>
  <c r="J39" i="2"/>
  <c r="J38" i="2"/>
  <c r="J36" i="2"/>
  <c r="J29" i="2"/>
  <c r="J28" i="2"/>
  <c r="J26" i="2"/>
  <c r="J24" i="2" s="1"/>
  <c r="J25" i="2"/>
  <c r="J23" i="2"/>
  <c r="I166" i="2"/>
  <c r="I158" i="2"/>
  <c r="I160" i="2" s="1"/>
  <c r="I164" i="2" s="1"/>
  <c r="I152" i="2"/>
  <c r="I138" i="2"/>
  <c r="I137" i="2"/>
  <c r="I110" i="2"/>
  <c r="I96" i="2"/>
  <c r="I82" i="2"/>
  <c r="I65" i="2"/>
  <c r="I57" i="2"/>
  <c r="I41" i="2"/>
  <c r="I39" i="2"/>
  <c r="I38" i="2"/>
  <c r="I36" i="2"/>
  <c r="I34" i="2"/>
  <c r="I29" i="2"/>
  <c r="I28" i="2"/>
  <c r="I26" i="2"/>
  <c r="I25" i="2"/>
  <c r="I23" i="2"/>
  <c r="I5" i="2"/>
  <c r="I6" i="2"/>
  <c r="S6" i="2" s="1"/>
  <c r="H166" i="2"/>
  <c r="H165" i="2"/>
  <c r="H152" i="2"/>
  <c r="H151" i="2"/>
  <c r="H137" i="2"/>
  <c r="H138" i="2"/>
  <c r="H110" i="2"/>
  <c r="H82" i="2"/>
  <c r="H67" i="2"/>
  <c r="H65" i="2"/>
  <c r="H36" i="2"/>
  <c r="H41" i="2"/>
  <c r="H39" i="2"/>
  <c r="H38" i="2"/>
  <c r="H34" i="2"/>
  <c r="H29" i="2"/>
  <c r="H28" i="2"/>
  <c r="H26" i="2"/>
  <c r="H25" i="2"/>
  <c r="H24" i="2" s="1"/>
  <c r="H23" i="2"/>
  <c r="G165" i="2"/>
  <c r="G166" i="2"/>
  <c r="G152" i="2"/>
  <c r="G151" i="2"/>
  <c r="G138" i="2"/>
  <c r="G137" i="2"/>
  <c r="G110" i="2"/>
  <c r="G96" i="2"/>
  <c r="G87" i="2"/>
  <c r="G90" i="2" s="1"/>
  <c r="G94" i="2" s="1"/>
  <c r="G82" i="2"/>
  <c r="G65" i="2"/>
  <c r="G41" i="2"/>
  <c r="G39" i="2"/>
  <c r="G38" i="2"/>
  <c r="G36" i="2"/>
  <c r="G34" i="2"/>
  <c r="G29" i="2"/>
  <c r="G28" i="2"/>
  <c r="G26" i="2"/>
  <c r="G25" i="2"/>
  <c r="G23" i="2"/>
  <c r="F166" i="2"/>
  <c r="F165" i="2"/>
  <c r="F158" i="2"/>
  <c r="F152" i="2"/>
  <c r="F144" i="2"/>
  <c r="F146" i="2" s="1"/>
  <c r="F150" i="2" s="1"/>
  <c r="F138" i="2"/>
  <c r="F130" i="2"/>
  <c r="F132" i="2" s="1"/>
  <c r="F136" i="2" s="1"/>
  <c r="F110" i="2"/>
  <c r="F96" i="2"/>
  <c r="F95" i="2"/>
  <c r="F88" i="2"/>
  <c r="F87" i="2"/>
  <c r="F82" i="2"/>
  <c r="F65" i="2"/>
  <c r="F57" i="2"/>
  <c r="F25" i="2"/>
  <c r="F41" i="2"/>
  <c r="F39" i="2"/>
  <c r="F38" i="2"/>
  <c r="F36" i="2"/>
  <c r="F34" i="2"/>
  <c r="F29" i="2"/>
  <c r="F28" i="2"/>
  <c r="M24" i="2"/>
  <c r="L24" i="2"/>
  <c r="F26" i="2"/>
  <c r="F23" i="2"/>
  <c r="E151" i="2"/>
  <c r="E144" i="2"/>
  <c r="S144" i="2" s="1"/>
  <c r="S146" i="2" s="1"/>
  <c r="E130" i="2"/>
  <c r="E95" i="2"/>
  <c r="E88" i="2"/>
  <c r="E87" i="2"/>
  <c r="S87" i="2" s="1"/>
  <c r="E74" i="2"/>
  <c r="E65" i="2"/>
  <c r="E57" i="2"/>
  <c r="E56" i="2"/>
  <c r="S56" i="2" s="1"/>
  <c r="E39" i="2"/>
  <c r="E36" i="2"/>
  <c r="E34" i="2"/>
  <c r="E38" i="2"/>
  <c r="E29" i="2"/>
  <c r="E28" i="2"/>
  <c r="E26" i="2"/>
  <c r="E25" i="2"/>
  <c r="E23" i="2"/>
  <c r="R160" i="2"/>
  <c r="P160" i="2"/>
  <c r="P164" i="2" s="1"/>
  <c r="N160" i="2"/>
  <c r="N164" i="2" s="1"/>
  <c r="M160" i="2"/>
  <c r="M164" i="2" s="1"/>
  <c r="L160" i="2"/>
  <c r="L164" i="2" s="1"/>
  <c r="K160" i="2"/>
  <c r="K164" i="2" s="1"/>
  <c r="J160" i="2"/>
  <c r="J164" i="2" s="1"/>
  <c r="H160" i="2"/>
  <c r="H164" i="2" s="1"/>
  <c r="G160" i="2"/>
  <c r="G164" i="2" s="1"/>
  <c r="E160" i="2"/>
  <c r="E164" i="2" s="1"/>
  <c r="R146" i="2"/>
  <c r="P146" i="2"/>
  <c r="P150" i="2" s="1"/>
  <c r="N146" i="2"/>
  <c r="N150" i="2" s="1"/>
  <c r="M146" i="2"/>
  <c r="M150" i="2" s="1"/>
  <c r="L146" i="2"/>
  <c r="L150" i="2" s="1"/>
  <c r="K146" i="2"/>
  <c r="K150" i="2" s="1"/>
  <c r="J146" i="2"/>
  <c r="J150" i="2" s="1"/>
  <c r="I146" i="2"/>
  <c r="I150" i="2" s="1"/>
  <c r="H146" i="2"/>
  <c r="H150" i="2" s="1"/>
  <c r="G146" i="2"/>
  <c r="G150" i="2" s="1"/>
  <c r="E146" i="2"/>
  <c r="E150" i="2" s="1"/>
  <c r="R132" i="2"/>
  <c r="P132" i="2"/>
  <c r="P136" i="2" s="1"/>
  <c r="N132" i="2"/>
  <c r="N136" i="2" s="1"/>
  <c r="M132" i="2"/>
  <c r="M136" i="2" s="1"/>
  <c r="L132" i="2"/>
  <c r="L136" i="2" s="1"/>
  <c r="K132" i="2"/>
  <c r="K136" i="2" s="1"/>
  <c r="J132" i="2"/>
  <c r="J136" i="2" s="1"/>
  <c r="I132" i="2"/>
  <c r="I136" i="2" s="1"/>
  <c r="H132" i="2"/>
  <c r="H136" i="2" s="1"/>
  <c r="G132" i="2"/>
  <c r="G136" i="2" s="1"/>
  <c r="R118" i="2"/>
  <c r="P118" i="2"/>
  <c r="N122" i="2"/>
  <c r="M118" i="2"/>
  <c r="L118" i="2"/>
  <c r="L122" i="2" s="1"/>
  <c r="K118" i="2"/>
  <c r="K122" i="2" s="1"/>
  <c r="J118" i="2"/>
  <c r="J122" i="2" s="1"/>
  <c r="I118" i="2"/>
  <c r="I122" i="2" s="1"/>
  <c r="H118" i="2"/>
  <c r="H122" i="2" s="1"/>
  <c r="G118" i="2"/>
  <c r="G122" i="2" s="1"/>
  <c r="F118" i="2"/>
  <c r="E118" i="2"/>
  <c r="E122" i="2" s="1"/>
  <c r="R104" i="2"/>
  <c r="P104" i="2"/>
  <c r="N104" i="2"/>
  <c r="M104" i="2"/>
  <c r="L104" i="2"/>
  <c r="K104" i="2"/>
  <c r="J104" i="2"/>
  <c r="I104" i="2"/>
  <c r="I108" i="2" s="1"/>
  <c r="H104" i="2"/>
  <c r="H108" i="2" s="1"/>
  <c r="G104" i="2"/>
  <c r="G108" i="2" s="1"/>
  <c r="F104" i="2"/>
  <c r="F108" i="2" s="1"/>
  <c r="E104" i="2"/>
  <c r="R90" i="2"/>
  <c r="P90" i="2"/>
  <c r="P94" i="2" s="1"/>
  <c r="N90" i="2"/>
  <c r="N94" i="2" s="1"/>
  <c r="M90" i="2"/>
  <c r="M94" i="2" s="1"/>
  <c r="L90" i="2"/>
  <c r="L94" i="2" s="1"/>
  <c r="K90" i="2"/>
  <c r="K94" i="2" s="1"/>
  <c r="J90" i="2"/>
  <c r="J94" i="2" s="1"/>
  <c r="I90" i="2"/>
  <c r="I94" i="2" s="1"/>
  <c r="H90" i="2"/>
  <c r="H94" i="2" s="1"/>
  <c r="R76" i="2"/>
  <c r="P76" i="2"/>
  <c r="P80" i="2" s="1"/>
  <c r="N76" i="2"/>
  <c r="N80" i="2" s="1"/>
  <c r="M76" i="2"/>
  <c r="M80" i="2" s="1"/>
  <c r="L76" i="2"/>
  <c r="L80" i="2" s="1"/>
  <c r="K76" i="2"/>
  <c r="K80" i="2" s="1"/>
  <c r="J76" i="2"/>
  <c r="J80" i="2" s="1"/>
  <c r="I76" i="2"/>
  <c r="I80" i="2" s="1"/>
  <c r="H76" i="2"/>
  <c r="H80" i="2" s="1"/>
  <c r="G76" i="2"/>
  <c r="G80" i="2" s="1"/>
  <c r="F76" i="2"/>
  <c r="P26" i="1" l="1"/>
  <c r="N26" i="1"/>
  <c r="L26" i="1"/>
  <c r="O26" i="1"/>
  <c r="J26" i="1"/>
  <c r="K26" i="1"/>
  <c r="M26" i="1"/>
  <c r="H26" i="1"/>
  <c r="I26" i="1"/>
  <c r="T35" i="1"/>
  <c r="M9" i="1"/>
  <c r="N9" i="1" s="1"/>
  <c r="O9" i="1" s="1"/>
  <c r="P9" i="1" s="1"/>
  <c r="Q9" i="1" s="1"/>
  <c r="K8" i="1"/>
  <c r="M15" i="1"/>
  <c r="N15" i="1"/>
  <c r="K4" i="1"/>
  <c r="T14" i="1"/>
  <c r="K20" i="1"/>
  <c r="E58" i="1"/>
  <c r="P8" i="1"/>
  <c r="H17" i="1"/>
  <c r="N18" i="1"/>
  <c r="N17" i="1" s="1"/>
  <c r="K17" i="1"/>
  <c r="G17" i="1"/>
  <c r="L17" i="1"/>
  <c r="P4" i="1"/>
  <c r="P20" i="1"/>
  <c r="P13" i="1"/>
  <c r="J19" i="1"/>
  <c r="J17" i="1" s="1"/>
  <c r="I17" i="1"/>
  <c r="S36" i="2"/>
  <c r="O52" i="2"/>
  <c r="O64" i="2" s="1"/>
  <c r="F160" i="2"/>
  <c r="F164" i="2" s="1"/>
  <c r="S158" i="2"/>
  <c r="S160" i="2" s="1"/>
  <c r="E76" i="2"/>
  <c r="S74" i="2"/>
  <c r="S76" i="2" s="1"/>
  <c r="E132" i="2"/>
  <c r="E136" i="2" s="1"/>
  <c r="S130" i="2"/>
  <c r="S132" i="2" s="1"/>
  <c r="I4" i="2"/>
  <c r="H4" i="2"/>
  <c r="S5" i="2"/>
  <c r="S4" i="2" s="1"/>
  <c r="S25" i="2"/>
  <c r="S38" i="2"/>
  <c r="S26" i="2"/>
  <c r="S34" i="2"/>
  <c r="D27" i="1" s="1"/>
  <c r="S57" i="2"/>
  <c r="S59" i="2" s="1"/>
  <c r="S88" i="2"/>
  <c r="S90" i="2" s="1"/>
  <c r="S41" i="2"/>
  <c r="F33" i="2"/>
  <c r="K24" i="2"/>
  <c r="E90" i="2"/>
  <c r="E94" i="2" s="1"/>
  <c r="G24" i="2"/>
  <c r="F27" i="2"/>
  <c r="E33" i="2"/>
  <c r="I24" i="2"/>
  <c r="E24" i="2"/>
  <c r="F24" i="2"/>
  <c r="F90" i="2"/>
  <c r="F94" i="2" s="1"/>
  <c r="T8" i="1" l="1"/>
  <c r="T4" i="1"/>
  <c r="O18" i="1"/>
  <c r="O17" i="1" s="1"/>
  <c r="S24" i="2"/>
  <c r="E98" i="2"/>
  <c r="P18" i="1" l="1"/>
  <c r="P17" i="1" s="1"/>
  <c r="P46" i="1" s="1"/>
  <c r="P58" i="1" s="1"/>
  <c r="Q18" i="1"/>
  <c r="E173" i="2"/>
  <c r="F93" i="2"/>
  <c r="E84" i="2"/>
  <c r="E154" i="2"/>
  <c r="E168" i="2"/>
  <c r="E140" i="2"/>
  <c r="R59" i="2"/>
  <c r="L59" i="2"/>
  <c r="L63" i="2" s="1"/>
  <c r="K59" i="2"/>
  <c r="K63" i="2" s="1"/>
  <c r="I59" i="2"/>
  <c r="I63" i="2" s="1"/>
  <c r="H59" i="2"/>
  <c r="H63" i="2" s="1"/>
  <c r="G59" i="2"/>
  <c r="G63" i="2" s="1"/>
  <c r="E59" i="2"/>
  <c r="E63" i="2" s="1"/>
  <c r="M59" i="2"/>
  <c r="M63" i="2" s="1"/>
  <c r="R49" i="2"/>
  <c r="R48" i="2"/>
  <c r="R47" i="2"/>
  <c r="R46" i="2"/>
  <c r="R42" i="2"/>
  <c r="S40" i="2"/>
  <c r="L33" i="2"/>
  <c r="H33" i="2"/>
  <c r="M33" i="2"/>
  <c r="I33" i="2"/>
  <c r="P33" i="2"/>
  <c r="P52" i="2" s="1"/>
  <c r="P64" i="2" s="1"/>
  <c r="K33" i="2"/>
  <c r="U32" i="2"/>
  <c r="U31" i="2"/>
  <c r="M31" i="2"/>
  <c r="R31" i="2" s="1"/>
  <c r="R30" i="2" s="1"/>
  <c r="M27" i="2"/>
  <c r="L27" i="2"/>
  <c r="H27" i="2"/>
  <c r="N13" i="2"/>
  <c r="K13" i="2"/>
  <c r="J13" i="2"/>
  <c r="G13" i="2"/>
  <c r="F13" i="2"/>
  <c r="S22" i="2"/>
  <c r="U20" i="2"/>
  <c r="R20" i="2"/>
  <c r="U19" i="2"/>
  <c r="P19" i="2"/>
  <c r="J19" i="2"/>
  <c r="I19" i="2"/>
  <c r="U18" i="2"/>
  <c r="R18" i="2"/>
  <c r="U17" i="2"/>
  <c r="L17" i="2"/>
  <c r="K17" i="2"/>
  <c r="U16" i="2"/>
  <c r="N16" i="2"/>
  <c r="M16" i="2"/>
  <c r="L16" i="2"/>
  <c r="K16" i="2"/>
  <c r="J16" i="2"/>
  <c r="I16" i="2"/>
  <c r="H16" i="2"/>
  <c r="G16" i="2"/>
  <c r="F16" i="2"/>
  <c r="E16" i="2"/>
  <c r="U15" i="2"/>
  <c r="I15" i="2"/>
  <c r="H15" i="2"/>
  <c r="F15" i="2"/>
  <c r="E15" i="2"/>
  <c r="U14" i="2"/>
  <c r="G14" i="2"/>
  <c r="R14" i="2" s="1"/>
  <c r="M13" i="2"/>
  <c r="I13" i="2"/>
  <c r="H13" i="2"/>
  <c r="E13" i="2"/>
  <c r="S12" i="2"/>
  <c r="R12" i="2"/>
  <c r="L8" i="2"/>
  <c r="S10" i="2"/>
  <c r="N8" i="2"/>
  <c r="M8" i="2"/>
  <c r="K8" i="2"/>
  <c r="J8" i="2"/>
  <c r="I8" i="2"/>
  <c r="H8" i="2"/>
  <c r="E8" i="2"/>
  <c r="R60" i="1"/>
  <c r="O50" i="1"/>
  <c r="Q50" i="1" s="1"/>
  <c r="E50" i="1"/>
  <c r="S43" i="1"/>
  <c r="S42" i="1"/>
  <c r="S41" i="1"/>
  <c r="S40" i="1"/>
  <c r="N24" i="1"/>
  <c r="S24" i="1" s="1"/>
  <c r="S23" i="1" s="1"/>
  <c r="S13" i="1"/>
  <c r="Q17" i="1" l="1"/>
  <c r="M52" i="2"/>
  <c r="M64" i="2" s="1"/>
  <c r="H52" i="2"/>
  <c r="H64" i="2" s="1"/>
  <c r="S38" i="1"/>
  <c r="S44" i="1"/>
  <c r="S37" i="1"/>
  <c r="S39" i="1"/>
  <c r="E178" i="2"/>
  <c r="F163" i="2"/>
  <c r="F168" i="2" s="1"/>
  <c r="E177" i="2"/>
  <c r="F149" i="2"/>
  <c r="F154" i="2" s="1"/>
  <c r="E172" i="2"/>
  <c r="F79" i="2"/>
  <c r="F84" i="2" s="1"/>
  <c r="E176" i="2"/>
  <c r="F135" i="2"/>
  <c r="F140" i="2" s="1"/>
  <c r="E126" i="2"/>
  <c r="F8" i="2"/>
  <c r="F52" i="2" s="1"/>
  <c r="F64" i="2" s="1"/>
  <c r="G33" i="2"/>
  <c r="R43" i="2"/>
  <c r="I27" i="2"/>
  <c r="I52" i="2" s="1"/>
  <c r="I64" i="2" s="1"/>
  <c r="R50" i="2"/>
  <c r="R17" i="2"/>
  <c r="E27" i="2"/>
  <c r="E52" i="2" s="1"/>
  <c r="E64" i="2" s="1"/>
  <c r="R45" i="2"/>
  <c r="R28" i="2"/>
  <c r="G27" i="2"/>
  <c r="K27" i="2"/>
  <c r="K52" i="2" s="1"/>
  <c r="K64" i="2" s="1"/>
  <c r="J33" i="2"/>
  <c r="N33" i="2"/>
  <c r="L13" i="2"/>
  <c r="L52" i="2" s="1"/>
  <c r="L64" i="2" s="1"/>
  <c r="J27" i="2"/>
  <c r="J52" i="2" s="1"/>
  <c r="J64" i="2" s="1"/>
  <c r="N27" i="2"/>
  <c r="R39" i="2"/>
  <c r="R5" i="2"/>
  <c r="R4" i="2" s="1"/>
  <c r="R19" i="2"/>
  <c r="S28" i="2"/>
  <c r="S39" i="2"/>
  <c r="R15" i="2"/>
  <c r="S23" i="2"/>
  <c r="S13" i="2" s="1"/>
  <c r="G8" i="2"/>
  <c r="R16" i="2"/>
  <c r="F50" i="1"/>
  <c r="S9" i="2"/>
  <c r="R9" i="2"/>
  <c r="S29" i="2"/>
  <c r="R29" i="2"/>
  <c r="R34" i="2"/>
  <c r="N59" i="2"/>
  <c r="N63" i="2" s="1"/>
  <c r="F59" i="2"/>
  <c r="F63" i="2" s="1"/>
  <c r="T17" i="1" l="1"/>
  <c r="N52" i="2"/>
  <c r="N64" i="2" s="1"/>
  <c r="S33" i="2"/>
  <c r="D26" i="1" s="1"/>
  <c r="S27" i="2"/>
  <c r="G52" i="2"/>
  <c r="G64" i="2" s="1"/>
  <c r="E175" i="2"/>
  <c r="F121" i="2"/>
  <c r="F126" i="2" s="1"/>
  <c r="F178" i="2"/>
  <c r="G163" i="2"/>
  <c r="G168" i="2" s="1"/>
  <c r="F177" i="2"/>
  <c r="G149" i="2"/>
  <c r="G154" i="2" s="1"/>
  <c r="G79" i="2"/>
  <c r="G84" i="2" s="1"/>
  <c r="F172" i="2"/>
  <c r="F176" i="2"/>
  <c r="G135" i="2"/>
  <c r="G140" i="2" s="1"/>
  <c r="E112" i="2"/>
  <c r="R11" i="2"/>
  <c r="R8" i="2" s="1"/>
  <c r="S11" i="2"/>
  <c r="F98" i="2"/>
  <c r="R33" i="2"/>
  <c r="R13" i="2"/>
  <c r="R51" i="2"/>
  <c r="R44" i="2"/>
  <c r="R27" i="2"/>
  <c r="G50" i="1"/>
  <c r="H50" i="1" s="1"/>
  <c r="I50" i="1" s="1"/>
  <c r="J50" i="1" s="1"/>
  <c r="K50" i="1" s="1"/>
  <c r="L50" i="1" s="1"/>
  <c r="M50" i="1" s="1"/>
  <c r="S6" i="1"/>
  <c r="H163" i="2" l="1"/>
  <c r="H168" i="2" s="1"/>
  <c r="G178" i="2"/>
  <c r="E174" i="2"/>
  <c r="F107" i="2"/>
  <c r="F112" i="2" s="1"/>
  <c r="F174" i="2" s="1"/>
  <c r="G172" i="2"/>
  <c r="H79" i="2"/>
  <c r="H84" i="2" s="1"/>
  <c r="G93" i="2"/>
  <c r="G98" i="2" s="1"/>
  <c r="F173" i="2"/>
  <c r="H135" i="2"/>
  <c r="H140" i="2" s="1"/>
  <c r="G176" i="2"/>
  <c r="G177" i="2"/>
  <c r="H149" i="2"/>
  <c r="H154" i="2" s="1"/>
  <c r="G121" i="2"/>
  <c r="G126" i="2" s="1"/>
  <c r="F175" i="2"/>
  <c r="S8" i="2"/>
  <c r="S52" i="2" s="1"/>
  <c r="F13" i="1"/>
  <c r="S28" i="1"/>
  <c r="S31" i="1"/>
  <c r="T50" i="1"/>
  <c r="G13" i="1"/>
  <c r="R52" i="2"/>
  <c r="D46" i="1" l="1"/>
  <c r="U35" i="2"/>
  <c r="U42" i="2"/>
  <c r="U37" i="2"/>
  <c r="U36" i="2"/>
  <c r="U26" i="2"/>
  <c r="U38" i="2"/>
  <c r="U25" i="2"/>
  <c r="U41" i="2"/>
  <c r="U40" i="2"/>
  <c r="U39" i="2"/>
  <c r="G107" i="2"/>
  <c r="G112" i="2" s="1"/>
  <c r="G174" i="2" s="1"/>
  <c r="I149" i="2"/>
  <c r="I154" i="2" s="1"/>
  <c r="H177" i="2"/>
  <c r="H93" i="2"/>
  <c r="H98" i="2" s="1"/>
  <c r="G173" i="2"/>
  <c r="I79" i="2"/>
  <c r="I84" i="2" s="1"/>
  <c r="H172" i="2"/>
  <c r="I135" i="2"/>
  <c r="I140" i="2" s="1"/>
  <c r="H176" i="2"/>
  <c r="I163" i="2"/>
  <c r="I168" i="2" s="1"/>
  <c r="H178" i="2"/>
  <c r="H121" i="2"/>
  <c r="H126" i="2" s="1"/>
  <c r="G175" i="2"/>
  <c r="U21" i="2"/>
  <c r="E70" i="2"/>
  <c r="F62" i="2" s="1"/>
  <c r="F4" i="1"/>
  <c r="F20" i="1"/>
  <c r="F8" i="1"/>
  <c r="H13" i="1"/>
  <c r="U24" i="2" l="1"/>
  <c r="I176" i="2"/>
  <c r="J135" i="2"/>
  <c r="J140" i="2" s="1"/>
  <c r="I178" i="2"/>
  <c r="J163" i="2"/>
  <c r="J168" i="2" s="1"/>
  <c r="I177" i="2"/>
  <c r="J149" i="2"/>
  <c r="J154" i="2" s="1"/>
  <c r="U7" i="2"/>
  <c r="U6" i="2"/>
  <c r="U10" i="2"/>
  <c r="U5" i="2"/>
  <c r="I172" i="2"/>
  <c r="J79" i="2"/>
  <c r="J84" i="2" s="1"/>
  <c r="H107" i="2"/>
  <c r="H112" i="2" s="1"/>
  <c r="I121" i="2"/>
  <c r="I126" i="2" s="1"/>
  <c r="H175" i="2"/>
  <c r="H173" i="2"/>
  <c r="I93" i="2"/>
  <c r="I98" i="2" s="1"/>
  <c r="U43" i="2"/>
  <c r="U30" i="2"/>
  <c r="U22" i="2"/>
  <c r="U11" i="2"/>
  <c r="U49" i="2"/>
  <c r="U44" i="2"/>
  <c r="U29" i="2"/>
  <c r="U45" i="2"/>
  <c r="U48" i="2"/>
  <c r="U51" i="2"/>
  <c r="U47" i="2"/>
  <c r="U28" i="2"/>
  <c r="U12" i="2"/>
  <c r="U9" i="2"/>
  <c r="U34" i="2"/>
  <c r="U33" i="2" s="1"/>
  <c r="U50" i="2"/>
  <c r="U46" i="2"/>
  <c r="U23" i="2"/>
  <c r="F70" i="2"/>
  <c r="G62" i="2" s="1"/>
  <c r="G70" i="2" s="1"/>
  <c r="H62" i="2" s="1"/>
  <c r="H70" i="2" s="1"/>
  <c r="E171" i="2"/>
  <c r="E179" i="2" s="1"/>
  <c r="S11" i="1"/>
  <c r="G4" i="1"/>
  <c r="I13" i="1"/>
  <c r="G8" i="1"/>
  <c r="G20" i="1"/>
  <c r="F58" i="1"/>
  <c r="G46" i="1" l="1"/>
  <c r="G58" i="1" s="1"/>
  <c r="U27" i="2"/>
  <c r="U4" i="2"/>
  <c r="I175" i="2"/>
  <c r="J121" i="2"/>
  <c r="J126" i="2" s="1"/>
  <c r="K149" i="2"/>
  <c r="K154" i="2" s="1"/>
  <c r="J177" i="2"/>
  <c r="K135" i="2"/>
  <c r="K140" i="2" s="1"/>
  <c r="J176" i="2"/>
  <c r="J178" i="2"/>
  <c r="K163" i="2"/>
  <c r="K168" i="2" s="1"/>
  <c r="I173" i="2"/>
  <c r="J93" i="2"/>
  <c r="K79" i="2"/>
  <c r="J172" i="2"/>
  <c r="H174" i="2"/>
  <c r="I107" i="2"/>
  <c r="I112" i="2" s="1"/>
  <c r="I62" i="2"/>
  <c r="I70" i="2" s="1"/>
  <c r="H171" i="2"/>
  <c r="G171" i="2"/>
  <c r="G179" i="2" s="1"/>
  <c r="F171" i="2"/>
  <c r="F179" i="2" s="1"/>
  <c r="U8" i="2"/>
  <c r="U13" i="2"/>
  <c r="H4" i="1"/>
  <c r="J98" i="2"/>
  <c r="K84" i="2"/>
  <c r="H20" i="1"/>
  <c r="H8" i="1"/>
  <c r="J13" i="1"/>
  <c r="H46" i="1" l="1"/>
  <c r="H58" i="1" s="1"/>
  <c r="U52" i="2"/>
  <c r="H179" i="2"/>
  <c r="L79" i="2"/>
  <c r="L84" i="2" s="1"/>
  <c r="K172" i="2"/>
  <c r="L135" i="2"/>
  <c r="L140" i="2" s="1"/>
  <c r="K176" i="2"/>
  <c r="K121" i="2"/>
  <c r="K126" i="2" s="1"/>
  <c r="J175" i="2"/>
  <c r="L149" i="2"/>
  <c r="L154" i="2" s="1"/>
  <c r="K177" i="2"/>
  <c r="I174" i="2"/>
  <c r="J107" i="2"/>
  <c r="J112" i="2" s="1"/>
  <c r="L163" i="2"/>
  <c r="L168" i="2" s="1"/>
  <c r="K178" i="2"/>
  <c r="J173" i="2"/>
  <c r="K93" i="2"/>
  <c r="I171" i="2"/>
  <c r="J62" i="2"/>
  <c r="J70" i="2" s="1"/>
  <c r="I4" i="1"/>
  <c r="K13" i="1"/>
  <c r="K46" i="1" s="1"/>
  <c r="I8" i="1"/>
  <c r="I20" i="1"/>
  <c r="K98" i="2"/>
  <c r="I46" i="1" l="1"/>
  <c r="I58" i="1" s="1"/>
  <c r="I179" i="2"/>
  <c r="L178" i="2"/>
  <c r="M163" i="2"/>
  <c r="M168" i="2" s="1"/>
  <c r="L177" i="2"/>
  <c r="M149" i="2"/>
  <c r="M154" i="2" s="1"/>
  <c r="L176" i="2"/>
  <c r="M135" i="2"/>
  <c r="M140" i="2" s="1"/>
  <c r="J174" i="2"/>
  <c r="K107" i="2"/>
  <c r="K112" i="2" s="1"/>
  <c r="L172" i="2"/>
  <c r="M79" i="2"/>
  <c r="M84" i="2" s="1"/>
  <c r="L121" i="2"/>
  <c r="L126" i="2" s="1"/>
  <c r="K175" i="2"/>
  <c r="L93" i="2"/>
  <c r="K173" i="2"/>
  <c r="J171" i="2"/>
  <c r="J179" i="2" s="1"/>
  <c r="K62" i="2"/>
  <c r="K70" i="2" s="1"/>
  <c r="J4" i="1"/>
  <c r="M112" i="2"/>
  <c r="M174" i="2" s="1"/>
  <c r="L98" i="2"/>
  <c r="J20" i="1"/>
  <c r="J8" i="1"/>
  <c r="L13" i="1"/>
  <c r="J46" i="1" l="1"/>
  <c r="J58" i="1" s="1"/>
  <c r="M178" i="2"/>
  <c r="N163" i="2"/>
  <c r="N168" i="2" s="1"/>
  <c r="M177" i="2"/>
  <c r="N149" i="2"/>
  <c r="N154" i="2" s="1"/>
  <c r="M176" i="2"/>
  <c r="N135" i="2"/>
  <c r="N140" i="2" s="1"/>
  <c r="M172" i="2"/>
  <c r="N79" i="2"/>
  <c r="N84" i="2" s="1"/>
  <c r="K171" i="2"/>
  <c r="L62" i="2"/>
  <c r="L70" i="2" s="1"/>
  <c r="M62" i="2" s="1"/>
  <c r="L173" i="2"/>
  <c r="M93" i="2"/>
  <c r="M98" i="2" s="1"/>
  <c r="L107" i="2"/>
  <c r="L112" i="2" s="1"/>
  <c r="L174" i="2" s="1"/>
  <c r="K174" i="2"/>
  <c r="L175" i="2"/>
  <c r="M121" i="2"/>
  <c r="M126" i="2" s="1"/>
  <c r="M13" i="1"/>
  <c r="L171" i="2"/>
  <c r="M175" i="2" l="1"/>
  <c r="N121" i="2"/>
  <c r="N126" i="2" s="1"/>
  <c r="M173" i="2"/>
  <c r="N93" i="2"/>
  <c r="N98" i="2" s="1"/>
  <c r="N177" i="2"/>
  <c r="O149" i="2"/>
  <c r="O154" i="2" s="1"/>
  <c r="O79" i="2"/>
  <c r="O84" i="2" s="1"/>
  <c r="N172" i="2"/>
  <c r="N176" i="2"/>
  <c r="O135" i="2"/>
  <c r="O140" i="2" s="1"/>
  <c r="N178" i="2"/>
  <c r="O163" i="2"/>
  <c r="O168" i="2" s="1"/>
  <c r="K179" i="2"/>
  <c r="K58" i="1"/>
  <c r="L4" i="1"/>
  <c r="L179" i="2"/>
  <c r="M70" i="2"/>
  <c r="L20" i="1"/>
  <c r="L8" i="1"/>
  <c r="N13" i="1"/>
  <c r="L46" i="1" l="1"/>
  <c r="L58" i="1" s="1"/>
  <c r="P163" i="2"/>
  <c r="P168" i="2" s="1"/>
  <c r="P178" i="2" s="1"/>
  <c r="O178" i="2"/>
  <c r="N173" i="2"/>
  <c r="O93" i="2"/>
  <c r="O98" i="2" s="1"/>
  <c r="M171" i="2"/>
  <c r="M179" i="2" s="1"/>
  <c r="N62" i="2"/>
  <c r="N70" i="2" s="1"/>
  <c r="P79" i="2"/>
  <c r="P84" i="2" s="1"/>
  <c r="P172" i="2" s="1"/>
  <c r="O172" i="2"/>
  <c r="O176" i="2"/>
  <c r="P135" i="2"/>
  <c r="P140" i="2" s="1"/>
  <c r="P176" i="2" s="1"/>
  <c r="O177" i="2"/>
  <c r="P149" i="2"/>
  <c r="P154" i="2" s="1"/>
  <c r="P177" i="2" s="1"/>
  <c r="N175" i="2"/>
  <c r="O121" i="2"/>
  <c r="O126" i="2" s="1"/>
  <c r="M4" i="1"/>
  <c r="O13" i="1"/>
  <c r="M8" i="1"/>
  <c r="M20" i="1"/>
  <c r="M46" i="1" l="1"/>
  <c r="M58" i="1" s="1"/>
  <c r="O173" i="2"/>
  <c r="P93" i="2"/>
  <c r="P98" i="2" s="1"/>
  <c r="P173" i="2" s="1"/>
  <c r="P121" i="2"/>
  <c r="P126" i="2" s="1"/>
  <c r="P175" i="2" s="1"/>
  <c r="O175" i="2"/>
  <c r="O62" i="2"/>
  <c r="O70" i="2" s="1"/>
  <c r="N171" i="2"/>
  <c r="N179" i="2" s="1"/>
  <c r="N4" i="1"/>
  <c r="N20" i="1"/>
  <c r="N8" i="1"/>
  <c r="S21" i="1"/>
  <c r="Q13" i="1"/>
  <c r="N46" i="1" l="1"/>
  <c r="N58" i="1" s="1"/>
  <c r="P62" i="2"/>
  <c r="P70" i="2" s="1"/>
  <c r="P171" i="2" s="1"/>
  <c r="P179" i="2" s="1"/>
  <c r="O171" i="2"/>
  <c r="O179" i="2" s="1"/>
  <c r="O4" i="1"/>
  <c r="T13" i="1"/>
  <c r="O8" i="1"/>
  <c r="O20" i="1"/>
  <c r="O46" i="1" l="1"/>
  <c r="O58" i="1"/>
  <c r="S5" i="1"/>
  <c r="S4" i="1" s="1"/>
  <c r="Q4" i="1"/>
  <c r="T26" i="1"/>
  <c r="T46" i="1" s="1"/>
  <c r="T56" i="1" s="1"/>
  <c r="S27" i="1"/>
  <c r="S26" i="1" s="1"/>
  <c r="S22" i="1"/>
  <c r="S20" i="1" s="1"/>
  <c r="Q20" i="1"/>
  <c r="Q8" i="1"/>
  <c r="S9" i="1"/>
  <c r="S8" i="1" s="1"/>
  <c r="U49" i="1" l="1"/>
  <c r="F49" i="1"/>
  <c r="Q46" i="1"/>
  <c r="Q58" i="1" s="1"/>
  <c r="T20" i="1"/>
  <c r="S46" i="1"/>
  <c r="U33" i="1" l="1"/>
  <c r="U30" i="1"/>
  <c r="U45" i="1"/>
  <c r="U36" i="1"/>
  <c r="U32" i="1"/>
  <c r="U35" i="1"/>
  <c r="U34" i="1"/>
  <c r="U19" i="1"/>
  <c r="U6" i="1"/>
  <c r="U7" i="1"/>
  <c r="U5" i="1"/>
  <c r="U18" i="1"/>
  <c r="U17" i="1" s="1"/>
  <c r="U31" i="1"/>
  <c r="U14" i="1"/>
  <c r="U23" i="1"/>
  <c r="U10" i="1"/>
  <c r="U12" i="1"/>
  <c r="U15" i="1"/>
  <c r="U16" i="1"/>
  <c r="U28" i="1"/>
  <c r="U29" i="1"/>
  <c r="U38" i="1"/>
  <c r="U39" i="1"/>
  <c r="U40" i="1"/>
  <c r="U41" i="1"/>
  <c r="U42" i="1"/>
  <c r="U43" i="1"/>
  <c r="U44" i="1"/>
  <c r="U11" i="1"/>
  <c r="U21" i="1"/>
  <c r="U9" i="1"/>
  <c r="U22" i="1"/>
  <c r="U27" i="1"/>
  <c r="U37" i="1"/>
  <c r="U8" i="1" l="1"/>
  <c r="U4" i="1"/>
  <c r="U13" i="1"/>
  <c r="U26" i="1"/>
  <c r="U20" i="1"/>
  <c r="U46" i="1" l="1"/>
  <c r="E53" i="1"/>
  <c r="E57" i="1" l="1"/>
  <c r="E60" i="1" s="1"/>
  <c r="F56" i="1" s="1"/>
  <c r="G49" i="1"/>
  <c r="F53" i="1"/>
  <c r="F57" i="1" s="1"/>
  <c r="F60" i="1" s="1"/>
  <c r="G56" i="1" l="1"/>
  <c r="H49" i="1"/>
  <c r="G53" i="1"/>
  <c r="G57" i="1" s="1"/>
  <c r="G60" i="1" l="1"/>
  <c r="H56" i="1" s="1"/>
  <c r="I49" i="1"/>
  <c r="H53" i="1"/>
  <c r="H57" i="1" s="1"/>
  <c r="H60" i="1" l="1"/>
  <c r="I56" i="1" s="1"/>
  <c r="J49" i="1"/>
  <c r="I53" i="1"/>
  <c r="I57" i="1" s="1"/>
  <c r="I60" i="1" l="1"/>
  <c r="J56" i="1" s="1"/>
  <c r="K49" i="1"/>
  <c r="J53" i="1"/>
  <c r="J57" i="1" s="1"/>
  <c r="J60" i="1" l="1"/>
  <c r="K56" i="1" s="1"/>
  <c r="L49" i="1"/>
  <c r="K53" i="1"/>
  <c r="K57" i="1" s="1"/>
  <c r="K60" i="1" l="1"/>
  <c r="L56" i="1" s="1"/>
  <c r="M49" i="1"/>
  <c r="L53" i="1"/>
  <c r="L57" i="1" s="1"/>
  <c r="L60" i="1" l="1"/>
  <c r="M56" i="1" s="1"/>
  <c r="N49" i="1"/>
  <c r="P49" i="1" s="1"/>
  <c r="P53" i="1" s="1"/>
  <c r="P57" i="1" s="1"/>
  <c r="M53" i="1"/>
  <c r="M57" i="1" s="1"/>
  <c r="M60" i="1" l="1"/>
  <c r="N56" i="1" s="1"/>
  <c r="O49" i="1"/>
  <c r="N53" i="1"/>
  <c r="N57" i="1" s="1"/>
  <c r="N60" i="1" l="1"/>
  <c r="O56" i="1" s="1"/>
  <c r="Q49" i="1"/>
  <c r="O53" i="1"/>
  <c r="O57" i="1" s="1"/>
  <c r="P56" i="1" l="1"/>
  <c r="P60" i="1" s="1"/>
  <c r="Q53" i="1"/>
  <c r="Q57" i="1" s="1"/>
  <c r="T49" i="1"/>
  <c r="T53" i="1" s="1"/>
  <c r="O60" i="1"/>
  <c r="Q56" i="1" s="1"/>
  <c r="Q6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100-000001000000}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Pagamento da Supreesão na Folha de Pagamento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000-000001000000}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Pagamento da Supreesão na Folha de Pagamento 
</t>
        </r>
      </text>
    </comment>
    <comment ref="K6" authorId="0" shapeId="0" xr:uid="{27B0FD33-DDEB-4817-BC91-1209CFF88C9A}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Pagamento da Supreesão na Folha de Pagamento 
</t>
        </r>
      </text>
    </comment>
    <comment ref="K7" authorId="0" shapeId="0" xr:uid="{67910A19-F563-4AA5-B348-726EC2E90F30}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Pagamento da Supreesão na Folha de Pagamento 
</t>
        </r>
      </text>
    </comment>
  </commentList>
</comments>
</file>

<file path=xl/sharedStrings.xml><?xml version="1.0" encoding="utf-8"?>
<sst xmlns="http://schemas.openxmlformats.org/spreadsheetml/2006/main" count="530" uniqueCount="141">
  <si>
    <t>DESPESAS</t>
  </si>
  <si>
    <t xml:space="preserve">PREVISAO </t>
  </si>
  <si>
    <t>TOTAL
DESPESAS</t>
  </si>
  <si>
    <t xml:space="preserve">MÉDIA PREVISÃO
</t>
  </si>
  <si>
    <t>%</t>
  </si>
  <si>
    <t>Histórico</t>
  </si>
  <si>
    <t>MAR/20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</si>
  <si>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</si>
  <si>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</si>
  <si>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</si>
  <si>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</si>
  <si>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</si>
  <si>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</si>
  <si>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</si>
  <si>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</si>
  <si>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</si>
  <si>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</si>
  <si>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</si>
  <si>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MÃO DE OBRA - PRÓPRIA</t>
  </si>
  <si>
    <t>Folha de Pagamento</t>
  </si>
  <si>
    <t>MÃO DE OBRA BENEFICIOS</t>
  </si>
  <si>
    <t>Vale Refeição</t>
  </si>
  <si>
    <t>Cesta Basica</t>
  </si>
  <si>
    <t>Seguro de Vida</t>
  </si>
  <si>
    <t>MÃO DE OBRA COMPLEMENTAR</t>
  </si>
  <si>
    <t>Cesta de Natal</t>
  </si>
  <si>
    <t>Rais/Dirf/Atualização Cadastral Funcionários </t>
  </si>
  <si>
    <t xml:space="preserve">Sistema Integrado Vila Velha </t>
  </si>
  <si>
    <t>CONSUMOS</t>
  </si>
  <si>
    <t>Energia</t>
  </si>
  <si>
    <t>Telefonia/Internet/TV</t>
  </si>
  <si>
    <t>OBRIGAÇÕES FISCAIS</t>
  </si>
  <si>
    <t>Tx de Util. Elevador</t>
  </si>
  <si>
    <t>Diversos</t>
  </si>
  <si>
    <t>CONTRATOS</t>
  </si>
  <si>
    <t>Elevadores</t>
  </si>
  <si>
    <t>Tx de Administração</t>
  </si>
  <si>
    <t xml:space="preserve">Síndico Profissional </t>
  </si>
  <si>
    <t>DESPESAS DE EXPEDIENTE</t>
  </si>
  <si>
    <t>MATERIAIS DIVERSOS</t>
  </si>
  <si>
    <t>Limpeza</t>
  </si>
  <si>
    <t>HONORARIOS DIVERSOS</t>
  </si>
  <si>
    <t>EVENTUAIS </t>
  </si>
  <si>
    <t>EXTRAS - SERVIÇOS E MATERIAIS</t>
  </si>
  <si>
    <t>AQUISIÇÕES</t>
  </si>
  <si>
    <t>SERVIÇOS DE CONSERVAÇÃO</t>
  </si>
  <si>
    <t>OBRIGAÇÕES ANUAIS</t>
  </si>
  <si>
    <t>DESPESAS INTERNAS</t>
  </si>
  <si>
    <t>TOTAL DESPESAS</t>
  </si>
  <si>
    <t>RECEITAS</t>
  </si>
  <si>
    <t xml:space="preserve">MÉDIA 
</t>
  </si>
  <si>
    <t>(+) Receitas Emitidas</t>
  </si>
  <si>
    <t>(+) Receitas Diversas</t>
  </si>
  <si>
    <t>( -) Inadimplência do mês</t>
  </si>
  <si>
    <t>(+) Recebimento de Inadimplentes</t>
  </si>
  <si>
    <t>(=) Total de Receitas</t>
  </si>
  <si>
    <t>POSIÇÃO FINANCEIRA - OBRAS</t>
  </si>
  <si>
    <t>Saldo Anterior</t>
  </si>
  <si>
    <t>(+) Total de Receitas</t>
  </si>
  <si>
    <t>(-) Total de Despesas</t>
  </si>
  <si>
    <t>Outras Receitas / Despesas</t>
  </si>
  <si>
    <t>(=) Saldo Atual</t>
  </si>
  <si>
    <t>REALIZADO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</si>
  <si>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</si>
  <si>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</si>
  <si>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</si>
  <si>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</si>
  <si>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</si>
  <si>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</si>
  <si>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</si>
  <si>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</si>
  <si>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</si>
  <si>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</si>
  <si>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Uniforme</t>
  </si>
  <si>
    <t>Pensão Alimenticia</t>
  </si>
  <si>
    <t>Sist Integr. Saud. Ocupac.</t>
  </si>
  <si>
    <t>Elab. Dirf/Rais/Diversos</t>
  </si>
  <si>
    <t>Cursos Funcionario / Diversos</t>
  </si>
  <si>
    <t>E-SOCIAL</t>
  </si>
  <si>
    <t>TOTAL AREECADADO</t>
  </si>
  <si>
    <t>MÉDIA</t>
  </si>
  <si>
    <t>POSIÇÃO FINANCEIRA - ORDINARIA</t>
  </si>
  <si>
    <t>Credito p/ Dest. Futura</t>
  </si>
  <si>
    <t>Estorno Baixa de recibo</t>
  </si>
  <si>
    <t>Transferência entre Contas</t>
  </si>
  <si>
    <t>POSIÇÃO FINANCEIRA - FUNDO DE RESERVA</t>
  </si>
  <si>
    <t>POSIÇÃO FINANCEIRA - MELHORAMENTOS</t>
  </si>
  <si>
    <t xml:space="preserve">SALDO FINAL  </t>
  </si>
  <si>
    <t>ORDINARIA</t>
  </si>
  <si>
    <t>FUNDO DE RESERVAS</t>
  </si>
  <si>
    <t>MELHORAMENTOS</t>
  </si>
  <si>
    <t>OBRAS</t>
  </si>
  <si>
    <t>TOTAL</t>
  </si>
  <si>
    <t>Folha de Pagamento + Encargos</t>
  </si>
  <si>
    <t>Portão/Interfone</t>
  </si>
  <si>
    <t xml:space="preserve">Jardim </t>
  </si>
  <si>
    <t xml:space="preserve">Acesso internet </t>
  </si>
  <si>
    <t>Outros</t>
  </si>
  <si>
    <t>Telefonia/Internet</t>
  </si>
  <si>
    <t>Manutenção Aquecedor</t>
  </si>
  <si>
    <t>Gerador</t>
  </si>
  <si>
    <t>MÃO DE OBRA TERCEIRIZADA</t>
  </si>
  <si>
    <t>Controlador de Acesso</t>
  </si>
  <si>
    <t>RECEITAS FUNDO DE RESERVA</t>
  </si>
  <si>
    <t>RECEITAS MELHORAMENTOS</t>
  </si>
  <si>
    <t>RECEITAS OBRAS</t>
  </si>
  <si>
    <t>RECEITAS AREA COMUM</t>
  </si>
  <si>
    <t>POSIÇÃO FINANCEIRA - AREA COMUM</t>
  </si>
  <si>
    <t>RECEITAS CONSUMO DE ÁGUA</t>
  </si>
  <si>
    <t>POSIÇÃO FINANCEIRA - CONSUMO DE ÁGUA</t>
  </si>
  <si>
    <t>POSIÇÃO FINANCEIRA - CONSUMO DE GÁS</t>
  </si>
  <si>
    <t>RECEITAS CONSUMO DE GÁS</t>
  </si>
  <si>
    <t>RECEITAS CONSUMO DE ENERGIA</t>
  </si>
  <si>
    <t>AREA COMUM</t>
  </si>
  <si>
    <t>CONSUMO DE AGUA</t>
  </si>
  <si>
    <t>CONSUMO DE GAS</t>
  </si>
  <si>
    <t>CONSUMO DE ENERGIA</t>
  </si>
  <si>
    <t>Emprestimo (Descontado em folha)</t>
  </si>
  <si>
    <t>Recebimento Diversos</t>
  </si>
  <si>
    <t>Férias</t>
  </si>
  <si>
    <t>Vale Combustivel</t>
  </si>
  <si>
    <t>13º Salario</t>
  </si>
  <si>
    <t>13º Sálario</t>
  </si>
  <si>
    <t>2343 - LE PREMIER - PREVISÃO </t>
  </si>
  <si>
    <t>REVISÃO</t>
  </si>
  <si>
    <t>ABR/21</t>
  </si>
  <si>
    <t>MAI/21</t>
  </si>
  <si>
    <t>ABRIL/20</t>
  </si>
  <si>
    <t>(-) Inadimplência do mês</t>
  </si>
  <si>
    <t xml:space="preserve">MÉDIA
</t>
  </si>
  <si>
    <t xml:space="preserve"> -) Inadimplência do mês</t>
  </si>
  <si>
    <t>POSIÇÃO FINANCEIRA - CONSUMO ENERGIA</t>
  </si>
  <si>
    <t xml:space="preserve">Energia área comum </t>
  </si>
  <si>
    <t>Sistema de Segurança</t>
  </si>
  <si>
    <t>Ordinária</t>
  </si>
  <si>
    <t>Fundo de Reserva</t>
  </si>
  <si>
    <t>Fundo de Obras</t>
  </si>
  <si>
    <t>Saldo Aplicação</t>
  </si>
  <si>
    <t>Abril/20</t>
  </si>
  <si>
    <t>Inadimplência</t>
  </si>
  <si>
    <t>POSIÇÃO FINANCEIRA - ORDINÁRIA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</si>
</sst>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_);[Red]\(#,##0.00\)"/>
    <numFmt numFmtId="165" formatCode="#,##0.00\ ;&quot; (&quot;#,##0.00\);&quot; -&quot;#\ ;@\ "/>
    <numFmt numFmtId="166" formatCode="_-* #,##0.00_-;\-* #,##0.00_-;_-* \-??_-;_-@_-"/>
    <numFmt numFmtId="167" formatCode="#,##0.00_ ;[Red]\-#,##0.00\ "/>
  </numFmts>
  <fonts count="33" x14ac:knownFonts="1">
    <font>
      <sz val="10"/>
      <name val="Arial"/>
      <family val="2"/>
      <charset val="1"/>
    </font>
    <font>
      <sz val="14"/>
      <name val="Calibri"/>
      <family val="2"/>
    </font>
    <font>
      <sz val="14"/>
      <color rgb="FFFFFFFF"/>
      <name val="Calibri"/>
      <family val="2"/>
    </font>
    <font>
      <b/>
      <i/>
      <sz val="14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4"/>
      <color rgb="FF0000FF"/>
      <name val="Calibri"/>
      <family val="2"/>
    </font>
    <font>
      <b/>
      <sz val="36"/>
      <name val="Calibri"/>
      <family val="2"/>
    </font>
    <font>
      <b/>
      <sz val="14"/>
      <color rgb="FF0000CC"/>
      <name val="Calibri"/>
      <family val="2"/>
    </font>
    <font>
      <u/>
      <sz val="14"/>
      <name val="Calibri"/>
      <family val="2"/>
    </font>
    <font>
      <sz val="10"/>
      <name val="Arial"/>
      <family val="2"/>
      <charset val="1"/>
    </font>
    <font>
      <b/>
      <u/>
      <sz val="36"/>
      <color rgb="FFFFFFFF"/>
      <name val="Calibri"/>
      <family val="2"/>
    </font>
    <font>
      <u/>
      <sz val="10"/>
      <name val="Arial"/>
      <family val="2"/>
      <charset val="1"/>
    </font>
    <font>
      <b/>
      <u/>
      <sz val="14"/>
      <name val="Calibri"/>
      <family val="2"/>
    </font>
    <font>
      <b/>
      <u/>
      <sz val="14"/>
      <color rgb="FFFFFFFF"/>
      <name val="Calibri"/>
      <family val="2"/>
    </font>
    <font>
      <u/>
      <sz val="14"/>
      <color rgb="FFFFFFFF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name val="Arial"/>
      <family val="2"/>
      <charset val="1"/>
    </font>
    <font>
      <b/>
      <sz val="14"/>
      <color rgb="FF000000"/>
      <name val="Calibri"/>
      <family val="2"/>
    </font>
    <font>
      <b/>
      <u/>
      <sz val="36"/>
      <color rgb="FFFFFFFF"/>
      <name val="Calibri"/>
      <family val="2"/>
    </font>
    <font>
      <b/>
      <i/>
      <sz val="14"/>
      <name val="Calibri"/>
      <family val="2"/>
    </font>
    <font>
      <b/>
      <sz val="14"/>
      <color rgb="FF0000FF"/>
      <name val="Calibri"/>
      <family val="2"/>
    </font>
    <font>
      <sz val="14"/>
      <color rgb="FFCE181E"/>
      <name val="Calibri"/>
      <family val="2"/>
    </font>
    <font>
      <b/>
      <sz val="14"/>
      <color rgb="FF0000CC"/>
      <name val="Calibri"/>
      <family val="2"/>
    </font>
    <font>
      <b/>
      <sz val="14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3"/>
      <color theme="0"/>
      <name val="Calibri"/>
      <family val="2"/>
    </font>
    <font>
      <sz val="14"/>
      <color theme="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9D08E"/>
        <bgColor rgb="FFC6E0B4"/>
      </patternFill>
    </fill>
    <fill>
      <patternFill patternType="solid">
        <fgColor rgb="FFF4B084"/>
        <bgColor rgb="FFF8CBAD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E2EFDA"/>
      </patternFill>
    </fill>
    <fill>
      <patternFill patternType="solid">
        <fgColor rgb="FFE2EFDA"/>
        <bgColor rgb="FFFBE5D6"/>
      </patternFill>
    </fill>
    <fill>
      <patternFill patternType="solid">
        <fgColor rgb="FFFBE5D6"/>
        <bgColor rgb="FFE2EFDA"/>
      </patternFill>
    </fill>
    <fill>
      <patternFill patternType="solid">
        <fgColor rgb="FFBFBFBF"/>
        <bgColor rgb="FFB2B2B2"/>
      </patternFill>
    </fill>
    <fill>
      <patternFill patternType="solid">
        <fgColor rgb="FFCCCCCC"/>
        <bgColor rgb="FFBFBFBF"/>
      </patternFill>
    </fill>
    <fill>
      <patternFill patternType="solid">
        <fgColor rgb="FFC65911"/>
        <bgColor rgb="FF993366"/>
      </patternFill>
    </fill>
    <fill>
      <patternFill patternType="solid">
        <fgColor rgb="FFA6A6A6"/>
        <bgColor rgb="FFB2B2B2"/>
      </patternFill>
    </fill>
    <fill>
      <patternFill patternType="solid">
        <fgColor rgb="FFB2B2B2"/>
        <bgColor rgb="FFA6A6A6"/>
      </patternFill>
    </fill>
    <fill>
      <patternFill patternType="solid">
        <fgColor rgb="FF548235"/>
        <bgColor indexed="64"/>
      </patternFill>
    </fill>
    <fill>
      <patternFill patternType="solid">
        <fgColor theme="0"/>
        <bgColor rgb="FFB2B2B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BE5D6"/>
      </patternFill>
    </fill>
    <fill>
      <patternFill patternType="solid">
        <fgColor theme="0"/>
        <bgColor rgb="FFE2EFDA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E2EFDA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165" fontId="12" fillId="0" borderId="0" applyBorder="0" applyProtection="0"/>
    <xf numFmtId="9" fontId="12" fillId="0" borderId="0" applyFont="0" applyFill="0" applyBorder="0" applyAlignment="0" applyProtection="0"/>
  </cellStyleXfs>
  <cellXfs count="3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1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164" fontId="6" fillId="0" borderId="0" xfId="0" applyNumberFormat="1" applyFont="1" applyAlignment="1">
      <alignment horizontal="center" wrapText="1"/>
    </xf>
    <xf numFmtId="164" fontId="1" fillId="0" borderId="10" xfId="0" applyNumberFormat="1" applyFont="1" applyBorder="1" applyAlignment="1">
      <alignment horizontal="center"/>
    </xf>
    <xf numFmtId="164" fontId="5" fillId="5" borderId="13" xfId="1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Alignment="1">
      <alignment horizontal="center" vertical="center"/>
    </xf>
    <xf numFmtId="164" fontId="1" fillId="8" borderId="11" xfId="0" applyNumberFormat="1" applyFont="1" applyFill="1" applyBorder="1" applyAlignment="1">
      <alignment horizontal="center"/>
    </xf>
    <xf numFmtId="164" fontId="1" fillId="8" borderId="13" xfId="0" applyNumberFormat="1" applyFont="1" applyFill="1" applyBorder="1" applyAlignment="1">
      <alignment horizontal="center"/>
    </xf>
    <xf numFmtId="164" fontId="1" fillId="0" borderId="9" xfId="1" applyNumberFormat="1" applyFont="1" applyBorder="1" applyAlignment="1" applyProtection="1">
      <alignment horizontal="right"/>
      <protection locked="0"/>
    </xf>
    <xf numFmtId="166" fontId="1" fillId="0" borderId="9" xfId="1" applyNumberFormat="1" applyFont="1" applyBorder="1" applyAlignment="1" applyProtection="1">
      <alignment horizontal="right"/>
      <protection locked="0"/>
    </xf>
    <xf numFmtId="164" fontId="6" fillId="0" borderId="0" xfId="1" applyNumberFormat="1" applyFont="1" applyBorder="1" applyAlignment="1" applyProtection="1">
      <alignment horizontal="center"/>
      <protection locked="0"/>
    </xf>
    <xf numFmtId="164" fontId="6" fillId="0" borderId="0" xfId="1" applyNumberFormat="1" applyFont="1" applyBorder="1" applyAlignment="1" applyProtection="1">
      <alignment horizontal="center" vertical="center"/>
      <protection locked="0"/>
    </xf>
    <xf numFmtId="164" fontId="1" fillId="9" borderId="9" xfId="1" applyNumberFormat="1" applyFont="1" applyFill="1" applyBorder="1" applyAlignment="1" applyProtection="1">
      <alignment horizontal="right"/>
      <protection locked="0"/>
    </xf>
    <xf numFmtId="164" fontId="5" fillId="5" borderId="13" xfId="1" applyNumberFormat="1" applyFont="1" applyFill="1" applyBorder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4" fontId="1" fillId="0" borderId="0" xfId="0" applyNumberFormat="1" applyFont="1" applyAlignment="1">
      <alignment horizontal="right"/>
    </xf>
    <xf numFmtId="164" fontId="7" fillId="6" borderId="9" xfId="1" applyNumberFormat="1" applyFont="1" applyFill="1" applyBorder="1" applyAlignment="1" applyProtection="1">
      <alignment horizontal="right"/>
      <protection locked="0"/>
    </xf>
    <xf numFmtId="164" fontId="1" fillId="8" borderId="9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right"/>
    </xf>
    <xf numFmtId="166" fontId="7" fillId="6" borderId="9" xfId="1" applyNumberFormat="1" applyFont="1" applyFill="1" applyBorder="1" applyAlignment="1" applyProtection="1">
      <alignment horizontal="right"/>
      <protection locked="0"/>
    </xf>
    <xf numFmtId="164" fontId="1" fillId="6" borderId="7" xfId="1" applyNumberFormat="1" applyFont="1" applyFill="1" applyBorder="1" applyAlignment="1" applyProtection="1">
      <alignment horizontal="right"/>
      <protection locked="0"/>
    </xf>
    <xf numFmtId="164" fontId="1" fillId="6" borderId="9" xfId="1" applyNumberFormat="1" applyFont="1" applyFill="1" applyBorder="1" applyAlignment="1" applyProtection="1">
      <alignment horizontal="right"/>
      <protection locked="0"/>
    </xf>
    <xf numFmtId="164" fontId="5" fillId="10" borderId="7" xfId="1" applyNumberFormat="1" applyFont="1" applyFill="1" applyBorder="1" applyAlignment="1" applyProtection="1">
      <alignment horizontal="right"/>
    </xf>
    <xf numFmtId="164" fontId="5" fillId="10" borderId="9" xfId="1" applyNumberFormat="1" applyFont="1" applyFill="1" applyBorder="1" applyAlignment="1" applyProtection="1">
      <alignment horizontal="right"/>
    </xf>
    <xf numFmtId="164" fontId="5" fillId="5" borderId="9" xfId="1" applyNumberFormat="1" applyFont="1" applyFill="1" applyBorder="1" applyAlignment="1" applyProtection="1">
      <alignment horizontal="center"/>
    </xf>
    <xf numFmtId="164" fontId="5" fillId="0" borderId="1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1" fillId="6" borderId="18" xfId="1" applyNumberFormat="1" applyFont="1" applyFill="1" applyBorder="1" applyAlignment="1" applyProtection="1">
      <alignment horizontal="right"/>
      <protection locked="0"/>
    </xf>
    <xf numFmtId="167" fontId="7" fillId="6" borderId="9" xfId="1" applyNumberFormat="1" applyFont="1" applyFill="1" applyBorder="1" applyAlignment="1" applyProtection="1">
      <alignment horizontal="right"/>
      <protection locked="0"/>
    </xf>
    <xf numFmtId="167" fontId="1" fillId="6" borderId="9" xfId="1" applyNumberFormat="1" applyFont="1" applyFill="1" applyBorder="1" applyAlignment="1" applyProtection="1">
      <alignment horizontal="right"/>
      <protection locked="0"/>
    </xf>
    <xf numFmtId="10" fontId="1" fillId="0" borderId="0" xfId="0" applyNumberFormat="1" applyFont="1" applyAlignment="1">
      <alignment horizontal="center"/>
    </xf>
    <xf numFmtId="164" fontId="5" fillId="6" borderId="0" xfId="0" applyNumberFormat="1" applyFont="1" applyFill="1" applyAlignment="1">
      <alignment horizontal="left"/>
    </xf>
    <xf numFmtId="164" fontId="1" fillId="6" borderId="0" xfId="0" applyNumberFormat="1" applyFont="1" applyFill="1"/>
    <xf numFmtId="164" fontId="5" fillId="6" borderId="0" xfId="1" applyNumberFormat="1" applyFont="1" applyFill="1" applyBorder="1" applyAlignment="1" applyProtection="1">
      <alignment horizontal="center"/>
    </xf>
    <xf numFmtId="0" fontId="1" fillId="0" borderId="19" xfId="0" applyFont="1" applyBorder="1"/>
    <xf numFmtId="164" fontId="8" fillId="0" borderId="20" xfId="0" applyNumberFormat="1" applyFont="1" applyBorder="1" applyAlignment="1">
      <alignment horizontal="left"/>
    </xf>
    <xf numFmtId="164" fontId="1" fillId="0" borderId="20" xfId="0" applyNumberFormat="1" applyFont="1" applyBorder="1"/>
    <xf numFmtId="164" fontId="8" fillId="0" borderId="20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4" fillId="4" borderId="9" xfId="0" applyNumberFormat="1" applyFont="1" applyFill="1" applyBorder="1" applyAlignment="1">
      <alignment horizontal="center"/>
    </xf>
    <xf numFmtId="164" fontId="1" fillId="6" borderId="0" xfId="0" applyNumberFormat="1" applyFont="1" applyFill="1" applyAlignment="1">
      <alignment horizontal="center"/>
    </xf>
    <xf numFmtId="49" fontId="10" fillId="4" borderId="9" xfId="1" applyNumberFormat="1" applyFont="1" applyFill="1" applyBorder="1" applyAlignment="1" applyProtection="1">
      <alignment horizontal="center"/>
      <protection locked="0"/>
    </xf>
    <xf numFmtId="164" fontId="5" fillId="9" borderId="9" xfId="1" applyNumberFormat="1" applyFont="1" applyFill="1" applyBorder="1" applyAlignment="1" applyProtection="1">
      <alignment horizontal="right"/>
      <protection locked="0"/>
    </xf>
    <xf numFmtId="164" fontId="5" fillId="5" borderId="9" xfId="1" applyNumberFormat="1" applyFont="1" applyFill="1" applyBorder="1" applyAlignment="1" applyProtection="1">
      <alignment horizontal="right"/>
      <protection locked="0"/>
    </xf>
    <xf numFmtId="10" fontId="5" fillId="5" borderId="9" xfId="0" applyNumberFormat="1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horizontal="right"/>
    </xf>
    <xf numFmtId="10" fontId="1" fillId="6" borderId="9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 applyProtection="1">
      <alignment horizontal="left"/>
      <protection locked="0"/>
    </xf>
    <xf numFmtId="164" fontId="1" fillId="6" borderId="7" xfId="0" applyNumberFormat="1" applyFont="1" applyFill="1" applyBorder="1" applyAlignment="1" applyProtection="1">
      <alignment wrapText="1"/>
      <protection locked="0"/>
    </xf>
    <xf numFmtId="164" fontId="4" fillId="5" borderId="9" xfId="1" applyNumberFormat="1" applyFont="1" applyFill="1" applyBorder="1" applyAlignment="1" applyProtection="1">
      <alignment horizontal="right"/>
      <protection locked="0"/>
    </xf>
    <xf numFmtId="164" fontId="1" fillId="6" borderId="7" xfId="0" applyNumberFormat="1" applyFont="1" applyFill="1" applyBorder="1" applyAlignment="1" applyProtection="1">
      <alignment horizontal="left" wrapText="1"/>
      <protection locked="0"/>
    </xf>
    <xf numFmtId="166" fontId="5" fillId="9" borderId="9" xfId="1" applyNumberFormat="1" applyFont="1" applyFill="1" applyBorder="1" applyAlignment="1" applyProtection="1">
      <alignment horizontal="right"/>
      <protection locked="0"/>
    </xf>
    <xf numFmtId="10" fontId="1" fillId="5" borderId="9" xfId="0" applyNumberFormat="1" applyFont="1" applyFill="1" applyBorder="1" applyAlignment="1">
      <alignment horizontal="center"/>
    </xf>
    <xf numFmtId="164" fontId="1" fillId="9" borderId="13" xfId="0" applyNumberFormat="1" applyFont="1" applyFill="1" applyBorder="1" applyAlignment="1" applyProtection="1">
      <alignment horizontal="left" wrapText="1"/>
      <protection locked="0"/>
    </xf>
    <xf numFmtId="164" fontId="1" fillId="9" borderId="7" xfId="0" applyNumberFormat="1" applyFont="1" applyFill="1" applyBorder="1" applyAlignment="1" applyProtection="1">
      <alignment horizontal="left" wrapText="1"/>
      <protection locked="0"/>
    </xf>
    <xf numFmtId="164" fontId="5" fillId="5" borderId="9" xfId="0" applyNumberFormat="1" applyFont="1" applyFill="1" applyBorder="1" applyAlignment="1">
      <alignment horizontal="right"/>
    </xf>
    <xf numFmtId="164" fontId="5" fillId="4" borderId="9" xfId="1" applyNumberFormat="1" applyFont="1" applyFill="1" applyBorder="1" applyAlignment="1" applyProtection="1">
      <alignment horizontal="right"/>
    </xf>
    <xf numFmtId="10" fontId="1" fillId="11" borderId="9" xfId="0" applyNumberFormat="1" applyFont="1" applyFill="1" applyBorder="1" applyAlignment="1">
      <alignment horizontal="center"/>
    </xf>
    <xf numFmtId="164" fontId="1" fillId="6" borderId="0" xfId="0" applyNumberFormat="1" applyFont="1" applyFill="1" applyAlignment="1">
      <alignment vertical="center"/>
    </xf>
    <xf numFmtId="164" fontId="7" fillId="4" borderId="0" xfId="0" applyNumberFormat="1" applyFont="1" applyFill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 wrapText="1"/>
    </xf>
    <xf numFmtId="10" fontId="4" fillId="6" borderId="0" xfId="0" applyNumberFormat="1" applyFont="1" applyFill="1" applyAlignment="1">
      <alignment horizontal="center" vertical="center"/>
    </xf>
    <xf numFmtId="166" fontId="4" fillId="6" borderId="9" xfId="1" applyNumberFormat="1" applyFont="1" applyFill="1" applyBorder="1" applyAlignment="1" applyProtection="1">
      <alignment horizontal="right"/>
      <protection locked="0"/>
    </xf>
    <xf numFmtId="164" fontId="1" fillId="6" borderId="9" xfId="1" applyNumberFormat="1" applyFont="1" applyFill="1" applyBorder="1" applyProtection="1">
      <protection locked="0"/>
    </xf>
    <xf numFmtId="164" fontId="1" fillId="6" borderId="7" xfId="1" applyNumberFormat="1" applyFont="1" applyFill="1" applyBorder="1" applyProtection="1">
      <protection locked="0"/>
    </xf>
    <xf numFmtId="164" fontId="5" fillId="10" borderId="13" xfId="1" applyNumberFormat="1" applyFont="1" applyFill="1" applyBorder="1" applyAlignment="1" applyProtection="1">
      <alignment horizontal="right"/>
    </xf>
    <xf numFmtId="164" fontId="5" fillId="12" borderId="9" xfId="1" applyNumberFormat="1" applyFont="1" applyFill="1" applyBorder="1" applyAlignment="1" applyProtection="1">
      <alignment horizontal="right"/>
    </xf>
    <xf numFmtId="164" fontId="1" fillId="6" borderId="13" xfId="1" applyNumberFormat="1" applyFont="1" applyFill="1" applyBorder="1" applyAlignment="1" applyProtection="1">
      <alignment horizontal="right"/>
      <protection locked="0"/>
    </xf>
    <xf numFmtId="164" fontId="1" fillId="6" borderId="18" xfId="1" applyNumberFormat="1" applyFont="1" applyFill="1" applyBorder="1" applyProtection="1">
      <protection locked="0"/>
    </xf>
    <xf numFmtId="164" fontId="5" fillId="10" borderId="9" xfId="1" applyNumberFormat="1" applyFont="1" applyFill="1" applyBorder="1" applyAlignment="1" applyProtection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8" fillId="13" borderId="18" xfId="0" applyNumberFormat="1" applyFont="1" applyFill="1" applyBorder="1" applyAlignment="1">
      <alignment horizontal="center"/>
    </xf>
    <xf numFmtId="164" fontId="8" fillId="13" borderId="9" xfId="0" applyNumberFormat="1" applyFont="1" applyFill="1" applyBorder="1" applyAlignment="1">
      <alignment horizontal="right"/>
    </xf>
    <xf numFmtId="164" fontId="11" fillId="0" borderId="0" xfId="0" applyNumberFormat="1" applyFont="1" applyAlignment="1">
      <alignment horizontal="center"/>
    </xf>
    <xf numFmtId="164" fontId="1" fillId="6" borderId="13" xfId="0" applyNumberFormat="1" applyFont="1" applyFill="1" applyBorder="1" applyAlignment="1" applyProtection="1">
      <alignment horizontal="left"/>
      <protection locked="0"/>
    </xf>
    <xf numFmtId="164" fontId="1" fillId="6" borderId="13" xfId="0" applyNumberFormat="1" applyFont="1" applyFill="1" applyBorder="1" applyAlignment="1" applyProtection="1">
      <alignment wrapText="1"/>
      <protection locked="0"/>
    </xf>
    <xf numFmtId="164" fontId="9" fillId="0" borderId="3" xfId="0" applyNumberFormat="1" applyFont="1" applyBorder="1" applyAlignment="1">
      <alignment horizontal="center" vertical="center"/>
    </xf>
    <xf numFmtId="0" fontId="11" fillId="0" borderId="1" xfId="0" applyFont="1" applyBorder="1"/>
    <xf numFmtId="164" fontId="11" fillId="0" borderId="4" xfId="0" applyNumberFormat="1" applyFont="1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4" fillId="0" borderId="0" xfId="0" applyFont="1"/>
    <xf numFmtId="0" fontId="11" fillId="0" borderId="5" xfId="0" applyFont="1" applyBorder="1"/>
    <xf numFmtId="164" fontId="16" fillId="0" borderId="0" xfId="0" applyNumberFormat="1" applyFont="1" applyAlignment="1">
      <alignment horizontal="center" wrapText="1"/>
    </xf>
    <xf numFmtId="164" fontId="11" fillId="0" borderId="10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/>
    </xf>
    <xf numFmtId="164" fontId="16" fillId="0" borderId="0" xfId="1" applyNumberFormat="1" applyFont="1" applyBorder="1" applyAlignment="1" applyProtection="1">
      <alignment horizontal="center"/>
      <protection locked="0"/>
    </xf>
    <xf numFmtId="164" fontId="16" fillId="0" borderId="0" xfId="1" applyNumberFormat="1" applyFont="1" applyBorder="1" applyAlignment="1" applyProtection="1">
      <alignment horizontal="center" vertical="center"/>
      <protection locked="0"/>
    </xf>
    <xf numFmtId="166" fontId="16" fillId="0" borderId="0" xfId="1" applyNumberFormat="1" applyFont="1" applyBorder="1" applyAlignment="1" applyProtection="1">
      <alignment horizontal="center"/>
    </xf>
    <xf numFmtId="164" fontId="16" fillId="0" borderId="0" xfId="0" applyNumberFormat="1" applyFont="1" applyAlignment="1">
      <alignment horizontal="center" vertical="center" wrapText="1"/>
    </xf>
    <xf numFmtId="10" fontId="16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/>
    </xf>
    <xf numFmtId="164" fontId="15" fillId="0" borderId="10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0" fontId="11" fillId="0" borderId="19" xfId="0" applyFont="1" applyBorder="1"/>
    <xf numFmtId="164" fontId="17" fillId="0" borderId="20" xfId="0" applyNumberFormat="1" applyFont="1" applyBorder="1" applyAlignment="1">
      <alignment horizontal="center"/>
    </xf>
    <xf numFmtId="164" fontId="11" fillId="0" borderId="21" xfId="0" applyNumberFormat="1" applyFont="1" applyBorder="1" applyAlignment="1">
      <alignment horizontal="center"/>
    </xf>
    <xf numFmtId="164" fontId="1" fillId="6" borderId="13" xfId="0" applyNumberFormat="1" applyFont="1" applyFill="1" applyBorder="1" applyAlignment="1" applyProtection="1">
      <alignment horizontal="left" wrapText="1"/>
      <protection locked="0"/>
    </xf>
    <xf numFmtId="164" fontId="5" fillId="10" borderId="18" xfId="1" applyNumberFormat="1" applyFont="1" applyFill="1" applyBorder="1" applyAlignment="1" applyProtection="1">
      <alignment horizontal="right"/>
    </xf>
    <xf numFmtId="164" fontId="5" fillId="10" borderId="11" xfId="1" applyNumberFormat="1" applyFont="1" applyFill="1" applyBorder="1" applyAlignment="1" applyProtection="1">
      <alignment horizontal="right"/>
    </xf>
    <xf numFmtId="164" fontId="5" fillId="10" borderId="16" xfId="1" applyNumberFormat="1" applyFont="1" applyFill="1" applyBorder="1" applyAlignment="1" applyProtection="1">
      <alignment horizontal="right"/>
    </xf>
    <xf numFmtId="164" fontId="1" fillId="0" borderId="9" xfId="0" applyNumberFormat="1" applyFont="1" applyBorder="1"/>
    <xf numFmtId="43" fontId="1" fillId="6" borderId="18" xfId="1" applyNumberFormat="1" applyFont="1" applyFill="1" applyBorder="1" applyAlignment="1" applyProtection="1">
      <alignment horizontal="right"/>
      <protection locked="0"/>
    </xf>
    <xf numFmtId="43" fontId="7" fillId="6" borderId="9" xfId="1" applyNumberFormat="1" applyFont="1" applyFill="1" applyBorder="1" applyAlignment="1" applyProtection="1">
      <alignment horizontal="right"/>
      <protection locked="0"/>
    </xf>
    <xf numFmtId="164" fontId="5" fillId="9" borderId="0" xfId="0" applyNumberFormat="1" applyFont="1" applyFill="1" applyAlignment="1">
      <alignment horizontal="left"/>
    </xf>
    <xf numFmtId="164" fontId="5" fillId="15" borderId="0" xfId="0" applyNumberFormat="1" applyFont="1" applyFill="1" applyAlignment="1">
      <alignment horizontal="left"/>
    </xf>
    <xf numFmtId="164" fontId="1" fillId="16" borderId="0" xfId="0" applyNumberFormat="1" applyFont="1" applyFill="1"/>
    <xf numFmtId="164" fontId="5" fillId="17" borderId="0" xfId="1" applyNumberFormat="1" applyFont="1" applyFill="1" applyBorder="1" applyAlignment="1" applyProtection="1">
      <alignment horizontal="right"/>
    </xf>
    <xf numFmtId="164" fontId="5" fillId="17" borderId="9" xfId="1" applyNumberFormat="1" applyFont="1" applyFill="1" applyBorder="1" applyAlignment="1" applyProtection="1">
      <alignment horizontal="right"/>
    </xf>
    <xf numFmtId="164" fontId="19" fillId="0" borderId="18" xfId="0" applyNumberFormat="1" applyFont="1" applyBorder="1" applyAlignment="1">
      <alignment horizontal="center"/>
    </xf>
    <xf numFmtId="164" fontId="19" fillId="0" borderId="9" xfId="1" applyNumberFormat="1" applyFont="1" applyBorder="1" applyAlignment="1" applyProtection="1">
      <alignment horizontal="right"/>
      <protection locked="0"/>
    </xf>
    <xf numFmtId="43" fontId="1" fillId="0" borderId="9" xfId="1" applyNumberFormat="1" applyFont="1" applyBorder="1" applyAlignment="1" applyProtection="1">
      <alignment horizontal="right"/>
      <protection locked="0"/>
    </xf>
    <xf numFmtId="164" fontId="20" fillId="6" borderId="9" xfId="1" applyNumberFormat="1" applyFont="1" applyFill="1" applyBorder="1" applyAlignment="1" applyProtection="1">
      <alignment horizontal="right"/>
      <protection locked="0"/>
    </xf>
    <xf numFmtId="164" fontId="5" fillId="6" borderId="9" xfId="1" applyNumberFormat="1" applyFont="1" applyFill="1" applyBorder="1" applyAlignment="1" applyProtection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9" fillId="6" borderId="9" xfId="0" applyNumberFormat="1" applyFont="1" applyFill="1" applyBorder="1" applyAlignment="1">
      <alignment horizontal="right"/>
    </xf>
    <xf numFmtId="164" fontId="19" fillId="6" borderId="9" xfId="1" applyNumberFormat="1" applyFont="1" applyFill="1" applyBorder="1" applyAlignment="1" applyProtection="1">
      <alignment horizontal="right"/>
      <protection locked="0"/>
    </xf>
    <xf numFmtId="0" fontId="21" fillId="0" borderId="0" xfId="0" applyFont="1"/>
    <xf numFmtId="4" fontId="21" fillId="0" borderId="0" xfId="0" applyNumberFormat="1" applyFont="1"/>
    <xf numFmtId="164" fontId="18" fillId="9" borderId="9" xfId="1" applyNumberFormat="1" applyFont="1" applyFill="1" applyBorder="1" applyAlignment="1" applyProtection="1">
      <alignment horizontal="right"/>
      <protection locked="0"/>
    </xf>
    <xf numFmtId="166" fontId="20" fillId="6" borderId="9" xfId="1" applyNumberFormat="1" applyFont="1" applyFill="1" applyBorder="1" applyAlignment="1" applyProtection="1">
      <alignment horizontal="right"/>
      <protection locked="0"/>
    </xf>
    <xf numFmtId="164" fontId="19" fillId="6" borderId="9" xfId="1" applyNumberFormat="1" applyFont="1" applyFill="1" applyBorder="1" applyProtection="1">
      <protection locked="0"/>
    </xf>
    <xf numFmtId="164" fontId="19" fillId="6" borderId="13" xfId="1" applyNumberFormat="1" applyFont="1" applyFill="1" applyBorder="1" applyProtection="1">
      <protection locked="0"/>
    </xf>
    <xf numFmtId="43" fontId="20" fillId="6" borderId="9" xfId="1" applyNumberFormat="1" applyFont="1" applyFill="1" applyBorder="1" applyAlignment="1" applyProtection="1">
      <alignment horizontal="right"/>
      <protection locked="0"/>
    </xf>
    <xf numFmtId="166" fontId="20" fillId="6" borderId="9" xfId="1" applyNumberFormat="1" applyFont="1" applyFill="1" applyBorder="1" applyProtection="1">
      <protection locked="0"/>
    </xf>
    <xf numFmtId="164" fontId="19" fillId="6" borderId="7" xfId="1" applyNumberFormat="1" applyFont="1" applyFill="1" applyBorder="1" applyProtection="1">
      <protection locked="0"/>
    </xf>
    <xf numFmtId="164" fontId="19" fillId="6" borderId="9" xfId="1" applyNumberFormat="1" applyFont="1" applyFill="1" applyBorder="1" applyAlignment="1" applyProtection="1">
      <alignment horizontal="right"/>
    </xf>
    <xf numFmtId="164" fontId="19" fillId="6" borderId="9" xfId="1" applyNumberFormat="1" applyFont="1" applyFill="1" applyBorder="1" applyAlignment="1" applyProtection="1">
      <alignment horizontal="center"/>
    </xf>
    <xf numFmtId="167" fontId="20" fillId="6" borderId="9" xfId="1" applyNumberFormat="1" applyFont="1" applyFill="1" applyBorder="1" applyAlignment="1" applyProtection="1">
      <alignment horizontal="right"/>
      <protection locked="0"/>
    </xf>
    <xf numFmtId="166" fontId="20" fillId="6" borderId="6" xfId="1" applyNumberFormat="1" applyFont="1" applyFill="1" applyBorder="1" applyAlignment="1" applyProtection="1">
      <alignment horizontal="right"/>
      <protection locked="0"/>
    </xf>
    <xf numFmtId="164" fontId="19" fillId="6" borderId="7" xfId="1" applyNumberFormat="1" applyFont="1" applyFill="1" applyBorder="1" applyAlignment="1" applyProtection="1">
      <alignment horizontal="right"/>
      <protection locked="0"/>
    </xf>
    <xf numFmtId="166" fontId="18" fillId="9" borderId="9" xfId="1" applyNumberFormat="1" applyFont="1" applyFill="1" applyBorder="1" applyAlignment="1" applyProtection="1">
      <alignment horizontal="right"/>
      <protection locked="0"/>
    </xf>
    <xf numFmtId="164" fontId="19" fillId="6" borderId="13" xfId="0" applyNumberFormat="1" applyFont="1" applyFill="1" applyBorder="1" applyAlignment="1" applyProtection="1">
      <alignment horizontal="left"/>
      <protection locked="0"/>
    </xf>
    <xf numFmtId="166" fontId="18" fillId="3" borderId="9" xfId="1" applyNumberFormat="1" applyFont="1" applyFill="1" applyBorder="1" applyAlignment="1" applyProtection="1">
      <alignment horizontal="right"/>
      <protection locked="0"/>
    </xf>
    <xf numFmtId="164" fontId="22" fillId="3" borderId="7" xfId="0" applyNumberFormat="1" applyFont="1" applyFill="1" applyBorder="1" applyAlignment="1">
      <alignment horizontal="center"/>
    </xf>
    <xf numFmtId="49" fontId="22" fillId="3" borderId="9" xfId="1" applyNumberFormat="1" applyFont="1" applyFill="1" applyBorder="1" applyAlignment="1" applyProtection="1">
      <alignment horizontal="center"/>
      <protection locked="0"/>
    </xf>
    <xf numFmtId="164" fontId="22" fillId="3" borderId="12" xfId="1" applyNumberFormat="1" applyFont="1" applyFill="1" applyBorder="1" applyAlignment="1" applyProtection="1">
      <alignment horizontal="right"/>
      <protection locked="0"/>
    </xf>
    <xf numFmtId="164" fontId="18" fillId="7" borderId="9" xfId="1" applyNumberFormat="1" applyFont="1" applyFill="1" applyBorder="1" applyAlignment="1" applyProtection="1">
      <alignment horizontal="right"/>
      <protection locked="0"/>
    </xf>
    <xf numFmtId="164" fontId="19" fillId="6" borderId="14" xfId="0" applyNumberFormat="1" applyFont="1" applyFill="1" applyBorder="1" applyAlignment="1" applyProtection="1">
      <alignment horizontal="left"/>
      <protection locked="0"/>
    </xf>
    <xf numFmtId="164" fontId="18" fillId="3" borderId="9" xfId="1" applyNumberFormat="1" applyFont="1" applyFill="1" applyBorder="1" applyAlignment="1" applyProtection="1">
      <alignment horizontal="right"/>
      <protection locked="0"/>
    </xf>
    <xf numFmtId="164" fontId="19" fillId="6" borderId="13" xfId="0" applyNumberFormat="1" applyFont="1" applyFill="1" applyBorder="1" applyAlignment="1" applyProtection="1">
      <alignment wrapText="1"/>
      <protection locked="0"/>
    </xf>
    <xf numFmtId="164" fontId="19" fillId="6" borderId="14" xfId="0" applyNumberFormat="1" applyFont="1" applyFill="1" applyBorder="1" applyAlignment="1" applyProtection="1">
      <alignment wrapText="1"/>
      <protection locked="0"/>
    </xf>
    <xf numFmtId="164" fontId="19" fillId="3" borderId="13" xfId="0" applyNumberFormat="1" applyFont="1" applyFill="1" applyBorder="1" applyAlignment="1" applyProtection="1">
      <alignment horizontal="left" wrapText="1"/>
      <protection locked="0"/>
    </xf>
    <xf numFmtId="164" fontId="19" fillId="3" borderId="14" xfId="0" applyNumberFormat="1" applyFont="1" applyFill="1" applyBorder="1" applyAlignment="1" applyProtection="1">
      <alignment horizontal="left" wrapText="1"/>
      <protection locked="0"/>
    </xf>
    <xf numFmtId="164" fontId="19" fillId="0" borderId="0" xfId="0" applyNumberFormat="1" applyFont="1" applyAlignment="1">
      <alignment horizontal="left"/>
    </xf>
    <xf numFmtId="164" fontId="19" fillId="0" borderId="0" xfId="0" applyNumberFormat="1" applyFont="1"/>
    <xf numFmtId="164" fontId="18" fillId="3" borderId="8" xfId="0" applyNumberFormat="1" applyFont="1" applyFill="1" applyBorder="1" applyAlignment="1">
      <alignment vertical="center"/>
    </xf>
    <xf numFmtId="164" fontId="18" fillId="3" borderId="17" xfId="0" applyNumberFormat="1" applyFont="1" applyFill="1" applyBorder="1" applyAlignment="1">
      <alignment vertical="center"/>
    </xf>
    <xf numFmtId="164" fontId="18" fillId="3" borderId="15" xfId="0" applyNumberFormat="1" applyFont="1" applyFill="1" applyBorder="1" applyAlignment="1">
      <alignment vertical="center"/>
    </xf>
    <xf numFmtId="164" fontId="18" fillId="5" borderId="13" xfId="1" applyNumberFormat="1" applyFont="1" applyFill="1" applyBorder="1" applyAlignment="1" applyProtection="1">
      <alignment horizontal="right"/>
      <protection locked="0"/>
    </xf>
    <xf numFmtId="10" fontId="18" fillId="5" borderId="9" xfId="1" applyNumberFormat="1" applyFont="1" applyFill="1" applyBorder="1" applyAlignment="1" applyProtection="1">
      <alignment horizontal="right"/>
      <protection locked="0"/>
    </xf>
    <xf numFmtId="164" fontId="19" fillId="8" borderId="13" xfId="0" applyNumberFormat="1" applyFont="1" applyFill="1" applyBorder="1" applyAlignment="1">
      <alignment horizontal="right"/>
    </xf>
    <xf numFmtId="10" fontId="19" fillId="8" borderId="9" xfId="0" applyNumberFormat="1" applyFont="1" applyFill="1" applyBorder="1" applyAlignment="1">
      <alignment horizontal="right"/>
    </xf>
    <xf numFmtId="164" fontId="22" fillId="5" borderId="13" xfId="1" applyNumberFormat="1" applyFont="1" applyFill="1" applyBorder="1" applyAlignment="1" applyProtection="1">
      <alignment horizontal="right"/>
      <protection locked="0"/>
    </xf>
    <xf numFmtId="10" fontId="22" fillId="5" borderId="9" xfId="1" applyNumberFormat="1" applyFont="1" applyFill="1" applyBorder="1" applyAlignment="1" applyProtection="1">
      <alignment horizontal="right"/>
      <protection locked="0"/>
    </xf>
    <xf numFmtId="10" fontId="22" fillId="5" borderId="9" xfId="0" applyNumberFormat="1" applyFont="1" applyFill="1" applyBorder="1" applyAlignment="1">
      <alignment horizontal="right"/>
    </xf>
    <xf numFmtId="164" fontId="18" fillId="5" borderId="13" xfId="0" applyNumberFormat="1" applyFont="1" applyFill="1" applyBorder="1" applyAlignment="1">
      <alignment horizontal="right"/>
    </xf>
    <xf numFmtId="10" fontId="18" fillId="5" borderId="9" xfId="0" applyNumberFormat="1" applyFont="1" applyFill="1" applyBorder="1" applyAlignment="1">
      <alignment horizontal="right"/>
    </xf>
    <xf numFmtId="164" fontId="18" fillId="4" borderId="13" xfId="1" applyNumberFormat="1" applyFont="1" applyFill="1" applyBorder="1" applyAlignment="1" applyProtection="1">
      <alignment horizontal="right"/>
    </xf>
    <xf numFmtId="10" fontId="18" fillId="4" borderId="9" xfId="1" applyNumberFormat="1" applyFont="1" applyFill="1" applyBorder="1" applyAlignment="1" applyProtection="1">
      <alignment horizontal="right"/>
    </xf>
    <xf numFmtId="164" fontId="19" fillId="0" borderId="0" xfId="0" applyNumberFormat="1" applyFont="1" applyAlignment="1">
      <alignment horizontal="center"/>
    </xf>
    <xf numFmtId="164" fontId="22" fillId="3" borderId="13" xfId="0" applyNumberFormat="1" applyFont="1" applyFill="1" applyBorder="1" applyAlignment="1">
      <alignment horizontal="center" vertical="center" wrapText="1"/>
    </xf>
    <xf numFmtId="164" fontId="22" fillId="14" borderId="23" xfId="0" applyNumberFormat="1" applyFont="1" applyFill="1" applyBorder="1" applyAlignment="1">
      <alignment horizontal="center" vertical="center" wrapText="1"/>
    </xf>
    <xf numFmtId="164" fontId="18" fillId="6" borderId="13" xfId="0" applyNumberFormat="1" applyFont="1" applyFill="1" applyBorder="1" applyAlignment="1">
      <alignment horizontal="right"/>
    </xf>
    <xf numFmtId="166" fontId="19" fillId="6" borderId="13" xfId="1" applyNumberFormat="1" applyFont="1" applyFill="1" applyBorder="1" applyAlignment="1" applyProtection="1">
      <alignment horizontal="right"/>
      <protection locked="0"/>
    </xf>
    <xf numFmtId="164" fontId="18" fillId="10" borderId="13" xfId="1" applyNumberFormat="1" applyFont="1" applyFill="1" applyBorder="1" applyAlignment="1" applyProtection="1">
      <alignment horizontal="right"/>
    </xf>
    <xf numFmtId="164" fontId="19" fillId="0" borderId="20" xfId="0" applyNumberFormat="1" applyFont="1" applyBorder="1" applyAlignment="1">
      <alignment horizontal="center"/>
    </xf>
    <xf numFmtId="164" fontId="19" fillId="2" borderId="3" xfId="0" applyNumberFormat="1" applyFont="1" applyFill="1" applyBorder="1"/>
    <xf numFmtId="164" fontId="22" fillId="3" borderId="7" xfId="1" applyNumberFormat="1" applyFont="1" applyFill="1" applyBorder="1" applyAlignment="1" applyProtection="1">
      <alignment horizontal="right"/>
      <protection locked="0"/>
    </xf>
    <xf numFmtId="164" fontId="22" fillId="3" borderId="9" xfId="1" applyNumberFormat="1" applyFont="1" applyFill="1" applyBorder="1" applyAlignment="1" applyProtection="1">
      <alignment horizontal="right"/>
      <protection locked="0"/>
    </xf>
    <xf numFmtId="164" fontId="18" fillId="5" borderId="13" xfId="1" applyNumberFormat="1" applyFont="1" applyFill="1" applyBorder="1" applyAlignment="1" applyProtection="1">
      <alignment horizontal="center"/>
      <protection locked="0"/>
    </xf>
    <xf numFmtId="164" fontId="19" fillId="0" borderId="7" xfId="1" applyNumberFormat="1" applyFont="1" applyBorder="1" applyAlignment="1" applyProtection="1">
      <alignment horizontal="right"/>
      <protection locked="0"/>
    </xf>
    <xf numFmtId="164" fontId="19" fillId="8" borderId="11" xfId="0" applyNumberFormat="1" applyFont="1" applyFill="1" applyBorder="1" applyAlignment="1">
      <alignment horizontal="center"/>
    </xf>
    <xf numFmtId="164" fontId="19" fillId="8" borderId="13" xfId="0" applyNumberFormat="1" applyFont="1" applyFill="1" applyBorder="1" applyAlignment="1">
      <alignment horizontal="center"/>
    </xf>
    <xf numFmtId="164" fontId="18" fillId="3" borderId="7" xfId="1" applyNumberFormat="1" applyFont="1" applyFill="1" applyBorder="1" applyAlignment="1" applyProtection="1">
      <alignment horizontal="right"/>
      <protection locked="0"/>
    </xf>
    <xf numFmtId="166" fontId="19" fillId="0" borderId="7" xfId="1" applyNumberFormat="1" applyFont="1" applyBorder="1" applyAlignment="1" applyProtection="1">
      <alignment horizontal="right"/>
      <protection locked="0"/>
    </xf>
    <xf numFmtId="164" fontId="19" fillId="3" borderId="7" xfId="1" applyNumberFormat="1" applyFont="1" applyFill="1" applyBorder="1" applyAlignment="1" applyProtection="1">
      <alignment horizontal="right"/>
      <protection locked="0"/>
    </xf>
    <xf numFmtId="164" fontId="19" fillId="3" borderId="9" xfId="1" applyNumberFormat="1" applyFont="1" applyFill="1" applyBorder="1" applyAlignment="1" applyProtection="1">
      <alignment horizontal="right"/>
      <protection locked="0"/>
    </xf>
    <xf numFmtId="164" fontId="18" fillId="7" borderId="7" xfId="1" applyNumberFormat="1" applyFont="1" applyFill="1" applyBorder="1" applyAlignment="1" applyProtection="1">
      <alignment horizontal="right"/>
      <protection locked="0"/>
    </xf>
    <xf numFmtId="166" fontId="18" fillId="7" borderId="9" xfId="1" applyNumberFormat="1" applyFont="1" applyFill="1" applyBorder="1" applyAlignment="1" applyProtection="1">
      <alignment horizontal="right"/>
      <protection locked="0"/>
    </xf>
    <xf numFmtId="166" fontId="18" fillId="7" borderId="7" xfId="1" applyNumberFormat="1" applyFont="1" applyFill="1" applyBorder="1" applyAlignment="1" applyProtection="1">
      <alignment horizontal="right"/>
      <protection locked="0"/>
    </xf>
    <xf numFmtId="164" fontId="18" fillId="3" borderId="7" xfId="1" applyNumberFormat="1" applyFont="1" applyFill="1" applyBorder="1" applyAlignment="1" applyProtection="1">
      <alignment horizontal="right"/>
    </xf>
    <xf numFmtId="164" fontId="18" fillId="5" borderId="13" xfId="1" applyNumberFormat="1" applyFont="1" applyFill="1" applyBorder="1" applyAlignment="1" applyProtection="1">
      <alignment horizontal="center"/>
    </xf>
    <xf numFmtId="164" fontId="19" fillId="0" borderId="0" xfId="0" applyNumberFormat="1" applyFont="1" applyAlignment="1">
      <alignment horizontal="right"/>
    </xf>
    <xf numFmtId="164" fontId="19" fillId="0" borderId="0" xfId="1" applyNumberFormat="1" applyFont="1" applyBorder="1" applyAlignment="1" applyProtection="1">
      <alignment horizontal="right"/>
      <protection locked="0"/>
    </xf>
    <xf numFmtId="164" fontId="20" fillId="3" borderId="0" xfId="0" applyNumberFormat="1" applyFont="1" applyFill="1" applyAlignment="1">
      <alignment horizontal="center" vertical="center"/>
    </xf>
    <xf numFmtId="164" fontId="22" fillId="3" borderId="9" xfId="0" applyNumberFormat="1" applyFont="1" applyFill="1" applyBorder="1" applyAlignment="1">
      <alignment horizontal="center" vertical="center" wrapText="1"/>
    </xf>
    <xf numFmtId="164" fontId="20" fillId="6" borderId="7" xfId="1" applyNumberFormat="1" applyFont="1" applyFill="1" applyBorder="1" applyAlignment="1" applyProtection="1">
      <alignment horizontal="right"/>
      <protection locked="0"/>
    </xf>
    <xf numFmtId="164" fontId="19" fillId="8" borderId="9" xfId="0" applyNumberFormat="1" applyFont="1" applyFill="1" applyBorder="1" applyAlignment="1">
      <alignment horizontal="center"/>
    </xf>
    <xf numFmtId="166" fontId="20" fillId="6" borderId="7" xfId="1" applyNumberFormat="1" applyFont="1" applyFill="1" applyBorder="1" applyAlignment="1" applyProtection="1">
      <alignment horizontal="right"/>
      <protection locked="0"/>
    </xf>
    <xf numFmtId="166" fontId="19" fillId="6" borderId="7" xfId="1" applyNumberFormat="1" applyFont="1" applyFill="1" applyBorder="1" applyAlignment="1" applyProtection="1">
      <alignment horizontal="right"/>
      <protection locked="0"/>
    </xf>
    <xf numFmtId="166" fontId="19" fillId="6" borderId="9" xfId="1" applyNumberFormat="1" applyFont="1" applyFill="1" applyBorder="1" applyAlignment="1" applyProtection="1">
      <alignment horizontal="right"/>
      <protection locked="0"/>
    </xf>
    <xf numFmtId="164" fontId="18" fillId="10" borderId="7" xfId="1" applyNumberFormat="1" applyFont="1" applyFill="1" applyBorder="1" applyAlignment="1" applyProtection="1">
      <alignment horizontal="right"/>
    </xf>
    <xf numFmtId="164" fontId="18" fillId="10" borderId="9" xfId="1" applyNumberFormat="1" applyFont="1" applyFill="1" applyBorder="1" applyAlignment="1" applyProtection="1">
      <alignment horizontal="right"/>
    </xf>
    <xf numFmtId="164" fontId="18" fillId="5" borderId="9" xfId="1" applyNumberFormat="1" applyFont="1" applyFill="1" applyBorder="1" applyAlignment="1" applyProtection="1">
      <alignment horizontal="center"/>
    </xf>
    <xf numFmtId="164" fontId="19" fillId="6" borderId="18" xfId="1" applyNumberFormat="1" applyFont="1" applyFill="1" applyBorder="1" applyAlignment="1" applyProtection="1">
      <alignment horizontal="right"/>
      <protection locked="0"/>
    </xf>
    <xf numFmtId="167" fontId="19" fillId="6" borderId="9" xfId="1" applyNumberFormat="1" applyFont="1" applyFill="1" applyBorder="1" applyAlignment="1" applyProtection="1">
      <alignment horizontal="right"/>
      <protection locked="0"/>
    </xf>
    <xf numFmtId="49" fontId="19" fillId="0" borderId="0" xfId="0" applyNumberFormat="1" applyFont="1" applyAlignment="1">
      <alignment horizontal="center"/>
    </xf>
    <xf numFmtId="10" fontId="19" fillId="0" borderId="0" xfId="0" applyNumberFormat="1" applyFont="1" applyAlignment="1">
      <alignment horizontal="center"/>
    </xf>
    <xf numFmtId="49" fontId="27" fillId="4" borderId="9" xfId="1" applyNumberFormat="1" applyFont="1" applyFill="1" applyBorder="1" applyAlignment="1" applyProtection="1">
      <alignment horizontal="center"/>
      <protection locked="0"/>
    </xf>
    <xf numFmtId="40" fontId="7" fillId="6" borderId="9" xfId="1" applyNumberFormat="1" applyFont="1" applyFill="1" applyBorder="1" applyAlignment="1" applyProtection="1">
      <alignment horizontal="right"/>
      <protection locked="0"/>
    </xf>
    <xf numFmtId="40" fontId="1" fillId="6" borderId="9" xfId="1" applyNumberFormat="1" applyFont="1" applyFill="1" applyBorder="1" applyAlignment="1" applyProtection="1">
      <alignment horizontal="right"/>
      <protection locked="0"/>
    </xf>
    <xf numFmtId="164" fontId="20" fillId="3" borderId="12" xfId="1" applyNumberFormat="1" applyFont="1" applyFill="1" applyBorder="1" applyAlignment="1" applyProtection="1">
      <alignment horizontal="right"/>
      <protection locked="0"/>
    </xf>
    <xf numFmtId="164" fontId="19" fillId="18" borderId="7" xfId="1" applyNumberFormat="1" applyFont="1" applyFill="1" applyBorder="1" applyAlignment="1" applyProtection="1">
      <alignment horizontal="right"/>
      <protection locked="0"/>
    </xf>
    <xf numFmtId="164" fontId="19" fillId="18" borderId="9" xfId="1" applyNumberFormat="1" applyFont="1" applyFill="1" applyBorder="1" applyAlignment="1" applyProtection="1">
      <alignment horizontal="right"/>
      <protection locked="0"/>
    </xf>
    <xf numFmtId="166" fontId="19" fillId="18" borderId="9" xfId="1" applyNumberFormat="1" applyFont="1" applyFill="1" applyBorder="1" applyAlignment="1" applyProtection="1">
      <alignment horizontal="right"/>
      <protection locked="0"/>
    </xf>
    <xf numFmtId="164" fontId="19" fillId="16" borderId="9" xfId="1" applyNumberFormat="1" applyFont="1" applyFill="1" applyBorder="1" applyAlignment="1" applyProtection="1">
      <alignment horizontal="right"/>
      <protection locked="0"/>
    </xf>
    <xf numFmtId="164" fontId="18" fillId="0" borderId="7" xfId="1" applyNumberFormat="1" applyFont="1" applyBorder="1" applyAlignment="1" applyProtection="1">
      <alignment horizontal="right"/>
      <protection locked="0"/>
    </xf>
    <xf numFmtId="164" fontId="19" fillId="0" borderId="9" xfId="1" applyNumberFormat="1" applyFont="1" applyBorder="1" applyProtection="1">
      <protection locked="0"/>
    </xf>
    <xf numFmtId="164" fontId="18" fillId="0" borderId="9" xfId="1" applyNumberFormat="1" applyFont="1" applyBorder="1" applyAlignment="1" applyProtection="1">
      <alignment horizontal="right"/>
      <protection locked="0"/>
    </xf>
    <xf numFmtId="43" fontId="20" fillId="3" borderId="12" xfId="1" applyNumberFormat="1" applyFont="1" applyFill="1" applyBorder="1" applyAlignment="1" applyProtection="1">
      <alignment horizontal="right"/>
      <protection locked="0"/>
    </xf>
    <xf numFmtId="43" fontId="22" fillId="3" borderId="12" xfId="1" applyNumberFormat="1" applyFont="1" applyFill="1" applyBorder="1" applyAlignment="1" applyProtection="1">
      <alignment horizontal="right"/>
      <protection locked="0"/>
    </xf>
    <xf numFmtId="164" fontId="19" fillId="16" borderId="0" xfId="0" applyNumberFormat="1" applyFont="1" applyFill="1" applyAlignment="1">
      <alignment horizontal="right"/>
    </xf>
    <xf numFmtId="164" fontId="19" fillId="16" borderId="0" xfId="1" applyNumberFormat="1" applyFont="1" applyFill="1" applyBorder="1" applyAlignment="1" applyProtection="1">
      <alignment horizontal="right"/>
      <protection locked="0"/>
    </xf>
    <xf numFmtId="10" fontId="19" fillId="16" borderId="0" xfId="1" applyNumberFormat="1" applyFont="1" applyFill="1" applyBorder="1" applyAlignment="1" applyProtection="1">
      <alignment horizontal="right"/>
      <protection locked="0"/>
    </xf>
    <xf numFmtId="164" fontId="18" fillId="19" borderId="0" xfId="1" applyNumberFormat="1" applyFont="1" applyFill="1" applyBorder="1" applyAlignment="1" applyProtection="1">
      <alignment horizontal="right"/>
    </xf>
    <xf numFmtId="164" fontId="18" fillId="19" borderId="0" xfId="1" applyNumberFormat="1" applyFont="1" applyFill="1" applyBorder="1" applyAlignment="1" applyProtection="1">
      <alignment horizontal="center"/>
    </xf>
    <xf numFmtId="10" fontId="18" fillId="19" borderId="0" xfId="1" applyNumberFormat="1" applyFont="1" applyFill="1" applyBorder="1" applyAlignment="1" applyProtection="1">
      <alignment horizontal="center"/>
    </xf>
    <xf numFmtId="164" fontId="25" fillId="16" borderId="20" xfId="0" applyNumberFormat="1" applyFont="1" applyFill="1" applyBorder="1" applyAlignment="1">
      <alignment horizontal="center"/>
    </xf>
    <xf numFmtId="164" fontId="26" fillId="20" borderId="0" xfId="0" applyNumberFormat="1" applyFont="1" applyFill="1" applyAlignment="1">
      <alignment horizontal="center"/>
    </xf>
    <xf numFmtId="164" fontId="11" fillId="0" borderId="10" xfId="0" applyNumberFormat="1" applyFont="1" applyBorder="1"/>
    <xf numFmtId="164" fontId="30" fillId="0" borderId="9" xfId="0" applyNumberFormat="1" applyFont="1" applyBorder="1" applyAlignment="1">
      <alignment horizontal="left"/>
    </xf>
    <xf numFmtId="164" fontId="29" fillId="0" borderId="9" xfId="0" applyNumberFormat="1" applyFont="1" applyBorder="1" applyAlignment="1">
      <alignment horizontal="left"/>
    </xf>
    <xf numFmtId="164" fontId="29" fillId="0" borderId="9" xfId="0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9" fontId="11" fillId="0" borderId="0" xfId="2" applyFont="1" applyAlignment="1">
      <alignment horizontal="center"/>
    </xf>
    <xf numFmtId="164" fontId="20" fillId="23" borderId="9" xfId="1" applyNumberFormat="1" applyFont="1" applyFill="1" applyBorder="1" applyAlignment="1" applyProtection="1">
      <alignment horizontal="right"/>
      <protection locked="0"/>
    </xf>
    <xf numFmtId="164" fontId="1" fillId="6" borderId="9" xfId="0" applyNumberFormat="1" applyFont="1" applyFill="1" applyBorder="1" applyAlignment="1" applyProtection="1">
      <alignment horizontal="left"/>
      <protection locked="0"/>
    </xf>
    <xf numFmtId="164" fontId="5" fillId="9" borderId="9" xfId="0" applyNumberFormat="1" applyFont="1" applyFill="1" applyBorder="1" applyAlignment="1">
      <alignment horizontal="left"/>
    </xf>
    <xf numFmtId="164" fontId="18" fillId="4" borderId="9" xfId="0" applyNumberFormat="1" applyFont="1" applyFill="1" applyBorder="1"/>
    <xf numFmtId="164" fontId="5" fillId="4" borderId="9" xfId="0" applyNumberFormat="1" applyFont="1" applyFill="1" applyBorder="1"/>
    <xf numFmtId="164" fontId="5" fillId="15" borderId="13" xfId="0" applyNumberFormat="1" applyFont="1" applyFill="1" applyBorder="1" applyAlignment="1">
      <alignment horizontal="center"/>
    </xf>
    <xf numFmtId="164" fontId="5" fillId="15" borderId="7" xfId="0" applyNumberFormat="1" applyFont="1" applyFill="1" applyBorder="1" applyAlignment="1">
      <alignment horizontal="center"/>
    </xf>
    <xf numFmtId="164" fontId="18" fillId="4" borderId="9" xfId="0" applyNumberFormat="1" applyFont="1" applyFill="1" applyBorder="1" applyAlignment="1">
      <alignment horizontal="left" vertical="center"/>
    </xf>
    <xf numFmtId="164" fontId="5" fillId="4" borderId="9" xfId="0" applyNumberFormat="1" applyFont="1" applyFill="1" applyBorder="1" applyAlignment="1">
      <alignment horizontal="left" vertical="center"/>
    </xf>
    <xf numFmtId="164" fontId="1" fillId="6" borderId="18" xfId="0" applyNumberFormat="1" applyFont="1" applyFill="1" applyBorder="1" applyAlignment="1" applyProtection="1">
      <alignment horizontal="left"/>
      <protection locked="0"/>
    </xf>
    <xf numFmtId="164" fontId="5" fillId="0" borderId="13" xfId="0" applyNumberFormat="1" applyFont="1" applyBorder="1" applyAlignment="1">
      <alignment horizontal="center" vertical="center"/>
    </xf>
    <xf numFmtId="164" fontId="19" fillId="6" borderId="9" xfId="0" applyNumberFormat="1" applyFont="1" applyFill="1" applyBorder="1" applyAlignment="1" applyProtection="1">
      <alignment horizontal="left"/>
      <protection locked="0"/>
    </xf>
    <xf numFmtId="164" fontId="5" fillId="9" borderId="18" xfId="0" applyNumberFormat="1" applyFont="1" applyFill="1" applyBorder="1" applyAlignment="1">
      <alignment horizontal="left"/>
    </xf>
    <xf numFmtId="164" fontId="1" fillId="6" borderId="6" xfId="0" applyNumberFormat="1" applyFont="1" applyFill="1" applyBorder="1" applyAlignment="1" applyProtection="1">
      <alignment horizontal="left"/>
      <protection locked="0"/>
    </xf>
    <xf numFmtId="164" fontId="5" fillId="9" borderId="18" xfId="0" applyNumberFormat="1" applyFont="1" applyFill="1" applyBorder="1" applyAlignment="1" applyProtection="1">
      <alignment horizontal="left"/>
      <protection locked="0"/>
    </xf>
    <xf numFmtId="164" fontId="5" fillId="4" borderId="9" xfId="0" applyNumberFormat="1" applyFont="1" applyFill="1" applyBorder="1" applyAlignment="1">
      <alignment horizontal="left"/>
    </xf>
    <xf numFmtId="164" fontId="19" fillId="6" borderId="13" xfId="0" applyNumberFormat="1" applyFont="1" applyFill="1" applyBorder="1" applyAlignment="1" applyProtection="1">
      <alignment horizontal="left"/>
      <protection locked="0"/>
    </xf>
    <xf numFmtId="164" fontId="1" fillId="6" borderId="7" xfId="0" applyNumberFormat="1" applyFont="1" applyFill="1" applyBorder="1" applyAlignment="1" applyProtection="1">
      <alignment horizontal="left"/>
      <protection locked="0"/>
    </xf>
    <xf numFmtId="164" fontId="5" fillId="9" borderId="9" xfId="0" applyNumberFormat="1" applyFont="1" applyFill="1" applyBorder="1" applyAlignment="1" applyProtection="1">
      <alignment horizontal="left"/>
      <protection locked="0"/>
    </xf>
    <xf numFmtId="164" fontId="1" fillId="6" borderId="9" xfId="0" applyNumberFormat="1" applyFont="1" applyFill="1" applyBorder="1" applyAlignment="1" applyProtection="1">
      <alignment horizontal="left" wrapText="1"/>
      <protection locked="0"/>
    </xf>
    <xf numFmtId="164" fontId="1" fillId="6" borderId="6" xfId="0" applyNumberFormat="1" applyFont="1" applyFill="1" applyBorder="1" applyAlignment="1" applyProtection="1">
      <alignment horizontal="left" wrapText="1"/>
      <protection locked="0"/>
    </xf>
    <xf numFmtId="164" fontId="1" fillId="9" borderId="6" xfId="0" applyNumberFormat="1" applyFont="1" applyFill="1" applyBorder="1" applyAlignment="1" applyProtection="1">
      <alignment horizontal="left" wrapText="1"/>
      <protection locked="0"/>
    </xf>
    <xf numFmtId="164" fontId="1" fillId="6" borderId="18" xfId="0" applyNumberFormat="1" applyFont="1" applyFill="1" applyBorder="1" applyAlignment="1" applyProtection="1">
      <alignment horizontal="left" wrapText="1"/>
      <protection locked="0"/>
    </xf>
    <xf numFmtId="164" fontId="1" fillId="6" borderId="13" xfId="0" applyNumberFormat="1" applyFont="1" applyFill="1" applyBorder="1" applyAlignment="1" applyProtection="1">
      <alignment horizontal="left" wrapText="1"/>
      <protection locked="0"/>
    </xf>
    <xf numFmtId="164" fontId="1" fillId="6" borderId="7" xfId="0" applyNumberFormat="1" applyFont="1" applyFill="1" applyBorder="1" applyAlignment="1" applyProtection="1">
      <alignment horizontal="left" wrapText="1"/>
      <protection locked="0"/>
    </xf>
    <xf numFmtId="164" fontId="9" fillId="0" borderId="3" xfId="0" applyNumberFormat="1" applyFont="1" applyBorder="1" applyAlignment="1">
      <alignment horizontal="center" vertical="center"/>
    </xf>
    <xf numFmtId="164" fontId="4" fillId="4" borderId="18" xfId="0" applyNumberFormat="1" applyFont="1" applyFill="1" applyBorder="1" applyAlignment="1">
      <alignment horizontal="center"/>
    </xf>
    <xf numFmtId="164" fontId="5" fillId="4" borderId="8" xfId="0" applyNumberFormat="1" applyFont="1" applyFill="1" applyBorder="1" applyAlignment="1">
      <alignment horizontal="center" wrapText="1"/>
    </xf>
    <xf numFmtId="164" fontId="5" fillId="4" borderId="6" xfId="0" applyNumberFormat="1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/>
    </xf>
    <xf numFmtId="164" fontId="1" fillId="6" borderId="18" xfId="0" applyNumberFormat="1" applyFont="1" applyFill="1" applyBorder="1" applyAlignment="1" applyProtection="1">
      <alignment wrapText="1"/>
      <protection locked="0"/>
    </xf>
    <xf numFmtId="164" fontId="1" fillId="6" borderId="9" xfId="0" applyNumberFormat="1" applyFont="1" applyFill="1" applyBorder="1" applyAlignment="1" applyProtection="1">
      <alignment wrapText="1"/>
      <protection locked="0"/>
    </xf>
    <xf numFmtId="164" fontId="19" fillId="6" borderId="13" xfId="0" applyNumberFormat="1" applyFont="1" applyFill="1" applyBorder="1" applyAlignment="1" applyProtection="1">
      <alignment horizontal="left" wrapText="1"/>
      <protection locked="0"/>
    </xf>
    <xf numFmtId="164" fontId="3" fillId="0" borderId="22" xfId="0" applyNumberFormat="1" applyFont="1" applyBorder="1" applyAlignment="1">
      <alignment horizontal="center" wrapText="1"/>
    </xf>
    <xf numFmtId="164" fontId="19" fillId="6" borderId="9" xfId="0" applyNumberFormat="1" applyFont="1" applyFill="1" applyBorder="1" applyAlignment="1" applyProtection="1">
      <alignment wrapText="1"/>
      <protection locked="0"/>
    </xf>
    <xf numFmtId="164" fontId="18" fillId="3" borderId="11" xfId="0" applyNumberFormat="1" applyFont="1" applyFill="1" applyBorder="1" applyAlignment="1" applyProtection="1">
      <alignment horizontal="left"/>
      <protection locked="0"/>
    </xf>
    <xf numFmtId="164" fontId="19" fillId="6" borderId="11" xfId="0" applyNumberFormat="1" applyFont="1" applyFill="1" applyBorder="1" applyAlignment="1" applyProtection="1">
      <alignment wrapText="1"/>
      <protection locked="0"/>
    </xf>
    <xf numFmtId="164" fontId="19" fillId="6" borderId="13" xfId="0" applyNumberFormat="1" applyFont="1" applyFill="1" applyBorder="1" applyAlignment="1" applyProtection="1">
      <alignment wrapText="1"/>
      <protection locked="0"/>
    </xf>
    <xf numFmtId="164" fontId="18" fillId="9" borderId="6" xfId="0" applyNumberFormat="1" applyFont="1" applyFill="1" applyBorder="1" applyAlignment="1">
      <alignment horizontal="left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31" fillId="21" borderId="9" xfId="0" applyNumberFormat="1" applyFont="1" applyFill="1" applyBorder="1" applyAlignment="1">
      <alignment horizontal="center" vertical="center"/>
    </xf>
    <xf numFmtId="164" fontId="18" fillId="16" borderId="0" xfId="0" applyNumberFormat="1" applyFont="1" applyFill="1" applyAlignment="1">
      <alignment horizontal="left"/>
    </xf>
    <xf numFmtId="164" fontId="28" fillId="16" borderId="0" xfId="0" applyNumberFormat="1" applyFont="1" applyFill="1" applyAlignment="1">
      <alignment horizontal="left"/>
    </xf>
    <xf numFmtId="164" fontId="28" fillId="19" borderId="0" xfId="0" applyNumberFormat="1" applyFont="1" applyFill="1" applyAlignment="1">
      <alignment horizontal="left"/>
    </xf>
    <xf numFmtId="164" fontId="28" fillId="16" borderId="20" xfId="0" applyNumberFormat="1" applyFont="1" applyFill="1" applyBorder="1" applyAlignment="1">
      <alignment horizontal="left"/>
    </xf>
    <xf numFmtId="49" fontId="32" fillId="22" borderId="13" xfId="0" applyNumberFormat="1" applyFont="1" applyFill="1" applyBorder="1" applyAlignment="1">
      <alignment horizontal="center"/>
    </xf>
    <xf numFmtId="49" fontId="32" fillId="22" borderId="7" xfId="0" applyNumberFormat="1" applyFont="1" applyFill="1" applyBorder="1" applyAlignment="1">
      <alignment horizontal="center"/>
    </xf>
    <xf numFmtId="164" fontId="18" fillId="3" borderId="6" xfId="0" applyNumberFormat="1" applyFont="1" applyFill="1" applyBorder="1" applyAlignment="1">
      <alignment horizontal="left"/>
    </xf>
    <xf numFmtId="164" fontId="15" fillId="0" borderId="0" xfId="0" applyNumberFormat="1" applyFont="1" applyAlignment="1">
      <alignment horizontal="center"/>
    </xf>
    <xf numFmtId="9" fontId="32" fillId="22" borderId="9" xfId="2" applyFont="1" applyFill="1" applyBorder="1" applyAlignment="1">
      <alignment horizontal="center"/>
    </xf>
    <xf numFmtId="164" fontId="32" fillId="21" borderId="9" xfId="0" applyNumberFormat="1" applyFont="1" applyFill="1" applyBorder="1" applyAlignment="1">
      <alignment horizontal="center"/>
    </xf>
    <xf numFmtId="164" fontId="18" fillId="7" borderId="13" xfId="0" applyNumberFormat="1" applyFont="1" applyFill="1" applyBorder="1" applyAlignment="1" applyProtection="1">
      <alignment horizontal="left"/>
      <protection locked="0"/>
    </xf>
    <xf numFmtId="10" fontId="18" fillId="14" borderId="25" xfId="0" applyNumberFormat="1" applyFont="1" applyFill="1" applyBorder="1" applyAlignment="1">
      <alignment horizontal="center" vertical="center"/>
    </xf>
    <xf numFmtId="10" fontId="18" fillId="14" borderId="24" xfId="0" applyNumberFormat="1" applyFont="1" applyFill="1" applyBorder="1" applyAlignment="1">
      <alignment horizontal="center" vertical="center"/>
    </xf>
    <xf numFmtId="164" fontId="18" fillId="7" borderId="9" xfId="0" applyNumberFormat="1" applyFont="1" applyFill="1" applyBorder="1" applyAlignment="1" applyProtection="1">
      <alignment horizontal="left"/>
      <protection locked="0"/>
    </xf>
    <xf numFmtId="164" fontId="18" fillId="7" borderId="11" xfId="0" applyNumberFormat="1" applyFont="1" applyFill="1" applyBorder="1" applyAlignment="1" applyProtection="1">
      <alignment horizontal="left"/>
      <protection locked="0"/>
    </xf>
    <xf numFmtId="164" fontId="19" fillId="6" borderId="6" xfId="0" applyNumberFormat="1" applyFont="1" applyFill="1" applyBorder="1" applyAlignment="1" applyProtection="1">
      <alignment horizontal="left"/>
      <protection locked="0"/>
    </xf>
    <xf numFmtId="164" fontId="18" fillId="9" borderId="9" xfId="0" applyNumberFormat="1" applyFont="1" applyFill="1" applyBorder="1" applyAlignment="1">
      <alignment horizontal="left"/>
    </xf>
    <xf numFmtId="164" fontId="18" fillId="3" borderId="13" xfId="0" applyNumberFormat="1" applyFont="1" applyFill="1" applyBorder="1" applyAlignment="1">
      <alignment horizontal="left"/>
    </xf>
    <xf numFmtId="164" fontId="18" fillId="3" borderId="13" xfId="0" applyNumberFormat="1" applyFont="1" applyFill="1" applyBorder="1" applyAlignment="1" applyProtection="1">
      <alignment horizontal="left"/>
      <protection locked="0"/>
    </xf>
    <xf numFmtId="164" fontId="19" fillId="3" borderId="8" xfId="0" applyNumberFormat="1" applyFont="1" applyFill="1" applyBorder="1" applyAlignment="1" applyProtection="1">
      <alignment horizontal="left" wrapText="1"/>
      <protection locked="0"/>
    </xf>
    <xf numFmtId="164" fontId="24" fillId="2" borderId="2" xfId="0" applyNumberFormat="1" applyFont="1" applyFill="1" applyBorder="1" applyAlignment="1">
      <alignment horizontal="center" wrapText="1"/>
    </xf>
    <xf numFmtId="164" fontId="23" fillId="2" borderId="3" xfId="0" applyNumberFormat="1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/>
    </xf>
    <xf numFmtId="164" fontId="22" fillId="3" borderId="6" xfId="0" applyNumberFormat="1" applyFont="1" applyFill="1" applyBorder="1" applyAlignment="1">
      <alignment horizontal="center"/>
    </xf>
    <xf numFmtId="164" fontId="22" fillId="3" borderId="7" xfId="0" applyNumberFormat="1" applyFont="1" applyFill="1" applyBorder="1" applyAlignment="1">
      <alignment horizontal="center" vertical="center" wrapText="1"/>
    </xf>
    <xf numFmtId="164" fontId="18" fillId="4" borderId="8" xfId="0" applyNumberFormat="1" applyFont="1" applyFill="1" applyBorder="1" applyAlignment="1">
      <alignment horizontal="center" wrapText="1"/>
    </xf>
    <xf numFmtId="164" fontId="18" fillId="4" borderId="9" xfId="0" applyNumberFormat="1" applyFont="1" applyFill="1" applyBorder="1" applyAlignment="1">
      <alignment horizontal="center" wrapText="1"/>
    </xf>
    <xf numFmtId="164" fontId="18" fillId="4" borderId="9" xfId="0" applyNumberFormat="1" applyFont="1" applyFill="1" applyBorder="1" applyAlignment="1">
      <alignment horizontal="center" vertical="center" wrapText="1"/>
    </xf>
    <xf numFmtId="164" fontId="22" fillId="3" borderId="9" xfId="0" applyNumberFormat="1" applyFont="1" applyFill="1" applyBorder="1" applyAlignment="1">
      <alignment horizontal="center"/>
    </xf>
    <xf numFmtId="164" fontId="19" fillId="6" borderId="7" xfId="0" applyNumberFormat="1" applyFont="1" applyFill="1" applyBorder="1" applyAlignment="1" applyProtection="1">
      <alignment horizontal="left" wrapText="1"/>
      <protection locked="0"/>
    </xf>
    <xf numFmtId="164" fontId="22" fillId="3" borderId="11" xfId="0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BE5D6"/>
      <rgbColor rgb="FFC6E0B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E2EFDA"/>
      <rgbColor rgb="FFFFFF99"/>
      <rgbColor rgb="FFA9D08E"/>
      <rgbColor rgb="FFF4B084"/>
      <rgbColor rgb="FFCC99FF"/>
      <rgbColor rgb="FFF8CBAD"/>
      <rgbColor rgb="FF3366FF"/>
      <rgbColor rgb="FF33CCCC"/>
      <rgbColor rgb="FF99CC00"/>
      <rgbColor rgb="FFFFCC00"/>
      <rgbColor rgb="FFFF9900"/>
      <rgbColor rgb="FFC65911"/>
      <rgbColor rgb="FF666699"/>
      <rgbColor rgb="FFA6A6A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457200</xdr:colOff>
      <xdr:row>45</xdr:row>
      <xdr:rowOff>123825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784143F7-658F-40FB-9563-3612B7B36E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533400</xdr:colOff>
      <xdr:row>40</xdr:row>
      <xdr:rowOff>114300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D39EA8C-7593-48E4-83E6-42F9518766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G192"/>
  <sheetViews>
    <sheetView showGridLines="0" showZeros="0" tabSelected="1" zoomScale="90" zoomScaleNormal="90" zoomScalePageLayoutView="75" workbookViewId="0">
      <pane xSplit="4" topLeftCell="J1" activePane="topRight" state="frozen"/>
      <selection pane="topRight" activeCell="U64" sqref="U64"/>
    </sheetView>
  </sheetViews>
  <sheetFormatPr baseColWidth="10" defaultColWidth="8.83203125" defaultRowHeight="19" x14ac:dyDescent="0.25"/>
  <cols>
    <col min="1" max="1" width="3" style="1" customWidth="1"/>
    <col min="2" max="2" width="26" style="2" customWidth="1"/>
    <col min="3" max="3" width="28.1640625" style="2" customWidth="1"/>
    <col min="4" max="4" width="2.33203125" style="3" customWidth="1"/>
    <col min="5" max="7" width="15.6640625" style="4" customWidth="1"/>
    <col min="8" max="8" width="17.1640625" style="4" customWidth="1"/>
    <col min="9" max="10" width="15.6640625" style="4" customWidth="1"/>
    <col min="11" max="15" width="17.1640625" style="4" customWidth="1"/>
    <col min="16" max="16" width="15.6640625" style="4" customWidth="1"/>
    <col min="17" max="17" width="0.5" style="4" customWidth="1"/>
    <col min="18" max="18" width="18.6640625" style="4" hidden="1" customWidth="1"/>
    <col min="19" max="19" width="15.6640625" style="4" customWidth="1"/>
    <col min="20" max="20" width="1" style="4" customWidth="1"/>
    <col min="21" max="21" width="14.5" style="4" customWidth="1"/>
    <col min="22" max="22" width="1.1640625" style="4" customWidth="1"/>
    <col min="23" max="23" width="9.5" style="5" customWidth="1"/>
    <col min="24" max="24" width="3.33203125" style="4" customWidth="1"/>
    <col min="25" max="25" width="9.1640625" style="4" customWidth="1"/>
    <col min="26" max="26" width="12.83203125" style="4" customWidth="1"/>
    <col min="27" max="27" width="11.5" style="3"/>
    <col min="28" max="252" width="9.1640625" style="3" customWidth="1"/>
    <col min="253" max="1021" width="9.1640625" style="1" customWidth="1"/>
  </cols>
  <sheetData>
    <row r="1" spans="1:24" ht="90" customHeight="1" x14ac:dyDescent="0.25">
      <c r="A1" s="6"/>
      <c r="B1" s="275"/>
      <c r="C1" s="275"/>
      <c r="D1" s="48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91"/>
      <c r="X1" s="7"/>
    </row>
    <row r="2" spans="1:24" ht="16.25" customHeight="1" x14ac:dyDescent="0.25">
      <c r="A2" s="8"/>
      <c r="B2" s="268" t="s">
        <v>0</v>
      </c>
      <c r="C2" s="268"/>
      <c r="D2" s="39"/>
      <c r="E2" s="49" t="s">
        <v>62</v>
      </c>
      <c r="F2" s="49" t="s">
        <v>62</v>
      </c>
      <c r="G2" s="49" t="s">
        <v>62</v>
      </c>
      <c r="H2" s="49" t="s">
        <v>62</v>
      </c>
      <c r="I2" s="49" t="s">
        <v>62</v>
      </c>
      <c r="J2" s="49" t="s">
        <v>62</v>
      </c>
      <c r="K2" s="49" t="s">
        <v>62</v>
      </c>
      <c r="L2" s="49" t="s">
        <v>62</v>
      </c>
      <c r="M2" s="49" t="s">
        <v>62</v>
      </c>
      <c r="N2" s="49" t="s">
        <v>62</v>
      </c>
      <c r="O2" s="49" t="s">
        <v>62</v>
      </c>
      <c r="P2" s="49" t="s">
        <v>62</v>
      </c>
      <c r="R2" s="269" t="s">
        <v>2</v>
      </c>
      <c r="S2" s="270" t="s">
        <v>129</v>
      </c>
      <c r="T2" s="50"/>
      <c r="U2" s="270" t="s">
        <v>4</v>
      </c>
      <c r="V2" s="50"/>
      <c r="W2" s="9"/>
      <c r="X2" s="10"/>
    </row>
    <row r="3" spans="1:24" x14ac:dyDescent="0.25">
      <c r="A3" s="8"/>
      <c r="B3" s="271" t="s">
        <v>5</v>
      </c>
      <c r="C3" s="271"/>
      <c r="D3" s="39"/>
      <c r="E3" s="51" t="s">
        <v>63</v>
      </c>
      <c r="F3" s="51" t="s">
        <v>64</v>
      </c>
      <c r="G3" s="51" t="s">
        <v>65</v>
      </c>
      <c r="H3" s="51" t="s">
        <v>66</v>
      </c>
      <c r="I3" s="51" t="s">
        <v>67</v>
      </c>
      <c r="J3" s="51" t="s">
        <v>68</v>
      </c>
      <c r="K3" s="51" t="s">
        <v>69</v>
      </c>
      <c r="L3" s="51" t="s">
        <v>70</v>
      </c>
      <c r="M3" s="51" t="s">
        <v>71</v>
      </c>
      <c r="N3" s="51" t="s">
        <v>72</v>
      </c>
      <c r="O3" s="51" t="s">
        <v>6</v>
      </c>
      <c r="P3" s="215" t="s">
        <v>127</v>
      </c>
      <c r="R3" s="269"/>
      <c r="S3" s="270"/>
      <c r="T3" s="50"/>
      <c r="U3" s="270"/>
      <c r="V3" s="50"/>
      <c r="W3" s="9"/>
      <c r="X3" s="10"/>
    </row>
    <row r="4" spans="1:24" x14ac:dyDescent="0.25">
      <c r="A4" s="8"/>
      <c r="B4" s="260" t="s">
        <v>18</v>
      </c>
      <c r="C4" s="260"/>
      <c r="D4" s="39"/>
      <c r="E4" s="52">
        <f t="shared" ref="E4:M4" si="0">SUM(E5:E7)</f>
        <v>4537.38</v>
      </c>
      <c r="F4" s="52">
        <f t="shared" si="0"/>
        <v>4829.82</v>
      </c>
      <c r="G4" s="52">
        <f t="shared" si="0"/>
        <v>4510.46</v>
      </c>
      <c r="H4" s="52">
        <f t="shared" si="0"/>
        <v>8978.5400000000009</v>
      </c>
      <c r="I4" s="52">
        <f t="shared" si="0"/>
        <v>4765.8500000000004</v>
      </c>
      <c r="J4" s="52">
        <f t="shared" si="0"/>
        <v>3861.5</v>
      </c>
      <c r="K4" s="52">
        <f t="shared" si="0"/>
        <v>5879.369999999999</v>
      </c>
      <c r="L4" s="52">
        <f t="shared" si="0"/>
        <v>8403.42</v>
      </c>
      <c r="M4" s="52">
        <f t="shared" si="0"/>
        <v>5794.92</v>
      </c>
      <c r="N4" s="52">
        <f t="shared" ref="N4:P4" si="1">SUM(N5:N7)</f>
        <v>4932.68</v>
      </c>
      <c r="O4" s="52">
        <f t="shared" si="1"/>
        <v>4913.07</v>
      </c>
      <c r="P4" s="52">
        <f t="shared" si="1"/>
        <v>5143.28</v>
      </c>
      <c r="R4" s="11">
        <f>SUM(R5:R5)</f>
        <v>58520.549999999996</v>
      </c>
      <c r="S4" s="53">
        <f>SUM(S5:S7)</f>
        <v>5545.8574999999992</v>
      </c>
      <c r="T4" s="50"/>
      <c r="U4" s="54">
        <f>SUM(U5:U7)</f>
        <v>7.5464118464837221E-2</v>
      </c>
      <c r="V4" s="50"/>
      <c r="W4" s="12"/>
      <c r="X4" s="10"/>
    </row>
    <row r="5" spans="1:24" x14ac:dyDescent="0.25">
      <c r="A5" s="8"/>
      <c r="B5" s="243" t="s">
        <v>93</v>
      </c>
      <c r="C5" s="243"/>
      <c r="E5" s="15">
        <v>4537.38</v>
      </c>
      <c r="F5" s="15">
        <v>4829.82</v>
      </c>
      <c r="G5" s="15">
        <v>4510.46</v>
      </c>
      <c r="H5" s="15">
        <f>8978.54-4506.14</f>
        <v>4472.4000000000005</v>
      </c>
      <c r="I5" s="15">
        <f>4765.85-62.36</f>
        <v>4703.4900000000007</v>
      </c>
      <c r="J5" s="15">
        <v>3861.5</v>
      </c>
      <c r="K5" s="15">
        <f>5879.37-1402.81</f>
        <v>4476.5599999999995</v>
      </c>
      <c r="L5" s="23">
        <f>8403.42-1891.07</f>
        <v>6512.35</v>
      </c>
      <c r="M5" s="132">
        <f>5794.92-M7</f>
        <v>5627.56</v>
      </c>
      <c r="N5" s="28">
        <v>4932.68</v>
      </c>
      <c r="O5" s="28">
        <v>4913.07</v>
      </c>
      <c r="P5" s="28">
        <v>5143.28</v>
      </c>
      <c r="R5" s="13">
        <f>SUM(E5:P5)</f>
        <v>58520.549999999996</v>
      </c>
      <c r="S5" s="55">
        <f>AVERAGE(E5:P5)</f>
        <v>4876.7124999999996</v>
      </c>
      <c r="T5" s="50"/>
      <c r="U5" s="56">
        <f>S5/S52</f>
        <v>6.6358865120308724E-2</v>
      </c>
      <c r="V5" s="50"/>
      <c r="W5" s="12"/>
      <c r="X5" s="10"/>
    </row>
    <row r="6" spans="1:24" x14ac:dyDescent="0.25">
      <c r="A6" s="8"/>
      <c r="B6" s="258" t="s">
        <v>119</v>
      </c>
      <c r="C6" s="259"/>
      <c r="E6" s="16">
        <v>0</v>
      </c>
      <c r="F6" s="16">
        <v>0</v>
      </c>
      <c r="G6" s="16">
        <v>0</v>
      </c>
      <c r="H6" s="15">
        <v>4506.1400000000003</v>
      </c>
      <c r="I6" s="15">
        <f>62.36</f>
        <v>62.36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R6" s="13"/>
      <c r="S6" s="55">
        <f>AVERAGE(E6:P6)</f>
        <v>380.70833333333331</v>
      </c>
      <c r="T6" s="50"/>
      <c r="U6" s="56">
        <f>S6/S52</f>
        <v>5.1804105617963333E-3</v>
      </c>
      <c r="V6" s="50"/>
      <c r="W6" s="12"/>
      <c r="X6" s="10"/>
    </row>
    <row r="7" spans="1:24" x14ac:dyDescent="0.25">
      <c r="A7" s="8"/>
      <c r="B7" s="148" t="s">
        <v>121</v>
      </c>
      <c r="C7" s="57"/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5">
        <v>1402.81</v>
      </c>
      <c r="L7" s="23">
        <v>1891.07</v>
      </c>
      <c r="M7" s="28">
        <f>38.37+128.99</f>
        <v>167.36</v>
      </c>
      <c r="N7" s="127">
        <v>0</v>
      </c>
      <c r="O7" s="127">
        <v>0</v>
      </c>
      <c r="P7" s="127">
        <v>0</v>
      </c>
      <c r="R7" s="13"/>
      <c r="S7" s="55">
        <f>AVERAGE(E7:P7)</f>
        <v>288.43666666666667</v>
      </c>
      <c r="T7" s="50"/>
      <c r="U7" s="56">
        <f>S7/S52</f>
        <v>3.9248427827321755E-3</v>
      </c>
      <c r="V7" s="50"/>
      <c r="W7" s="12"/>
      <c r="X7" s="10"/>
    </row>
    <row r="8" spans="1:24" x14ac:dyDescent="0.25">
      <c r="A8" s="8"/>
      <c r="B8" s="260" t="s">
        <v>20</v>
      </c>
      <c r="C8" s="260"/>
      <c r="E8" s="52">
        <f t="shared" ref="E8:N8" si="2">SUM(E9:E12)</f>
        <v>1144.3200000000002</v>
      </c>
      <c r="F8" s="52">
        <f t="shared" si="2"/>
        <v>1130.7600000000002</v>
      </c>
      <c r="G8" s="52">
        <f t="shared" si="2"/>
        <v>1142.9399999999998</v>
      </c>
      <c r="H8" s="52">
        <f t="shared" si="2"/>
        <v>1145.51</v>
      </c>
      <c r="I8" s="52">
        <f t="shared" si="2"/>
        <v>707.09</v>
      </c>
      <c r="J8" s="52">
        <f t="shared" si="2"/>
        <v>650.31000000000006</v>
      </c>
      <c r="K8" s="52">
        <f t="shared" si="2"/>
        <v>746.88</v>
      </c>
      <c r="L8" s="52">
        <f t="shared" si="2"/>
        <v>820.98</v>
      </c>
      <c r="M8" s="52">
        <f t="shared" si="2"/>
        <v>773.7299999999999</v>
      </c>
      <c r="N8" s="52">
        <f t="shared" si="2"/>
        <v>750.16</v>
      </c>
      <c r="O8" s="52">
        <f>SUM(O9:O12)</f>
        <v>1146.29</v>
      </c>
      <c r="P8" s="52">
        <f>SUM(P9:P12)</f>
        <v>1155.3</v>
      </c>
      <c r="R8" s="11">
        <f>SUM(R9:R12)</f>
        <v>5979.5400000000009</v>
      </c>
      <c r="S8" s="53">
        <f>SUM(S9:S12)</f>
        <v>942.85583333333341</v>
      </c>
      <c r="T8" s="50"/>
      <c r="U8" s="54">
        <f>SUM(U9:U12)</f>
        <v>1.2829717370475082E-2</v>
      </c>
      <c r="V8" s="50"/>
      <c r="W8" s="12"/>
      <c r="X8" s="10"/>
    </row>
    <row r="9" spans="1:24" ht="18.75" customHeight="1" x14ac:dyDescent="0.25">
      <c r="A9" s="8"/>
      <c r="B9" s="273" t="s">
        <v>21</v>
      </c>
      <c r="C9" s="273"/>
      <c r="E9" s="15">
        <v>250.42</v>
      </c>
      <c r="F9" s="15">
        <v>232.42</v>
      </c>
      <c r="G9" s="15">
        <v>249.99</v>
      </c>
      <c r="H9" s="15">
        <v>249.99</v>
      </c>
      <c r="I9" s="15">
        <v>187.42</v>
      </c>
      <c r="J9" s="15">
        <v>133.41999999999999</v>
      </c>
      <c r="K9" s="15">
        <v>241.42</v>
      </c>
      <c r="L9" s="15">
        <v>250.78</v>
      </c>
      <c r="M9" s="15">
        <v>260.14</v>
      </c>
      <c r="N9" s="15">
        <v>242.27</v>
      </c>
      <c r="O9" s="15">
        <v>251.63</v>
      </c>
      <c r="P9" s="15">
        <v>251.63</v>
      </c>
      <c r="R9" s="14">
        <f>SUM(E9:P9)</f>
        <v>2801.53</v>
      </c>
      <c r="S9" s="55">
        <f>AVERAGE(E9:P9)</f>
        <v>233.46083333333334</v>
      </c>
      <c r="T9" s="50"/>
      <c r="U9" s="56">
        <f>S9/S52</f>
        <v>3.176770406301693E-3</v>
      </c>
      <c r="V9" s="50"/>
      <c r="W9" s="12"/>
      <c r="X9" s="10"/>
    </row>
    <row r="10" spans="1:24" ht="18.75" customHeight="1" x14ac:dyDescent="0.25">
      <c r="A10" s="8"/>
      <c r="B10" s="90" t="s">
        <v>22</v>
      </c>
      <c r="C10" s="58"/>
      <c r="E10" s="15">
        <v>444.42</v>
      </c>
      <c r="F10" s="15">
        <v>444.42</v>
      </c>
      <c r="G10" s="15">
        <v>443.99</v>
      </c>
      <c r="H10" s="15">
        <v>443.99</v>
      </c>
      <c r="I10" s="15">
        <v>444.42</v>
      </c>
      <c r="J10" s="15">
        <v>444.42</v>
      </c>
      <c r="K10" s="15">
        <v>444.42</v>
      </c>
      <c r="L10" s="15">
        <v>444.42</v>
      </c>
      <c r="M10" s="15">
        <v>444.42</v>
      </c>
      <c r="N10" s="15">
        <v>445.27</v>
      </c>
      <c r="O10" s="15">
        <v>445.27</v>
      </c>
      <c r="P10" s="15">
        <v>445.27</v>
      </c>
      <c r="R10" s="14"/>
      <c r="S10" s="55">
        <f>AVERAGE(E10:P10)</f>
        <v>444.56083333333345</v>
      </c>
      <c r="T10" s="50"/>
      <c r="U10" s="56">
        <f>S10/S52</f>
        <v>6.0492703592714813E-3</v>
      </c>
      <c r="V10" s="50"/>
      <c r="W10" s="12"/>
      <c r="X10" s="10"/>
    </row>
    <row r="11" spans="1:24" ht="18.75" customHeight="1" x14ac:dyDescent="0.25">
      <c r="A11" s="8"/>
      <c r="B11" s="276" t="s">
        <v>120</v>
      </c>
      <c r="C11" s="273"/>
      <c r="E11" s="15">
        <v>389.1</v>
      </c>
      <c r="F11" s="15">
        <v>389.05</v>
      </c>
      <c r="G11" s="15">
        <v>389.1</v>
      </c>
      <c r="H11" s="15">
        <v>389.05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388.89</v>
      </c>
      <c r="P11" s="15">
        <v>389.05</v>
      </c>
      <c r="R11" s="14">
        <f>SUM(E11:P11)</f>
        <v>2334.2400000000002</v>
      </c>
      <c r="S11" s="55">
        <f>AVERAGE(E11:P11)</f>
        <v>194.52</v>
      </c>
      <c r="T11" s="50"/>
      <c r="U11" s="56">
        <f>S11/S52</f>
        <v>2.6468910035607912E-3</v>
      </c>
      <c r="V11" s="50"/>
      <c r="W11" s="12"/>
      <c r="X11" s="10"/>
    </row>
    <row r="12" spans="1:24" ht="18.75" customHeight="1" x14ac:dyDescent="0.25">
      <c r="A12" s="8"/>
      <c r="B12" s="273" t="s">
        <v>23</v>
      </c>
      <c r="C12" s="273"/>
      <c r="E12" s="16">
        <v>60.38</v>
      </c>
      <c r="F12" s="16">
        <v>64.87</v>
      </c>
      <c r="G12" s="16">
        <v>59.86</v>
      </c>
      <c r="H12" s="16">
        <v>62.48</v>
      </c>
      <c r="I12" s="16">
        <v>75.25</v>
      </c>
      <c r="J12" s="16">
        <v>72.47</v>
      </c>
      <c r="K12" s="16">
        <v>61.04</v>
      </c>
      <c r="L12" s="16">
        <v>125.78</v>
      </c>
      <c r="M12" s="16">
        <v>69.17</v>
      </c>
      <c r="N12" s="16">
        <v>62.62</v>
      </c>
      <c r="O12" s="16">
        <v>60.5</v>
      </c>
      <c r="P12" s="16">
        <v>69.349999999999994</v>
      </c>
      <c r="R12" s="14">
        <f>SUM(E12:P12)</f>
        <v>843.7700000000001</v>
      </c>
      <c r="S12" s="55">
        <f>AVERAGE(E12:P12)</f>
        <v>70.314166666666679</v>
      </c>
      <c r="T12" s="50"/>
      <c r="U12" s="56">
        <f>S12/S52</f>
        <v>9.5678560134111713E-4</v>
      </c>
      <c r="V12" s="50"/>
      <c r="W12" s="12"/>
      <c r="X12" s="10"/>
    </row>
    <row r="13" spans="1:24" x14ac:dyDescent="0.25">
      <c r="A13" s="8"/>
      <c r="B13" s="260" t="s">
        <v>24</v>
      </c>
      <c r="C13" s="260"/>
      <c r="E13" s="52">
        <f t="shared" ref="E13:P13" si="3">SUM(E21:E23)</f>
        <v>573.58000000000004</v>
      </c>
      <c r="F13" s="52">
        <f t="shared" si="3"/>
        <v>573.58000000000004</v>
      </c>
      <c r="G13" s="52">
        <f t="shared" si="3"/>
        <v>678.58</v>
      </c>
      <c r="H13" s="52">
        <f t="shared" si="3"/>
        <v>573.58000000000004</v>
      </c>
      <c r="I13" s="52">
        <f t="shared" si="3"/>
        <v>573.58000000000004</v>
      </c>
      <c r="J13" s="52">
        <f t="shared" si="3"/>
        <v>573.58000000000004</v>
      </c>
      <c r="K13" s="52">
        <f t="shared" si="3"/>
        <v>573.58000000000004</v>
      </c>
      <c r="L13" s="52">
        <f t="shared" si="3"/>
        <v>349.25</v>
      </c>
      <c r="M13" s="52">
        <f t="shared" si="3"/>
        <v>349.25</v>
      </c>
      <c r="N13" s="52">
        <f t="shared" si="3"/>
        <v>349.25</v>
      </c>
      <c r="O13" s="52">
        <f t="shared" si="3"/>
        <v>349.25</v>
      </c>
      <c r="P13" s="52">
        <f t="shared" si="3"/>
        <v>349.25</v>
      </c>
      <c r="R13" s="11">
        <f>SUM(R14:R20)</f>
        <v>13193.969999999998</v>
      </c>
      <c r="S13" s="59">
        <f>SUM(S21:S23)</f>
        <v>488.85916666666662</v>
      </c>
      <c r="T13" s="50"/>
      <c r="U13" s="54">
        <f>SUM(U21:U23)</f>
        <v>6.652050844428466E-3</v>
      </c>
      <c r="V13" s="50"/>
      <c r="W13" s="12"/>
      <c r="X13" s="10"/>
    </row>
    <row r="14" spans="1:24" ht="18.75" hidden="1" customHeight="1" x14ac:dyDescent="0.25">
      <c r="A14" s="8"/>
      <c r="B14" s="261" t="s">
        <v>73</v>
      </c>
      <c r="C14" s="261"/>
      <c r="E14" s="15"/>
      <c r="F14" s="15"/>
      <c r="G14" s="15">
        <f>102.12</f>
        <v>102.12</v>
      </c>
      <c r="H14" s="15"/>
      <c r="I14" s="15"/>
      <c r="J14" s="15"/>
      <c r="K14" s="15">
        <v>713.08</v>
      </c>
      <c r="L14" s="15">
        <v>713.08</v>
      </c>
      <c r="M14" s="15">
        <v>713.08</v>
      </c>
      <c r="N14" s="15">
        <v>713.08</v>
      </c>
      <c r="O14" s="15"/>
      <c r="P14" s="15"/>
      <c r="R14" s="14">
        <f t="shared" ref="R14:R20" si="4">SUM(E14:P14)</f>
        <v>2954.44</v>
      </c>
      <c r="S14" s="55"/>
      <c r="T14" s="50"/>
      <c r="U14" s="56" t="e">
        <f t="shared" ref="U14:U20" si="5">S14/S60</f>
        <v>#DIV/0!</v>
      </c>
      <c r="V14" s="50"/>
      <c r="X14" s="10"/>
    </row>
    <row r="15" spans="1:24" ht="18.75" hidden="1" customHeight="1" x14ac:dyDescent="0.25">
      <c r="A15" s="8"/>
      <c r="B15" s="261" t="s">
        <v>74</v>
      </c>
      <c r="C15" s="261"/>
      <c r="E15" s="15">
        <f>264.64+962.43</f>
        <v>1227.07</v>
      </c>
      <c r="F15" s="15">
        <f>455.45</f>
        <v>455.45</v>
      </c>
      <c r="G15" s="15"/>
      <c r="H15" s="15">
        <f>39.93</f>
        <v>39.93</v>
      </c>
      <c r="I15" s="15">
        <f>18.9</f>
        <v>18.899999999999999</v>
      </c>
      <c r="J15" s="15"/>
      <c r="K15" s="15"/>
      <c r="L15" s="15"/>
      <c r="M15" s="15"/>
      <c r="N15" s="15"/>
      <c r="O15" s="15"/>
      <c r="P15" s="15"/>
      <c r="R15" s="14">
        <f t="shared" si="4"/>
        <v>1741.3500000000001</v>
      </c>
      <c r="S15" s="55"/>
      <c r="T15" s="50"/>
      <c r="U15" s="56" t="e">
        <f t="shared" si="5"/>
        <v>#DIV/0!</v>
      </c>
      <c r="V15" s="50"/>
      <c r="X15" s="10"/>
    </row>
    <row r="16" spans="1:24" ht="18.75" hidden="1" customHeight="1" x14ac:dyDescent="0.25">
      <c r="A16" s="8"/>
      <c r="B16" s="261" t="s">
        <v>75</v>
      </c>
      <c r="C16" s="261"/>
      <c r="E16" s="15">
        <f>471.53+23</f>
        <v>494.53</v>
      </c>
      <c r="F16" s="15">
        <f>471.53+23</f>
        <v>494.53</v>
      </c>
      <c r="G16" s="15">
        <f>23+471.53</f>
        <v>494.53</v>
      </c>
      <c r="H16" s="15">
        <f>23+471.53</f>
        <v>494.53</v>
      </c>
      <c r="I16" s="15">
        <f>471.53+23</f>
        <v>494.53</v>
      </c>
      <c r="J16" s="15">
        <f>471.53+23</f>
        <v>494.53</v>
      </c>
      <c r="K16" s="15">
        <f>23</f>
        <v>23</v>
      </c>
      <c r="L16" s="15">
        <f>423.03+13.95</f>
        <v>436.97999999999996</v>
      </c>
      <c r="M16" s="15">
        <f>471.53+513.46+20.63</f>
        <v>1005.62</v>
      </c>
      <c r="N16" s="15">
        <f>23+25.05</f>
        <v>48.05</v>
      </c>
      <c r="O16" s="15"/>
      <c r="P16" s="15"/>
      <c r="R16" s="14">
        <f t="shared" si="4"/>
        <v>4480.83</v>
      </c>
      <c r="S16" s="55"/>
      <c r="T16" s="50"/>
      <c r="U16" s="56" t="e">
        <f t="shared" si="5"/>
        <v>#DIV/0!</v>
      </c>
      <c r="V16" s="50"/>
      <c r="X16" s="10"/>
    </row>
    <row r="17" spans="1:24" ht="18.75" hidden="1" customHeight="1" x14ac:dyDescent="0.25">
      <c r="A17" s="8"/>
      <c r="B17" s="89" t="s">
        <v>76</v>
      </c>
      <c r="C17" s="60"/>
      <c r="E17" s="15"/>
      <c r="F17" s="15"/>
      <c r="G17" s="15"/>
      <c r="H17" s="15"/>
      <c r="I17" s="15"/>
      <c r="J17" s="15"/>
      <c r="K17" s="15">
        <f>286.05*2</f>
        <v>572.1</v>
      </c>
      <c r="L17" s="15">
        <f>13.95+185</f>
        <v>198.95</v>
      </c>
      <c r="M17" s="15"/>
      <c r="N17" s="15"/>
      <c r="O17" s="15"/>
      <c r="P17" s="15"/>
      <c r="R17" s="14">
        <f t="shared" si="4"/>
        <v>771.05</v>
      </c>
      <c r="S17" s="55"/>
      <c r="T17" s="50"/>
      <c r="U17" s="56" t="e">
        <f t="shared" si="5"/>
        <v>#DIV/0!</v>
      </c>
      <c r="V17" s="50"/>
      <c r="X17" s="10"/>
    </row>
    <row r="18" spans="1:24" ht="18.75" hidden="1" customHeight="1" x14ac:dyDescent="0.25">
      <c r="A18" s="8"/>
      <c r="B18" s="243" t="s">
        <v>25</v>
      </c>
      <c r="C18" s="243"/>
      <c r="E18" s="15"/>
      <c r="F18" s="15"/>
      <c r="G18" s="15"/>
      <c r="H18" s="15">
        <v>881.3</v>
      </c>
      <c r="I18" s="15"/>
      <c r="J18" s="15"/>
      <c r="K18" s="15"/>
      <c r="L18" s="15"/>
      <c r="M18" s="15"/>
      <c r="N18" s="15"/>
      <c r="O18" s="15"/>
      <c r="P18" s="15"/>
      <c r="R18" s="14">
        <f t="shared" si="4"/>
        <v>881.3</v>
      </c>
      <c r="S18" s="55"/>
      <c r="T18" s="50"/>
      <c r="U18" s="56" t="e">
        <f t="shared" si="5"/>
        <v>#DIV/0!</v>
      </c>
      <c r="V18" s="50"/>
      <c r="X18" s="10"/>
    </row>
    <row r="19" spans="1:24" ht="18.75" hidden="1" customHeight="1" x14ac:dyDescent="0.25">
      <c r="A19" s="8"/>
      <c r="B19" s="261" t="s">
        <v>77</v>
      </c>
      <c r="C19" s="261"/>
      <c r="E19" s="15"/>
      <c r="F19" s="15"/>
      <c r="G19" s="15">
        <v>230</v>
      </c>
      <c r="H19" s="15"/>
      <c r="I19" s="15">
        <f>115</f>
        <v>115</v>
      </c>
      <c r="J19" s="15">
        <f>115+170</f>
        <v>285</v>
      </c>
      <c r="K19" s="15">
        <v>170</v>
      </c>
      <c r="L19" s="15">
        <v>170</v>
      </c>
      <c r="M19" s="15"/>
      <c r="N19" s="15"/>
      <c r="O19" s="15"/>
      <c r="P19" s="15">
        <f>365+630</f>
        <v>995</v>
      </c>
      <c r="R19" s="14">
        <f t="shared" si="4"/>
        <v>1965</v>
      </c>
      <c r="S19" s="55"/>
      <c r="T19" s="50"/>
      <c r="U19" s="56" t="e">
        <f t="shared" si="5"/>
        <v>#DIV/0!</v>
      </c>
      <c r="V19" s="50"/>
      <c r="X19" s="10"/>
    </row>
    <row r="20" spans="1:24" ht="18.75" hidden="1" customHeight="1" x14ac:dyDescent="0.25">
      <c r="A20" s="8"/>
      <c r="B20" s="262" t="s">
        <v>78</v>
      </c>
      <c r="C20" s="262"/>
      <c r="E20" s="15">
        <v>381.4</v>
      </c>
      <c r="F20" s="15">
        <v>18.600000000000001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R20" s="14">
        <f t="shared" si="4"/>
        <v>400</v>
      </c>
      <c r="S20" s="55"/>
      <c r="T20" s="50"/>
      <c r="U20" s="56" t="e">
        <f t="shared" si="5"/>
        <v>#DIV/0!</v>
      </c>
      <c r="V20" s="50"/>
      <c r="X20" s="10"/>
    </row>
    <row r="21" spans="1:24" x14ac:dyDescent="0.25">
      <c r="A21" s="8"/>
      <c r="B21" s="274" t="s">
        <v>117</v>
      </c>
      <c r="C21" s="266"/>
      <c r="E21" s="16">
        <v>224.33</v>
      </c>
      <c r="F21" s="16">
        <v>224.33</v>
      </c>
      <c r="G21" s="16">
        <v>224.33</v>
      </c>
      <c r="H21" s="16">
        <v>224.33</v>
      </c>
      <c r="I21" s="15">
        <v>224.33</v>
      </c>
      <c r="J21" s="16">
        <v>224.33</v>
      </c>
      <c r="K21" s="16">
        <v>224.33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R21" s="14"/>
      <c r="S21" s="55">
        <f>AVERAGE(E21:P21)</f>
        <v>130.85916666666665</v>
      </c>
      <c r="T21" s="50"/>
      <c r="U21" s="56">
        <f>S21/S52</f>
        <v>1.7806392709410967E-3</v>
      </c>
      <c r="V21" s="50"/>
      <c r="X21" s="10"/>
    </row>
    <row r="22" spans="1:24" ht="18.75" customHeight="1" x14ac:dyDescent="0.25">
      <c r="A22" s="8"/>
      <c r="B22" s="261" t="s">
        <v>26</v>
      </c>
      <c r="C22" s="261"/>
      <c r="E22" s="16">
        <v>0</v>
      </c>
      <c r="F22" s="16">
        <v>0</v>
      </c>
      <c r="G22" s="16">
        <v>105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14"/>
      <c r="S22" s="55">
        <f>AVERAGE(E22:P22)</f>
        <v>8.75</v>
      </c>
      <c r="T22" s="50"/>
      <c r="U22" s="56">
        <f>S22/S52</f>
        <v>1.1906383035758237E-4</v>
      </c>
      <c r="V22" s="50"/>
      <c r="X22" s="10"/>
    </row>
    <row r="23" spans="1:24" ht="18.75" customHeight="1" x14ac:dyDescent="0.25">
      <c r="A23" s="8"/>
      <c r="B23" s="261" t="s">
        <v>27</v>
      </c>
      <c r="C23" s="261"/>
      <c r="E23" s="15">
        <f>333.01+16.24</f>
        <v>349.25</v>
      </c>
      <c r="F23" s="15">
        <f>16.24+333.01</f>
        <v>349.25</v>
      </c>
      <c r="G23" s="15">
        <f t="shared" ref="G23:P23" si="6">333.01+16.24</f>
        <v>349.25</v>
      </c>
      <c r="H23" s="15">
        <f t="shared" si="6"/>
        <v>349.25</v>
      </c>
      <c r="I23" s="15">
        <f t="shared" si="6"/>
        <v>349.25</v>
      </c>
      <c r="J23" s="15">
        <f t="shared" si="6"/>
        <v>349.25</v>
      </c>
      <c r="K23" s="15">
        <f t="shared" si="6"/>
        <v>349.25</v>
      </c>
      <c r="L23" s="15">
        <f t="shared" si="6"/>
        <v>349.25</v>
      </c>
      <c r="M23" s="15">
        <f t="shared" si="6"/>
        <v>349.25</v>
      </c>
      <c r="N23" s="15">
        <f t="shared" si="6"/>
        <v>349.25</v>
      </c>
      <c r="O23" s="15">
        <f t="shared" si="6"/>
        <v>349.25</v>
      </c>
      <c r="P23" s="15">
        <f t="shared" si="6"/>
        <v>349.25</v>
      </c>
      <c r="R23" s="14"/>
      <c r="S23" s="55">
        <f>AVERAGE(E23:P23)</f>
        <v>349.25</v>
      </c>
      <c r="T23" s="50"/>
      <c r="U23" s="56">
        <f>S23/S52</f>
        <v>4.7523477431297874E-3</v>
      </c>
      <c r="V23" s="50"/>
      <c r="X23" s="10"/>
    </row>
    <row r="24" spans="1:24" ht="18.75" customHeight="1" x14ac:dyDescent="0.25">
      <c r="A24" s="8"/>
      <c r="B24" s="260" t="s">
        <v>101</v>
      </c>
      <c r="C24" s="260"/>
      <c r="E24" s="52">
        <f>SUM(E25:E26)</f>
        <v>43349.5</v>
      </c>
      <c r="F24" s="52">
        <f t="shared" ref="F24:P24" si="7">SUM(F25:F26)</f>
        <v>42921.420000000006</v>
      </c>
      <c r="G24" s="52">
        <f t="shared" si="7"/>
        <v>43329.58</v>
      </c>
      <c r="H24" s="52">
        <f t="shared" si="7"/>
        <v>42443.840000000004</v>
      </c>
      <c r="I24" s="52">
        <f t="shared" si="7"/>
        <v>44257.16</v>
      </c>
      <c r="J24" s="52">
        <f t="shared" si="7"/>
        <v>43350.5</v>
      </c>
      <c r="K24" s="52">
        <f t="shared" si="7"/>
        <v>43350.5</v>
      </c>
      <c r="L24" s="52">
        <f t="shared" si="7"/>
        <v>43350.5</v>
      </c>
      <c r="M24" s="52">
        <f t="shared" si="7"/>
        <v>43350.5</v>
      </c>
      <c r="N24" s="52">
        <f t="shared" si="7"/>
        <v>45408.840000000004</v>
      </c>
      <c r="O24" s="52">
        <f t="shared" si="7"/>
        <v>45509.229999999996</v>
      </c>
      <c r="P24" s="52">
        <f t="shared" si="7"/>
        <v>45509.229999999996</v>
      </c>
      <c r="Q24" s="50"/>
      <c r="R24" s="54"/>
      <c r="S24" s="59">
        <f>SUM(S25:S26)</f>
        <v>43844.23333333333</v>
      </c>
      <c r="T24" s="50"/>
      <c r="U24" s="54">
        <f>SUM(U25:U26)</f>
        <v>0.59660141254380095</v>
      </c>
      <c r="V24" s="50"/>
      <c r="X24" s="10"/>
    </row>
    <row r="25" spans="1:24" ht="18.75" customHeight="1" x14ac:dyDescent="0.25">
      <c r="A25" s="8"/>
      <c r="B25" s="265" t="s">
        <v>102</v>
      </c>
      <c r="C25" s="266"/>
      <c r="E25" s="15">
        <f>29067.74+695.91+3413.25+1618.01</f>
        <v>34794.910000000003</v>
      </c>
      <c r="F25" s="15">
        <f t="shared" ref="F25:M25" si="8">29068.74+695.91+3413.25+1618.01</f>
        <v>34795.910000000003</v>
      </c>
      <c r="G25" s="15">
        <f t="shared" si="8"/>
        <v>34795.910000000003</v>
      </c>
      <c r="H25" s="15">
        <f t="shared" si="8"/>
        <v>34795.910000000003</v>
      </c>
      <c r="I25" s="15">
        <f t="shared" si="8"/>
        <v>34795.910000000003</v>
      </c>
      <c r="J25" s="15">
        <f t="shared" si="8"/>
        <v>34795.910000000003</v>
      </c>
      <c r="K25" s="15">
        <f t="shared" si="8"/>
        <v>34795.910000000003</v>
      </c>
      <c r="L25" s="15">
        <f t="shared" si="8"/>
        <v>34795.910000000003</v>
      </c>
      <c r="M25" s="15">
        <f t="shared" si="8"/>
        <v>34795.910000000003</v>
      </c>
      <c r="N25" s="15">
        <f>30466.93+729.39+3577.43+1618.01</f>
        <v>36391.760000000002</v>
      </c>
      <c r="O25" s="15">
        <f>30466.93+729.39+3577.43+1695.84</f>
        <v>36469.589999999997</v>
      </c>
      <c r="P25" s="126">
        <f>30466.93+729.39+3577.43+1695.84</f>
        <v>36469.589999999997</v>
      </c>
      <c r="R25" s="14"/>
      <c r="S25" s="55">
        <f>AVERAGE(E25:P25)</f>
        <v>35207.760833333334</v>
      </c>
      <c r="T25" s="50"/>
      <c r="U25" s="56">
        <f>S25/S52</f>
        <v>0.47908238435775236</v>
      </c>
      <c r="V25" s="50"/>
      <c r="X25" s="10"/>
    </row>
    <row r="26" spans="1:24" ht="18.75" customHeight="1" x14ac:dyDescent="0.25">
      <c r="A26" s="8"/>
      <c r="B26" s="265" t="s">
        <v>40</v>
      </c>
      <c r="C26" s="266"/>
      <c r="E26" s="15">
        <f>7250.14+171.09+735.57+397.79</f>
        <v>8554.59</v>
      </c>
      <c r="F26" s="15">
        <f>6830.06+162.09+735.57+397.79</f>
        <v>8125.51</v>
      </c>
      <c r="G26" s="15">
        <f>7250.14+171.09+735.57+376.87</f>
        <v>8533.67</v>
      </c>
      <c r="H26" s="15">
        <f>7250.14+397.79</f>
        <v>7647.93</v>
      </c>
      <c r="I26" s="15">
        <f>7250.14+171.09+171.09+735.57+735.57+397.79</f>
        <v>9461.2500000000018</v>
      </c>
      <c r="J26" s="15">
        <f>7250.14+171.09+735.57+397.79</f>
        <v>8554.59</v>
      </c>
      <c r="K26" s="15">
        <f>7250.14+171.09+735.57+397.79</f>
        <v>8554.59</v>
      </c>
      <c r="L26" s="15">
        <f>7250.14+171.09+735.57+397.79</f>
        <v>8554.59</v>
      </c>
      <c r="M26" s="15">
        <f>7250.14+171.09+735.57+397.79</f>
        <v>8554.59</v>
      </c>
      <c r="N26" s="15">
        <f>7661.23+180.79+777.27+397.79</f>
        <v>9017.08</v>
      </c>
      <c r="O26" s="15">
        <f>7661.23+180.79+777.27+420.35</f>
        <v>9039.64</v>
      </c>
      <c r="P26" s="15">
        <f>7661.23+180.79+777.27+420.35</f>
        <v>9039.64</v>
      </c>
      <c r="R26" s="14"/>
      <c r="S26" s="55">
        <f>AVERAGE(E26:P26)</f>
        <v>8636.472499999998</v>
      </c>
      <c r="T26" s="50"/>
      <c r="U26" s="56">
        <f>S26/S52</f>
        <v>0.11751902818604858</v>
      </c>
      <c r="V26" s="50"/>
      <c r="X26" s="10"/>
    </row>
    <row r="27" spans="1:24" x14ac:dyDescent="0.25">
      <c r="A27" s="8"/>
      <c r="B27" s="256" t="s">
        <v>28</v>
      </c>
      <c r="C27" s="256"/>
      <c r="E27" s="52">
        <f t="shared" ref="E27:P27" si="9">SUM(E28:E29)</f>
        <v>558</v>
      </c>
      <c r="F27" s="52">
        <f t="shared" si="9"/>
        <v>572.54000000000008</v>
      </c>
      <c r="G27" s="52">
        <f t="shared" si="9"/>
        <v>603.9</v>
      </c>
      <c r="H27" s="52">
        <f t="shared" si="9"/>
        <v>608.25</v>
      </c>
      <c r="I27" s="52">
        <f t="shared" si="9"/>
        <v>608.19000000000005</v>
      </c>
      <c r="J27" s="52">
        <f t="shared" si="9"/>
        <v>603.04</v>
      </c>
      <c r="K27" s="52">
        <f t="shared" si="9"/>
        <v>788.19</v>
      </c>
      <c r="L27" s="52">
        <f t="shared" si="9"/>
        <v>602.16999999999996</v>
      </c>
      <c r="M27" s="52">
        <f t="shared" si="9"/>
        <v>600.47</v>
      </c>
      <c r="N27" s="52">
        <f t="shared" si="9"/>
        <v>591.70000000000005</v>
      </c>
      <c r="O27" s="52">
        <f t="shared" si="9"/>
        <v>600.14</v>
      </c>
      <c r="P27" s="52">
        <f t="shared" si="9"/>
        <v>589.42000000000007</v>
      </c>
      <c r="R27" s="11">
        <f>SUM(R28:R29)</f>
        <v>7326.010000000002</v>
      </c>
      <c r="S27" s="53">
        <f>SUM(S28:S29)</f>
        <v>610.5008333333335</v>
      </c>
      <c r="T27" s="50"/>
      <c r="U27" s="54">
        <f>SUM(U28:U29)</f>
        <v>8.3072648746471654E-3</v>
      </c>
      <c r="V27" s="50"/>
      <c r="W27" s="17"/>
      <c r="X27" s="10"/>
    </row>
    <row r="28" spans="1:24" ht="18.75" customHeight="1" x14ac:dyDescent="0.25">
      <c r="A28" s="8"/>
      <c r="B28" s="272" t="s">
        <v>29</v>
      </c>
      <c r="C28" s="272"/>
      <c r="E28" s="15">
        <f>92.92+92.92</f>
        <v>185.84</v>
      </c>
      <c r="F28" s="15">
        <f>93.67+93.67</f>
        <v>187.34</v>
      </c>
      <c r="G28" s="15">
        <f>94.95+94.95</f>
        <v>189.9</v>
      </c>
      <c r="H28" s="15">
        <f>99.37+99.37</f>
        <v>198.74</v>
      </c>
      <c r="I28" s="15">
        <f>102.47+102.47</f>
        <v>204.94</v>
      </c>
      <c r="J28" s="15">
        <f>100.76+100.76</f>
        <v>201.52</v>
      </c>
      <c r="K28" s="15">
        <f>99.81+99.81</f>
        <v>199.62</v>
      </c>
      <c r="L28" s="15">
        <f>100.72+101.32</f>
        <v>202.04</v>
      </c>
      <c r="M28" s="15">
        <f>96.8+99.06</f>
        <v>195.86</v>
      </c>
      <c r="N28" s="15">
        <f>95.46+97.27</f>
        <v>192.73</v>
      </c>
      <c r="O28" s="15">
        <f>97.79+97.79</f>
        <v>195.58</v>
      </c>
      <c r="P28" s="15">
        <f>94.43+94.43</f>
        <v>188.86</v>
      </c>
      <c r="R28" s="14">
        <f>SUM(E28:P28)</f>
        <v>2342.9700000000003</v>
      </c>
      <c r="S28" s="55">
        <f>AVERAGE(E28:P28)</f>
        <v>195.24750000000003</v>
      </c>
      <c r="T28" s="50"/>
      <c r="U28" s="56">
        <f>S28/S52</f>
        <v>2.6567903105990933E-3</v>
      </c>
      <c r="V28" s="50"/>
      <c r="X28" s="10"/>
    </row>
    <row r="29" spans="1:24" ht="18.75" customHeight="1" x14ac:dyDescent="0.25">
      <c r="A29" s="8"/>
      <c r="B29" s="273" t="s">
        <v>98</v>
      </c>
      <c r="C29" s="273"/>
      <c r="E29" s="15">
        <f>182.16+190</f>
        <v>372.15999999999997</v>
      </c>
      <c r="F29" s="133">
        <f>179.49+205.71</f>
        <v>385.20000000000005</v>
      </c>
      <c r="G29" s="15">
        <f>208.29+205.71</f>
        <v>414</v>
      </c>
      <c r="H29" s="15">
        <f>203.8+205.71</f>
        <v>409.51</v>
      </c>
      <c r="I29" s="15">
        <f>197.54+205.71</f>
        <v>403.25</v>
      </c>
      <c r="J29" s="15">
        <f>195.81+205.71</f>
        <v>401.52</v>
      </c>
      <c r="K29" s="15">
        <f>382.86+205.71</f>
        <v>588.57000000000005</v>
      </c>
      <c r="L29" s="15">
        <f>194.42+205.71</f>
        <v>400.13</v>
      </c>
      <c r="M29" s="15">
        <f>198.9+205.71</f>
        <v>404.61</v>
      </c>
      <c r="N29" s="15">
        <f>193.26+205.71</f>
        <v>398.97</v>
      </c>
      <c r="O29" s="15">
        <f>198.85+205.71</f>
        <v>404.56</v>
      </c>
      <c r="P29" s="15">
        <f>196.07+204.49</f>
        <v>400.56</v>
      </c>
      <c r="R29" s="14">
        <f>SUM(E29:P29)</f>
        <v>4983.0400000000018</v>
      </c>
      <c r="S29" s="55">
        <f>AVERAGE(E29:P29)</f>
        <v>415.2533333333335</v>
      </c>
      <c r="T29" s="50"/>
      <c r="U29" s="56">
        <f>S29/S52</f>
        <v>5.6504745640480712E-3</v>
      </c>
      <c r="V29" s="50"/>
      <c r="X29" s="10"/>
    </row>
    <row r="30" spans="1:24" x14ac:dyDescent="0.25">
      <c r="A30" s="8"/>
      <c r="B30" s="260" t="s">
        <v>31</v>
      </c>
      <c r="C30" s="260"/>
      <c r="E30" s="61">
        <v>488.49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R30" s="11">
        <f>SUM(R31:R32)</f>
        <v>976.98</v>
      </c>
      <c r="S30" s="53">
        <f>AVERAGE(E30:P30)</f>
        <v>40.707500000000003</v>
      </c>
      <c r="T30" s="50"/>
      <c r="U30" s="54">
        <f>S30/S52</f>
        <v>5.5391895706071825E-4</v>
      </c>
      <c r="V30" s="50"/>
      <c r="W30" s="17"/>
      <c r="X30" s="10"/>
    </row>
    <row r="31" spans="1:24" ht="18.75" hidden="1" customHeight="1" x14ac:dyDescent="0.25">
      <c r="A31" s="8"/>
      <c r="B31" s="263" t="s">
        <v>32</v>
      </c>
      <c r="C31" s="263"/>
      <c r="E31" s="19"/>
      <c r="F31" s="19"/>
      <c r="G31" s="19"/>
      <c r="H31" s="19"/>
      <c r="I31" s="19"/>
      <c r="J31" s="19"/>
      <c r="K31" s="19"/>
      <c r="L31" s="19"/>
      <c r="M31" s="19">
        <f>162.83*6</f>
        <v>976.98</v>
      </c>
      <c r="N31" s="19"/>
      <c r="O31" s="19"/>
      <c r="P31" s="19"/>
      <c r="R31" s="14">
        <f>SUM(E31:P31)</f>
        <v>976.98</v>
      </c>
      <c r="S31" s="55"/>
      <c r="T31" s="50"/>
      <c r="U31" s="62" t="e">
        <f>S31/S94</f>
        <v>#DIV/0!</v>
      </c>
      <c r="V31" s="50"/>
      <c r="X31" s="10"/>
    </row>
    <row r="32" spans="1:24" ht="18.75" hidden="1" customHeight="1" x14ac:dyDescent="0.25">
      <c r="A32" s="8"/>
      <c r="B32" s="63" t="s">
        <v>33</v>
      </c>
      <c r="C32" s="64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R32" s="14"/>
      <c r="S32" s="55"/>
      <c r="T32" s="50"/>
      <c r="U32" s="62" t="e">
        <f>S32/S95</f>
        <v>#DIV/0!</v>
      </c>
      <c r="V32" s="50"/>
      <c r="X32" s="10"/>
    </row>
    <row r="33" spans="1:24" x14ac:dyDescent="0.25">
      <c r="A33" s="8"/>
      <c r="B33" s="256" t="s">
        <v>34</v>
      </c>
      <c r="C33" s="256"/>
      <c r="E33" s="52">
        <f t="shared" ref="E33:P33" si="10">SUM(E34:E42)</f>
        <v>17699.849999999999</v>
      </c>
      <c r="F33" s="52">
        <f t="shared" si="10"/>
        <v>16377.310000000001</v>
      </c>
      <c r="G33" s="52">
        <f t="shared" si="10"/>
        <v>16307.57</v>
      </c>
      <c r="H33" s="52">
        <f t="shared" si="10"/>
        <v>16307.57</v>
      </c>
      <c r="I33" s="52">
        <f t="shared" si="10"/>
        <v>10699.02</v>
      </c>
      <c r="J33" s="52">
        <f t="shared" si="10"/>
        <v>10425.51</v>
      </c>
      <c r="K33" s="52">
        <f t="shared" si="10"/>
        <v>9008.99</v>
      </c>
      <c r="L33" s="52">
        <f t="shared" si="10"/>
        <v>21190.260000000002</v>
      </c>
      <c r="M33" s="52">
        <f t="shared" si="10"/>
        <v>16722.7</v>
      </c>
      <c r="N33" s="52">
        <f t="shared" si="10"/>
        <v>9885.02</v>
      </c>
      <c r="O33" s="52">
        <f t="shared" si="10"/>
        <v>13898.46</v>
      </c>
      <c r="P33" s="52">
        <f t="shared" si="10"/>
        <v>20542.36</v>
      </c>
      <c r="R33" s="11">
        <f>SUM(R34:R42)</f>
        <v>91458.729999999981</v>
      </c>
      <c r="S33" s="53">
        <f>SUM(S34:S42)</f>
        <v>14953.301666666666</v>
      </c>
      <c r="T33" s="50"/>
      <c r="U33" s="54">
        <f>SUM(U34:U42)</f>
        <v>0.203473985477229</v>
      </c>
      <c r="V33" s="50"/>
      <c r="W33" s="17"/>
      <c r="X33" s="10"/>
    </row>
    <row r="34" spans="1:24" ht="18.75" customHeight="1" x14ac:dyDescent="0.25">
      <c r="A34" s="8"/>
      <c r="B34" s="264" t="s">
        <v>35</v>
      </c>
      <c r="C34" s="264"/>
      <c r="E34" s="15">
        <f>5608.54+195.3</f>
        <v>5803.84</v>
      </c>
      <c r="F34" s="134">
        <f>5608.54+273.51</f>
        <v>5882.05</v>
      </c>
      <c r="G34" s="15">
        <f>5608.54+273.52</f>
        <v>5882.0599999999995</v>
      </c>
      <c r="H34" s="15">
        <f>5608.54+273.52</f>
        <v>5882.0599999999995</v>
      </c>
      <c r="I34" s="15">
        <f>273.51</f>
        <v>273.51</v>
      </c>
      <c r="J34" s="16">
        <v>0</v>
      </c>
      <c r="K34" s="16">
        <v>0</v>
      </c>
      <c r="L34" s="15">
        <f>5639.73+5608.54</f>
        <v>11248.27</v>
      </c>
      <c r="M34" s="15">
        <f>273.51+273.52+5608.54</f>
        <v>6155.57</v>
      </c>
      <c r="N34" s="15">
        <v>273.51</v>
      </c>
      <c r="O34" s="15">
        <f>4334.83</f>
        <v>4334.83</v>
      </c>
      <c r="P34" s="15">
        <f>4334.83+211.4</f>
        <v>4546.2299999999996</v>
      </c>
      <c r="R34" s="14">
        <f>SUM(E34:P34)</f>
        <v>50281.929999999993</v>
      </c>
      <c r="S34" s="55">
        <f>AVERAGE(E34:P34)</f>
        <v>4190.1608333333324</v>
      </c>
      <c r="T34" s="50"/>
      <c r="U34" s="56">
        <f>S34/S52</f>
        <v>5.7016754129255526E-2</v>
      </c>
      <c r="V34" s="50"/>
      <c r="X34" s="10"/>
    </row>
    <row r="35" spans="1:24" ht="18.75" customHeight="1" x14ac:dyDescent="0.25">
      <c r="A35" s="8"/>
      <c r="B35" s="265" t="s">
        <v>94</v>
      </c>
      <c r="C35" s="266"/>
      <c r="E35" s="15">
        <v>375</v>
      </c>
      <c r="F35" s="15">
        <v>375</v>
      </c>
      <c r="G35" s="15">
        <v>375</v>
      </c>
      <c r="H35" s="15">
        <v>375</v>
      </c>
      <c r="I35" s="15">
        <v>375</v>
      </c>
      <c r="J35" s="15">
        <v>375</v>
      </c>
      <c r="K35" s="15">
        <v>375</v>
      </c>
      <c r="L35" s="15">
        <v>375</v>
      </c>
      <c r="M35" s="15">
        <v>375</v>
      </c>
      <c r="N35" s="15">
        <v>375</v>
      </c>
      <c r="O35" s="15">
        <v>375</v>
      </c>
      <c r="P35" s="15"/>
      <c r="R35" s="14"/>
      <c r="S35" s="55">
        <f t="shared" ref="S35:S38" si="11">AVERAGE(E35:P35)</f>
        <v>375</v>
      </c>
      <c r="T35" s="50"/>
      <c r="U35" s="56">
        <f>S35/S52</f>
        <v>5.10273558675353E-3</v>
      </c>
      <c r="V35" s="50"/>
      <c r="X35" s="10"/>
    </row>
    <row r="36" spans="1:24" ht="18.75" customHeight="1" x14ac:dyDescent="0.25">
      <c r="A36" s="8"/>
      <c r="B36" s="265" t="s">
        <v>100</v>
      </c>
      <c r="C36" s="266"/>
      <c r="E36" s="15">
        <f>957.69+46.7+46.7</f>
        <v>1051.0900000000001</v>
      </c>
      <c r="F36" s="15">
        <f>957.69+46.7</f>
        <v>1004.3900000000001</v>
      </c>
      <c r="G36" s="15">
        <f>957.69+46.7</f>
        <v>1004.3900000000001</v>
      </c>
      <c r="H36" s="15">
        <f>46.7+957.69</f>
        <v>1004.3900000000001</v>
      </c>
      <c r="I36" s="15">
        <f>957.69+46.7</f>
        <v>1004.3900000000001</v>
      </c>
      <c r="J36" s="15">
        <f>957.69+46.7</f>
        <v>1004.3900000000001</v>
      </c>
      <c r="K36" s="15">
        <f>971.42+46.7</f>
        <v>1018.12</v>
      </c>
      <c r="L36" s="15">
        <f>47.37</f>
        <v>47.37</v>
      </c>
      <c r="M36" s="15">
        <f>981.63+981.63</f>
        <v>1963.26</v>
      </c>
      <c r="N36" s="15">
        <f>981.64+47.88+47.87</f>
        <v>1077.3899999999999</v>
      </c>
      <c r="O36" s="15">
        <f>981.64+47.87</f>
        <v>1029.51</v>
      </c>
      <c r="P36" s="15">
        <f>981.64+47.87</f>
        <v>1029.51</v>
      </c>
      <c r="R36" s="14"/>
      <c r="S36" s="55">
        <f t="shared" si="11"/>
        <v>1019.85</v>
      </c>
      <c r="T36" s="50"/>
      <c r="U36" s="56">
        <f>S36/S52</f>
        <v>1.3877399701734901E-2</v>
      </c>
      <c r="V36" s="50"/>
      <c r="X36" s="10"/>
    </row>
    <row r="37" spans="1:24" ht="18.75" customHeight="1" x14ac:dyDescent="0.25">
      <c r="A37" s="8"/>
      <c r="B37" s="265" t="s">
        <v>95</v>
      </c>
      <c r="C37" s="266"/>
      <c r="E37" s="15">
        <v>887</v>
      </c>
      <c r="F37" s="15">
        <v>887</v>
      </c>
      <c r="G37" s="15">
        <v>887</v>
      </c>
      <c r="H37" s="15">
        <v>887</v>
      </c>
      <c r="I37" s="15">
        <v>887</v>
      </c>
      <c r="J37" s="15">
        <v>887</v>
      </c>
      <c r="K37" s="15">
        <v>887</v>
      </c>
      <c r="L37" s="127">
        <v>0</v>
      </c>
      <c r="M37" s="127">
        <v>0</v>
      </c>
      <c r="N37" s="127">
        <v>0</v>
      </c>
      <c r="O37" s="127">
        <v>0</v>
      </c>
      <c r="P37" s="15">
        <f>1557.5+1557.5+1557.5+1557.5+192.5+192.5+192.5</f>
        <v>6807.5</v>
      </c>
      <c r="R37" s="14"/>
      <c r="S37" s="55">
        <f t="shared" si="11"/>
        <v>1084.7083333333333</v>
      </c>
      <c r="T37" s="50"/>
      <c r="U37" s="56">
        <f>S37/S52</f>
        <v>1.475994616999496E-2</v>
      </c>
      <c r="V37" s="50"/>
      <c r="X37" s="10"/>
    </row>
    <row r="38" spans="1:24" ht="18.75" customHeight="1" x14ac:dyDescent="0.25">
      <c r="A38" s="8"/>
      <c r="B38" s="113" t="s">
        <v>96</v>
      </c>
      <c r="C38" s="60"/>
      <c r="E38" s="15">
        <f>112.98+105</f>
        <v>217.98000000000002</v>
      </c>
      <c r="F38" s="15">
        <f t="shared" ref="F38:L38" si="12">113.68+112.98</f>
        <v>226.66000000000003</v>
      </c>
      <c r="G38" s="15">
        <f t="shared" si="12"/>
        <v>226.66000000000003</v>
      </c>
      <c r="H38" s="15">
        <f t="shared" si="12"/>
        <v>226.66000000000003</v>
      </c>
      <c r="I38" s="15">
        <f t="shared" si="12"/>
        <v>226.66000000000003</v>
      </c>
      <c r="J38" s="15">
        <f t="shared" si="12"/>
        <v>226.66000000000003</v>
      </c>
      <c r="K38" s="15">
        <f t="shared" si="12"/>
        <v>226.66000000000003</v>
      </c>
      <c r="L38" s="15">
        <f t="shared" si="12"/>
        <v>226.66000000000003</v>
      </c>
      <c r="M38" s="15">
        <f>112.98+113.68</f>
        <v>226.66000000000003</v>
      </c>
      <c r="N38" s="15">
        <f>113.68+112.98</f>
        <v>226.66000000000003</v>
      </c>
      <c r="O38" s="15">
        <f>113.68+112.98</f>
        <v>226.66000000000003</v>
      </c>
      <c r="P38" s="15">
        <f>113.68+112.98</f>
        <v>226.66000000000003</v>
      </c>
      <c r="R38" s="14"/>
      <c r="S38" s="55">
        <f t="shared" si="11"/>
        <v>225.9366666666667</v>
      </c>
      <c r="T38" s="50"/>
      <c r="U38" s="56">
        <f>S38/S52</f>
        <v>3.0743868516065875E-3</v>
      </c>
      <c r="V38" s="50"/>
      <c r="X38" s="10"/>
    </row>
    <row r="39" spans="1:24" ht="18.75" customHeight="1" x14ac:dyDescent="0.25">
      <c r="A39" s="8"/>
      <c r="B39" s="265" t="s">
        <v>36</v>
      </c>
      <c r="C39" s="266"/>
      <c r="E39" s="126">
        <f>3272.85+146.89</f>
        <v>3419.74</v>
      </c>
      <c r="F39" s="15">
        <f t="shared" ref="F39:P39" si="13">3272.85+159.61</f>
        <v>3432.46</v>
      </c>
      <c r="G39" s="15">
        <f t="shared" si="13"/>
        <v>3432.46</v>
      </c>
      <c r="H39" s="15">
        <f t="shared" si="13"/>
        <v>3432.46</v>
      </c>
      <c r="I39" s="15">
        <f t="shared" si="13"/>
        <v>3432.46</v>
      </c>
      <c r="J39" s="15">
        <f t="shared" si="13"/>
        <v>3432.46</v>
      </c>
      <c r="K39" s="15">
        <f t="shared" si="13"/>
        <v>3432.46</v>
      </c>
      <c r="L39" s="15">
        <f t="shared" si="13"/>
        <v>3432.46</v>
      </c>
      <c r="M39" s="15">
        <f t="shared" si="13"/>
        <v>3432.46</v>
      </c>
      <c r="N39" s="15">
        <f t="shared" si="13"/>
        <v>3432.46</v>
      </c>
      <c r="O39" s="15">
        <f t="shared" si="13"/>
        <v>3432.46</v>
      </c>
      <c r="P39" s="15">
        <f t="shared" si="13"/>
        <v>3432.46</v>
      </c>
      <c r="R39" s="14">
        <f>SUM(E39:P39)</f>
        <v>41176.799999999996</v>
      </c>
      <c r="S39" s="55">
        <f>AVERAGE(E39:P39)</f>
        <v>3431.3999999999996</v>
      </c>
      <c r="T39" s="50"/>
      <c r="U39" s="56">
        <f>S39/S52</f>
        <v>4.6692071713029498E-2</v>
      </c>
      <c r="V39" s="50"/>
      <c r="X39" s="10"/>
    </row>
    <row r="40" spans="1:24" x14ac:dyDescent="0.25">
      <c r="A40" s="8"/>
      <c r="B40" s="265" t="s">
        <v>37</v>
      </c>
      <c r="C40" s="266"/>
      <c r="E40" s="15">
        <v>3000</v>
      </c>
      <c r="F40" s="15">
        <v>3000</v>
      </c>
      <c r="G40" s="15">
        <v>3000</v>
      </c>
      <c r="H40" s="15">
        <v>3000</v>
      </c>
      <c r="I40" s="15">
        <v>3000</v>
      </c>
      <c r="J40" s="15">
        <v>3000</v>
      </c>
      <c r="K40" s="15">
        <v>3000</v>
      </c>
      <c r="L40" s="15">
        <v>3000</v>
      </c>
      <c r="M40" s="15">
        <v>3000</v>
      </c>
      <c r="N40" s="15">
        <v>3000</v>
      </c>
      <c r="O40" s="15">
        <v>3000</v>
      </c>
      <c r="P40" s="15">
        <v>3000</v>
      </c>
      <c r="R40" s="14"/>
      <c r="S40" s="55">
        <f>AVERAGE(E40:P40)</f>
        <v>3000</v>
      </c>
      <c r="T40" s="50"/>
      <c r="U40" s="56">
        <f>S40/S52</f>
        <v>4.082188469402824E-2</v>
      </c>
      <c r="V40" s="50"/>
      <c r="X40" s="10"/>
    </row>
    <row r="41" spans="1:24" ht="19.5" customHeight="1" x14ac:dyDescent="0.25">
      <c r="A41" s="8"/>
      <c r="B41" s="265" t="s">
        <v>99</v>
      </c>
      <c r="C41" s="266"/>
      <c r="E41" s="15">
        <f>1430.25+1431.25+83.7</f>
        <v>2945.2</v>
      </c>
      <c r="F41" s="15">
        <f>1430.25+69.75+69.75</f>
        <v>1569.75</v>
      </c>
      <c r="G41" s="15">
        <f>1430.25+69.75</f>
        <v>1500</v>
      </c>
      <c r="H41" s="15">
        <f>1430.25+69.75</f>
        <v>1500</v>
      </c>
      <c r="I41" s="15">
        <f>1430.25+69.75</f>
        <v>1500</v>
      </c>
      <c r="J41" s="15">
        <f>1430.25+69.75</f>
        <v>1500</v>
      </c>
      <c r="K41" s="15">
        <v>69.75</v>
      </c>
      <c r="L41" s="15">
        <f>1430.25+1430.25</f>
        <v>2860.5</v>
      </c>
      <c r="M41" s="15">
        <f>1430.25+69.75+69.75</f>
        <v>1569.75</v>
      </c>
      <c r="N41" s="15">
        <f>1430.25+69.75</f>
        <v>1500</v>
      </c>
      <c r="O41" s="127">
        <f>1430.25+69.75</f>
        <v>1500</v>
      </c>
      <c r="P41" s="15">
        <f>1430.25+69.75</f>
        <v>1500</v>
      </c>
      <c r="R41" s="14"/>
      <c r="S41" s="55">
        <f t="shared" ref="S41" si="14">AVERAGE(E41:P41)</f>
        <v>1626.2458333333334</v>
      </c>
      <c r="T41" s="50"/>
      <c r="U41" s="56">
        <f>S41/S52</f>
        <v>2.2128806630825736E-2</v>
      </c>
      <c r="V41" s="50"/>
      <c r="X41" s="10"/>
    </row>
    <row r="42" spans="1:24" ht="15.75" customHeight="1" x14ac:dyDescent="0.25">
      <c r="A42" s="8"/>
      <c r="B42" s="261" t="s">
        <v>97</v>
      </c>
      <c r="C42" s="261"/>
      <c r="E42" s="127">
        <v>0</v>
      </c>
      <c r="F42" s="127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5"/>
      <c r="R42" s="14">
        <f>SUM(E42:P42)</f>
        <v>0</v>
      </c>
      <c r="S42" s="55">
        <f t="shared" ref="S42:S51" si="15">AVERAGE(E42:P42)</f>
        <v>0</v>
      </c>
      <c r="T42" s="50"/>
      <c r="U42" s="56">
        <f>S42/S52</f>
        <v>0</v>
      </c>
      <c r="V42" s="50"/>
      <c r="X42" s="10"/>
    </row>
    <row r="43" spans="1:24" x14ac:dyDescent="0.25">
      <c r="A43" s="8"/>
      <c r="B43" s="260" t="s">
        <v>38</v>
      </c>
      <c r="C43" s="260"/>
      <c r="D43" s="39"/>
      <c r="E43" s="52">
        <v>719.1</v>
      </c>
      <c r="F43" s="52">
        <v>306.29000000000002</v>
      </c>
      <c r="G43" s="52">
        <v>95.25</v>
      </c>
      <c r="H43" s="52">
        <v>29.25</v>
      </c>
      <c r="I43" s="52">
        <v>29.25</v>
      </c>
      <c r="J43" s="52">
        <v>29.25</v>
      </c>
      <c r="K43" s="52">
        <v>117.25</v>
      </c>
      <c r="L43" s="52">
        <v>181.15</v>
      </c>
      <c r="M43" s="52">
        <v>43.7</v>
      </c>
      <c r="N43" s="52">
        <v>27.3</v>
      </c>
      <c r="O43" s="52">
        <v>28.7</v>
      </c>
      <c r="P43" s="52">
        <v>30.75</v>
      </c>
      <c r="R43" s="11" t="e">
        <f>SUM(#REF!)</f>
        <v>#REF!</v>
      </c>
      <c r="S43" s="65">
        <f t="shared" si="15"/>
        <v>136.4366666666667</v>
      </c>
      <c r="T43" s="50"/>
      <c r="U43" s="62">
        <f>S43/S52</f>
        <v>1.8565339582347449E-3</v>
      </c>
      <c r="V43" s="50"/>
      <c r="W43" s="17"/>
      <c r="X43" s="10"/>
    </row>
    <row r="44" spans="1:24" x14ac:dyDescent="0.25">
      <c r="A44" s="8"/>
      <c r="B44" s="256" t="s">
        <v>39</v>
      </c>
      <c r="C44" s="256"/>
      <c r="D44" s="39"/>
      <c r="E44" s="61">
        <v>197.13</v>
      </c>
      <c r="F44" s="52">
        <v>664.09</v>
      </c>
      <c r="G44" s="61">
        <v>0</v>
      </c>
      <c r="H44" s="61">
        <v>915.54</v>
      </c>
      <c r="I44" s="52">
        <v>891.45</v>
      </c>
      <c r="J44" s="52">
        <v>718.58</v>
      </c>
      <c r="K44" s="61">
        <v>0</v>
      </c>
      <c r="L44" s="61">
        <v>0</v>
      </c>
      <c r="M44" s="52">
        <v>1470</v>
      </c>
      <c r="N44" s="52">
        <v>751.79</v>
      </c>
      <c r="O44" s="61">
        <v>0</v>
      </c>
      <c r="P44" s="61">
        <v>793.02</v>
      </c>
      <c r="R44" s="11" t="e">
        <f>SUM(#REF!)</f>
        <v>#REF!</v>
      </c>
      <c r="S44" s="65">
        <f t="shared" si="15"/>
        <v>533.4666666666667</v>
      </c>
      <c r="T44" s="50"/>
      <c r="U44" s="62">
        <f>S44/S52</f>
        <v>7.2590382515914228E-3</v>
      </c>
      <c r="V44" s="50"/>
      <c r="W44" s="18"/>
      <c r="X44" s="10"/>
    </row>
    <row r="45" spans="1:24" x14ac:dyDescent="0.25">
      <c r="A45" s="8"/>
      <c r="B45" s="260" t="s">
        <v>41</v>
      </c>
      <c r="C45" s="260"/>
      <c r="D45" s="39"/>
      <c r="E45" s="61">
        <v>1266.0899999999999</v>
      </c>
      <c r="F45" s="61">
        <v>0</v>
      </c>
      <c r="G45" s="61">
        <v>0</v>
      </c>
      <c r="H45" s="61">
        <v>15</v>
      </c>
      <c r="I45" s="61">
        <v>32</v>
      </c>
      <c r="J45" s="61">
        <v>16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  <c r="R45" s="11" t="e">
        <f>SUM(#REF!)</f>
        <v>#REF!</v>
      </c>
      <c r="S45" s="65">
        <f t="shared" si="15"/>
        <v>110.75749999999999</v>
      </c>
      <c r="T45" s="50"/>
      <c r="U45" s="62">
        <f>S45/S52</f>
        <v>1.5071099646662776E-3</v>
      </c>
      <c r="V45" s="50"/>
      <c r="W45" s="18"/>
      <c r="X45" s="10"/>
    </row>
    <row r="46" spans="1:24" x14ac:dyDescent="0.25">
      <c r="A46" s="8"/>
      <c r="B46" s="260" t="s">
        <v>42</v>
      </c>
      <c r="C46" s="260"/>
      <c r="D46" s="39"/>
      <c r="E46" s="61">
        <v>0</v>
      </c>
      <c r="F46" s="52">
        <v>3862.5</v>
      </c>
      <c r="G46" s="61">
        <v>1167.5</v>
      </c>
      <c r="H46" s="61">
        <v>2463.64</v>
      </c>
      <c r="I46" s="61">
        <v>726.84</v>
      </c>
      <c r="J46" s="61">
        <v>529.04999999999995</v>
      </c>
      <c r="K46" s="52">
        <v>2229.3000000000002</v>
      </c>
      <c r="L46" s="61">
        <v>4166.8999999999996</v>
      </c>
      <c r="M46" s="52">
        <v>934.75</v>
      </c>
      <c r="N46" s="52">
        <v>389.05</v>
      </c>
      <c r="O46" s="61">
        <f>306+200</f>
        <v>506</v>
      </c>
      <c r="P46" s="52">
        <f>419.05-389.05</f>
        <v>30</v>
      </c>
      <c r="R46" s="11" t="e">
        <f>SUM(#REF!)</f>
        <v>#REF!</v>
      </c>
      <c r="S46" s="65">
        <f t="shared" si="15"/>
        <v>1417.1274999999998</v>
      </c>
      <c r="T46" s="50"/>
      <c r="U46" s="62">
        <f>S46/S52</f>
        <v>1.9283271800578834E-2</v>
      </c>
      <c r="V46" s="50"/>
      <c r="W46" s="18"/>
      <c r="X46" s="10"/>
    </row>
    <row r="47" spans="1:24" x14ac:dyDescent="0.25">
      <c r="A47" s="8"/>
      <c r="B47" s="260" t="s">
        <v>43</v>
      </c>
      <c r="C47" s="260"/>
      <c r="D47" s="39"/>
      <c r="E47" s="52">
        <v>2587.9899999999998</v>
      </c>
      <c r="F47" s="61">
        <v>4429.3900000000003</v>
      </c>
      <c r="G47" s="52">
        <v>3013.83</v>
      </c>
      <c r="H47" s="135">
        <v>2444.33</v>
      </c>
      <c r="I47" s="52">
        <v>2108.52</v>
      </c>
      <c r="J47" s="61">
        <v>1330.51</v>
      </c>
      <c r="K47" s="52">
        <v>946.96</v>
      </c>
      <c r="L47" s="52">
        <v>671.55</v>
      </c>
      <c r="M47" s="52">
        <v>968.7</v>
      </c>
      <c r="N47" s="52">
        <v>495</v>
      </c>
      <c r="O47" s="52">
        <v>1464.77</v>
      </c>
      <c r="P47" s="52">
        <v>3328</v>
      </c>
      <c r="R47" s="11" t="e">
        <f>SUM(#REF!)</f>
        <v>#REF!</v>
      </c>
      <c r="S47" s="65">
        <f t="shared" si="15"/>
        <v>1982.4624999999999</v>
      </c>
      <c r="T47" s="50"/>
      <c r="U47" s="62">
        <f>S47/S52</f>
        <v>2.6975951861744986E-2</v>
      </c>
      <c r="V47" s="50"/>
      <c r="W47" s="18"/>
      <c r="X47" s="10"/>
    </row>
    <row r="48" spans="1:24" x14ac:dyDescent="0.25">
      <c r="A48" s="8"/>
      <c r="B48" s="260" t="s">
        <v>44</v>
      </c>
      <c r="C48" s="260"/>
      <c r="D48" s="39"/>
      <c r="E48" s="61">
        <v>1071.5</v>
      </c>
      <c r="F48" s="61">
        <v>0</v>
      </c>
      <c r="G48" s="61">
        <v>0</v>
      </c>
      <c r="H48" s="61">
        <v>0</v>
      </c>
      <c r="I48" s="61">
        <v>0</v>
      </c>
      <c r="J48" s="52">
        <v>610</v>
      </c>
      <c r="K48" s="61">
        <v>0</v>
      </c>
      <c r="L48" s="61">
        <v>0</v>
      </c>
      <c r="M48" s="61">
        <v>0</v>
      </c>
      <c r="N48" s="61">
        <v>682.1</v>
      </c>
      <c r="O48" s="61">
        <v>0</v>
      </c>
      <c r="P48" s="61">
        <v>2186.9699999999998</v>
      </c>
      <c r="R48" s="11" t="e">
        <f>SUM(#REF!)</f>
        <v>#REF!</v>
      </c>
      <c r="S48" s="65">
        <f t="shared" si="15"/>
        <v>379.21416666666664</v>
      </c>
      <c r="T48" s="50"/>
      <c r="U48" s="62">
        <f>S48/S52</f>
        <v>5.1600789953362243E-3</v>
      </c>
      <c r="V48" s="50"/>
      <c r="W48" s="18"/>
      <c r="X48" s="10"/>
    </row>
    <row r="49" spans="1:256" ht="15.75" customHeight="1" x14ac:dyDescent="0.25">
      <c r="A49" s="8"/>
      <c r="B49" s="260" t="s">
        <v>45</v>
      </c>
      <c r="C49" s="260"/>
      <c r="D49" s="39"/>
      <c r="E49" s="61">
        <v>0</v>
      </c>
      <c r="F49" s="52">
        <v>250</v>
      </c>
      <c r="G49" s="61">
        <v>350</v>
      </c>
      <c r="H49" s="61">
        <v>1720.08</v>
      </c>
      <c r="I49" s="61">
        <v>0</v>
      </c>
      <c r="J49" s="61">
        <v>0</v>
      </c>
      <c r="K49" s="61">
        <v>0</v>
      </c>
      <c r="L49" s="61">
        <v>1600</v>
      </c>
      <c r="M49" s="61">
        <v>0</v>
      </c>
      <c r="N49" s="61">
        <v>0</v>
      </c>
      <c r="O49" s="52">
        <v>1012.05</v>
      </c>
      <c r="P49" s="52">
        <v>250</v>
      </c>
      <c r="R49" s="11" t="e">
        <f>SUM(#REF!)</f>
        <v>#REF!</v>
      </c>
      <c r="S49" s="65">
        <f t="shared" si="15"/>
        <v>431.84416666666669</v>
      </c>
      <c r="T49" s="50"/>
      <c r="U49" s="62">
        <f>S49/S52</f>
        <v>5.8762309258184606E-3</v>
      </c>
      <c r="V49" s="50"/>
      <c r="W49" s="18"/>
      <c r="X49" s="10"/>
    </row>
    <row r="50" spans="1:256" x14ac:dyDescent="0.25">
      <c r="A50" s="8"/>
      <c r="B50" s="260" t="s">
        <v>46</v>
      </c>
      <c r="C50" s="260"/>
      <c r="D50" s="39"/>
      <c r="E50" s="52">
        <v>620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795.5</v>
      </c>
      <c r="L50" s="61">
        <v>4169.37</v>
      </c>
      <c r="M50" s="61">
        <v>4169.38</v>
      </c>
      <c r="N50" s="52">
        <v>3504.37</v>
      </c>
      <c r="O50" s="61">
        <v>2705.85</v>
      </c>
      <c r="P50" s="147">
        <v>3435</v>
      </c>
      <c r="R50" s="11" t="e">
        <f>SUM(#REF!)</f>
        <v>#REF!</v>
      </c>
      <c r="S50" s="65">
        <f t="shared" si="15"/>
        <v>1616.6225000000002</v>
      </c>
      <c r="T50" s="50"/>
      <c r="U50" s="62">
        <f>S50/S52</f>
        <v>2.1997859096257226E-2</v>
      </c>
      <c r="V50" s="50"/>
      <c r="W50" s="17"/>
      <c r="X50" s="10"/>
    </row>
    <row r="51" spans="1:256" x14ac:dyDescent="0.25">
      <c r="A51" s="8"/>
      <c r="B51" s="256" t="s">
        <v>47</v>
      </c>
      <c r="C51" s="256"/>
      <c r="D51" s="39"/>
      <c r="E51" s="52">
        <v>460.59</v>
      </c>
      <c r="F51" s="61">
        <v>532.25</v>
      </c>
      <c r="G51" s="61">
        <v>0</v>
      </c>
      <c r="H51" s="61">
        <v>531.4</v>
      </c>
      <c r="I51" s="61">
        <v>0</v>
      </c>
      <c r="J51" s="52">
        <v>808.26</v>
      </c>
      <c r="K51" s="61">
        <v>935.8</v>
      </c>
      <c r="L51" s="52">
        <v>443.75</v>
      </c>
      <c r="M51" s="61">
        <v>0</v>
      </c>
      <c r="N51" s="52">
        <v>763.36</v>
      </c>
      <c r="O51" s="52">
        <v>300</v>
      </c>
      <c r="P51" s="52">
        <v>693.53</v>
      </c>
      <c r="R51" s="11" t="e">
        <f>SUM(#REF!)</f>
        <v>#REF!</v>
      </c>
      <c r="S51" s="65">
        <f t="shared" si="15"/>
        <v>455.74499999999995</v>
      </c>
      <c r="T51" s="50"/>
      <c r="U51" s="62">
        <f>S51/S52</f>
        <v>6.2014566132933E-3</v>
      </c>
      <c r="V51" s="50"/>
      <c r="W51" s="17"/>
      <c r="X51" s="10"/>
    </row>
    <row r="52" spans="1:256" x14ac:dyDescent="0.25">
      <c r="A52" s="8"/>
      <c r="B52" s="257" t="s">
        <v>48</v>
      </c>
      <c r="C52" s="257"/>
      <c r="D52" s="39"/>
      <c r="E52" s="66">
        <f t="shared" ref="E52:P52" si="16">E4+E8+E13+E27+E33+E43+E44+E45+E46+E47+E48+E49+E50+E51+E30+E24</f>
        <v>75273.51999999999</v>
      </c>
      <c r="F52" s="66">
        <f t="shared" si="16"/>
        <v>76449.950000000012</v>
      </c>
      <c r="G52" s="66">
        <f t="shared" si="16"/>
        <v>71199.61</v>
      </c>
      <c r="H52" s="66">
        <f t="shared" si="16"/>
        <v>78176.53</v>
      </c>
      <c r="I52" s="66">
        <f t="shared" si="16"/>
        <v>65398.950000000012</v>
      </c>
      <c r="J52" s="66">
        <f t="shared" si="16"/>
        <v>63506.09</v>
      </c>
      <c r="K52" s="66">
        <f t="shared" si="16"/>
        <v>65372.319999999992</v>
      </c>
      <c r="L52" s="66">
        <f t="shared" si="16"/>
        <v>85949.300000000017</v>
      </c>
      <c r="M52" s="66">
        <f t="shared" si="16"/>
        <v>75178.100000000006</v>
      </c>
      <c r="N52" s="66">
        <f t="shared" si="16"/>
        <v>68530.62</v>
      </c>
      <c r="O52" s="66">
        <f t="shared" si="16"/>
        <v>72433.81</v>
      </c>
      <c r="P52" s="66">
        <f t="shared" si="16"/>
        <v>84036.109999999986</v>
      </c>
      <c r="R52" s="20" t="e">
        <f>R51+R50+R49+R48+R47+R46+R45+R44+R43+R33+R30+R27+R13+R8+R4</f>
        <v>#REF!</v>
      </c>
      <c r="S52" s="66">
        <f>S4+S8+S13+S27+S33+S43+S44+S45+S46+S47+S48+S49+S50+S51+S30+S24</f>
        <v>73489.992499999993</v>
      </c>
      <c r="T52" s="50"/>
      <c r="U52" s="67">
        <f>U4+U8+U13+U27+U30+U33+U43+U44+U45+U46+U47+U48+U49+U50+U51+U24</f>
        <v>1</v>
      </c>
      <c r="V52" s="50"/>
      <c r="W52" s="21"/>
      <c r="X52" s="10"/>
    </row>
    <row r="53" spans="1:256" x14ac:dyDescent="0.25">
      <c r="A53" s="8"/>
      <c r="E53" s="22"/>
      <c r="F53" s="22"/>
      <c r="G53" s="22"/>
      <c r="H53" s="22"/>
      <c r="I53" s="22"/>
      <c r="J53" s="15"/>
      <c r="K53" s="15"/>
      <c r="L53" s="15"/>
      <c r="M53" s="15"/>
      <c r="N53" s="15"/>
      <c r="O53" s="15"/>
      <c r="P53" s="15"/>
      <c r="X53" s="10"/>
      <c r="IV53" s="3"/>
    </row>
    <row r="54" spans="1:256" ht="40" x14ac:dyDescent="0.25">
      <c r="A54" s="8"/>
      <c r="B54" s="250" t="s">
        <v>49</v>
      </c>
      <c r="C54" s="250"/>
      <c r="D54" s="68"/>
      <c r="E54" s="51" t="s">
        <v>63</v>
      </c>
      <c r="F54" s="51" t="s">
        <v>64</v>
      </c>
      <c r="G54" s="51" t="s">
        <v>65</v>
      </c>
      <c r="H54" s="51" t="s">
        <v>66</v>
      </c>
      <c r="I54" s="51" t="s">
        <v>67</v>
      </c>
      <c r="J54" s="51" t="s">
        <v>68</v>
      </c>
      <c r="K54" s="51" t="s">
        <v>69</v>
      </c>
      <c r="L54" s="51" t="s">
        <v>70</v>
      </c>
      <c r="M54" s="51" t="s">
        <v>71</v>
      </c>
      <c r="N54" s="51" t="s">
        <v>72</v>
      </c>
      <c r="O54" s="51" t="s">
        <v>6</v>
      </c>
      <c r="P54" s="215" t="s">
        <v>127</v>
      </c>
      <c r="Q54" s="69"/>
      <c r="R54" s="70" t="s">
        <v>79</v>
      </c>
      <c r="S54" s="70" t="s">
        <v>80</v>
      </c>
      <c r="T54" s="71"/>
      <c r="U54" s="71"/>
      <c r="V54" s="71"/>
      <c r="W54" s="72"/>
      <c r="X54" s="10"/>
    </row>
    <row r="55" spans="1:256" ht="18" customHeight="1" x14ac:dyDescent="0.25">
      <c r="A55" s="8"/>
      <c r="B55" s="251" t="s">
        <v>51</v>
      </c>
      <c r="C55" s="251"/>
      <c r="E55" s="128">
        <v>64999.86</v>
      </c>
      <c r="F55" s="128">
        <v>67600.009999999995</v>
      </c>
      <c r="G55" s="128">
        <v>67600.009999999995</v>
      </c>
      <c r="H55" s="128">
        <v>67600.009999999995</v>
      </c>
      <c r="I55" s="128">
        <v>67600.009999999995</v>
      </c>
      <c r="J55" s="128">
        <v>67600.009999999995</v>
      </c>
      <c r="K55" s="128">
        <v>67600.009999999995</v>
      </c>
      <c r="L55" s="128">
        <v>67600.009999999995</v>
      </c>
      <c r="M55" s="128">
        <v>67600.009999999995</v>
      </c>
      <c r="N55" s="128">
        <v>67600.009999999995</v>
      </c>
      <c r="O55" s="128">
        <v>67600.009999999995</v>
      </c>
      <c r="P55" s="128">
        <v>67600.009999999995</v>
      </c>
      <c r="R55" s="24"/>
      <c r="S55" s="25">
        <f>AVERAGE(E55:P55)</f>
        <v>67383.330833333341</v>
      </c>
      <c r="W55" s="73"/>
      <c r="X55" s="10"/>
    </row>
    <row r="56" spans="1:256" x14ac:dyDescent="0.25">
      <c r="A56" s="8"/>
      <c r="B56" s="243" t="s">
        <v>52</v>
      </c>
      <c r="C56" s="243"/>
      <c r="E56" s="136">
        <f>-74.24+771.06</f>
        <v>696.81999999999994</v>
      </c>
      <c r="F56" s="136">
        <v>0</v>
      </c>
      <c r="G56" s="140">
        <v>0</v>
      </c>
      <c r="H56" s="140">
        <v>0</v>
      </c>
      <c r="I56" s="140">
        <v>27</v>
      </c>
      <c r="J56" s="140">
        <v>350</v>
      </c>
      <c r="K56" s="140">
        <v>0</v>
      </c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R56" s="24"/>
      <c r="S56" s="25">
        <f>AVERAGE(E56:P56)</f>
        <v>89.484999999999999</v>
      </c>
      <c r="W56" s="73"/>
      <c r="X56" s="10"/>
    </row>
    <row r="57" spans="1:256" x14ac:dyDescent="0.25">
      <c r="A57" s="8"/>
      <c r="B57" s="243" t="s">
        <v>53</v>
      </c>
      <c r="C57" s="243"/>
      <c r="E57" s="132">
        <f>-3084.22-771.06</f>
        <v>-3855.2799999999997</v>
      </c>
      <c r="F57" s="132">
        <f>-1603.8</f>
        <v>-1603.8</v>
      </c>
      <c r="G57" s="140">
        <v>0</v>
      </c>
      <c r="H57" s="140">
        <v>0</v>
      </c>
      <c r="I57" s="137">
        <f>-1683.98</f>
        <v>-1683.98</v>
      </c>
      <c r="J57" s="141">
        <f>-1683.98</f>
        <v>-1683.98</v>
      </c>
      <c r="K57" s="140">
        <v>0</v>
      </c>
      <c r="L57" s="140">
        <v>0</v>
      </c>
      <c r="M57" s="132">
        <f>-1683.98</f>
        <v>-1683.98</v>
      </c>
      <c r="N57" s="144">
        <v>-1603.8</v>
      </c>
      <c r="O57" s="136">
        <v>0</v>
      </c>
      <c r="P57" s="144">
        <v>-3287.78</v>
      </c>
      <c r="R57" s="24"/>
      <c r="S57" s="25">
        <f>AVERAGE(E57:P57)</f>
        <v>-1283.55</v>
      </c>
      <c r="W57" s="73"/>
      <c r="X57" s="10"/>
    </row>
    <row r="58" spans="1:256" x14ac:dyDescent="0.25">
      <c r="A58" s="8"/>
      <c r="B58" s="243" t="s">
        <v>54</v>
      </c>
      <c r="C58" s="243"/>
      <c r="E58" s="136">
        <v>0</v>
      </c>
      <c r="F58" s="136">
        <v>2050.3200000000002</v>
      </c>
      <c r="G58" s="140">
        <v>2883.08</v>
      </c>
      <c r="H58" s="138">
        <v>19222.810000000001</v>
      </c>
      <c r="I58" s="140">
        <v>460.64</v>
      </c>
      <c r="J58" s="141">
        <v>2540.86</v>
      </c>
      <c r="K58" s="137">
        <v>918.38</v>
      </c>
      <c r="L58" s="132">
        <v>939.18</v>
      </c>
      <c r="M58" s="136">
        <v>2584.77</v>
      </c>
      <c r="N58" s="136">
        <v>2588.86</v>
      </c>
      <c r="O58" s="136">
        <v>1603.8</v>
      </c>
      <c r="P58" s="136">
        <v>0</v>
      </c>
      <c r="R58" s="24"/>
      <c r="S58" s="25">
        <f>AVERAGE(E58:P58)</f>
        <v>2982.7250000000004</v>
      </c>
      <c r="W58" s="73"/>
      <c r="X58" s="10"/>
    </row>
    <row r="59" spans="1:256" x14ac:dyDescent="0.25">
      <c r="A59" s="8"/>
      <c r="B59" s="244" t="s">
        <v>55</v>
      </c>
      <c r="C59" s="244"/>
      <c r="E59" s="30">
        <f t="shared" ref="E59:P59" si="17">SUM(E55:E58)</f>
        <v>61841.400000000009</v>
      </c>
      <c r="F59" s="30">
        <f t="shared" si="17"/>
        <v>68046.53</v>
      </c>
      <c r="G59" s="30">
        <f t="shared" si="17"/>
        <v>70483.09</v>
      </c>
      <c r="H59" s="77">
        <f t="shared" si="17"/>
        <v>86822.819999999992</v>
      </c>
      <c r="I59" s="30">
        <f t="shared" si="17"/>
        <v>66403.67</v>
      </c>
      <c r="J59" s="29">
        <f t="shared" si="17"/>
        <v>68806.89</v>
      </c>
      <c r="K59" s="29">
        <f t="shared" si="17"/>
        <v>68518.39</v>
      </c>
      <c r="L59" s="29">
        <f t="shared" si="17"/>
        <v>68539.189999999988</v>
      </c>
      <c r="M59" s="29">
        <f t="shared" si="17"/>
        <v>68500.800000000003</v>
      </c>
      <c r="N59" s="29">
        <f t="shared" si="17"/>
        <v>68585.069999999992</v>
      </c>
      <c r="O59" s="29">
        <f t="shared" si="17"/>
        <v>69203.81</v>
      </c>
      <c r="P59" s="29">
        <f t="shared" si="17"/>
        <v>64312.229999999996</v>
      </c>
      <c r="R59" s="31">
        <f>SUM(R55:R58)</f>
        <v>0</v>
      </c>
      <c r="S59" s="78">
        <f>SUM(S55:S58)</f>
        <v>69171.990833333344</v>
      </c>
      <c r="W59" s="73"/>
      <c r="X59" s="10"/>
    </row>
    <row r="60" spans="1:256" x14ac:dyDescent="0.25">
      <c r="A60" s="8"/>
      <c r="M60" s="37"/>
      <c r="X60" s="10"/>
    </row>
    <row r="61" spans="1:256" x14ac:dyDescent="0.25">
      <c r="A61" s="8"/>
      <c r="B61" s="246" t="s">
        <v>81</v>
      </c>
      <c r="C61" s="246"/>
      <c r="E61" s="51" t="s">
        <v>63</v>
      </c>
      <c r="F61" s="51" t="s">
        <v>64</v>
      </c>
      <c r="G61" s="51" t="s">
        <v>65</v>
      </c>
      <c r="H61" s="51" t="s">
        <v>66</v>
      </c>
      <c r="I61" s="51" t="s">
        <v>67</v>
      </c>
      <c r="J61" s="51" t="s">
        <v>68</v>
      </c>
      <c r="K61" s="51" t="s">
        <v>69</v>
      </c>
      <c r="L61" s="51" t="s">
        <v>70</v>
      </c>
      <c r="M61" s="51" t="s">
        <v>71</v>
      </c>
      <c r="N61" s="51" t="s">
        <v>72</v>
      </c>
      <c r="O61" s="51" t="s">
        <v>6</v>
      </c>
      <c r="P61" s="215" t="s">
        <v>127</v>
      </c>
      <c r="W61" s="33"/>
      <c r="X61" s="32"/>
      <c r="Y61" s="33"/>
    </row>
    <row r="62" spans="1:256" x14ac:dyDescent="0.25">
      <c r="A62" s="8"/>
      <c r="B62" s="243" t="s">
        <v>57</v>
      </c>
      <c r="C62" s="243"/>
      <c r="E62" s="28">
        <v>-14814.44</v>
      </c>
      <c r="F62" s="28">
        <f t="shared" ref="F62:P62" si="18">E70</f>
        <v>-28181.799999999985</v>
      </c>
      <c r="G62" s="28">
        <f t="shared" si="18"/>
        <v>-36361.360000000001</v>
      </c>
      <c r="H62" s="28">
        <f t="shared" si="18"/>
        <v>663.98999999999796</v>
      </c>
      <c r="I62" s="28">
        <f t="shared" si="18"/>
        <v>-2591.6800000000003</v>
      </c>
      <c r="J62" s="28">
        <f t="shared" si="18"/>
        <v>-1312.5700000000138</v>
      </c>
      <c r="K62" s="28">
        <f t="shared" si="18"/>
        <v>4390.7799999999961</v>
      </c>
      <c r="L62" s="28">
        <f t="shared" si="18"/>
        <v>8859.3400000000056</v>
      </c>
      <c r="M62" s="28">
        <f t="shared" si="18"/>
        <v>1728.379999999981</v>
      </c>
      <c r="N62" s="28">
        <f t="shared" si="18"/>
        <v>-4509.8900000000276</v>
      </c>
      <c r="O62" s="28">
        <f t="shared" si="18"/>
        <v>-14097.260000000031</v>
      </c>
      <c r="P62" s="28">
        <f t="shared" si="18"/>
        <v>-17141.370000000032</v>
      </c>
      <c r="X62" s="10"/>
    </row>
    <row r="63" spans="1:256" x14ac:dyDescent="0.25">
      <c r="A63" s="8"/>
      <c r="B63" s="243" t="s">
        <v>58</v>
      </c>
      <c r="C63" s="243"/>
      <c r="E63" s="34">
        <f t="shared" ref="E63:P63" si="19">E59</f>
        <v>61841.400000000009</v>
      </c>
      <c r="F63" s="34">
        <f t="shared" si="19"/>
        <v>68046.53</v>
      </c>
      <c r="G63" s="34">
        <f t="shared" si="19"/>
        <v>70483.09</v>
      </c>
      <c r="H63" s="34">
        <f t="shared" si="19"/>
        <v>86822.819999999992</v>
      </c>
      <c r="I63" s="34">
        <f t="shared" si="19"/>
        <v>66403.67</v>
      </c>
      <c r="J63" s="34">
        <f t="shared" si="19"/>
        <v>68806.89</v>
      </c>
      <c r="K63" s="34">
        <f t="shared" si="19"/>
        <v>68518.39</v>
      </c>
      <c r="L63" s="34">
        <f t="shared" si="19"/>
        <v>68539.189999999988</v>
      </c>
      <c r="M63" s="34">
        <f t="shared" si="19"/>
        <v>68500.800000000003</v>
      </c>
      <c r="N63" s="34">
        <f t="shared" si="19"/>
        <v>68585.069999999992</v>
      </c>
      <c r="O63" s="34">
        <f t="shared" si="19"/>
        <v>69203.81</v>
      </c>
      <c r="P63" s="34">
        <f t="shared" si="19"/>
        <v>64312.229999999996</v>
      </c>
      <c r="X63" s="10"/>
    </row>
    <row r="64" spans="1:256" x14ac:dyDescent="0.25">
      <c r="A64" s="8"/>
      <c r="B64" s="243" t="s">
        <v>59</v>
      </c>
      <c r="C64" s="243"/>
      <c r="E64" s="28">
        <f t="shared" ref="E64:P64" si="20">-E52</f>
        <v>-75273.51999999999</v>
      </c>
      <c r="F64" s="28">
        <f t="shared" si="20"/>
        <v>-76449.950000000012</v>
      </c>
      <c r="G64" s="28">
        <f t="shared" si="20"/>
        <v>-71199.61</v>
      </c>
      <c r="H64" s="28">
        <f t="shared" si="20"/>
        <v>-78176.53</v>
      </c>
      <c r="I64" s="28">
        <f t="shared" si="20"/>
        <v>-65398.950000000012</v>
      </c>
      <c r="J64" s="28">
        <f t="shared" si="20"/>
        <v>-63506.09</v>
      </c>
      <c r="K64" s="28">
        <f t="shared" si="20"/>
        <v>-65372.319999999992</v>
      </c>
      <c r="L64" s="28">
        <f t="shared" si="20"/>
        <v>-85949.300000000017</v>
      </c>
      <c r="M64" s="28">
        <f t="shared" si="20"/>
        <v>-75178.100000000006</v>
      </c>
      <c r="N64" s="28">
        <f t="shared" si="20"/>
        <v>-68530.62</v>
      </c>
      <c r="O64" s="28">
        <f t="shared" si="20"/>
        <v>-72433.81</v>
      </c>
      <c r="P64" s="28">
        <f t="shared" si="20"/>
        <v>-84036.109999999986</v>
      </c>
      <c r="U64" s="240"/>
      <c r="X64" s="10"/>
    </row>
    <row r="65" spans="1:25" x14ac:dyDescent="0.25">
      <c r="A65" s="8"/>
      <c r="B65" s="243" t="s">
        <v>60</v>
      </c>
      <c r="C65" s="243"/>
      <c r="E65" s="28">
        <f>64.76</f>
        <v>64.760000000000005</v>
      </c>
      <c r="F65" s="28">
        <f>108+37.76+78.1</f>
        <v>223.85999999999999</v>
      </c>
      <c r="G65" s="28">
        <f>155.49+65.66+78.1</f>
        <v>299.25</v>
      </c>
      <c r="H65" s="79">
        <f>448.6+2337.82+182.03</f>
        <v>2968.4500000000003</v>
      </c>
      <c r="I65" s="136">
        <f>172.78+30.82+70.79</f>
        <v>274.39</v>
      </c>
      <c r="J65" s="27">
        <f>148.64+76.33+131.68+45.9</f>
        <v>402.54999999999995</v>
      </c>
      <c r="K65" s="28">
        <f>82.51+53.09+141.14</f>
        <v>276.74</v>
      </c>
      <c r="L65" s="28">
        <f>84.54+50.28+144.33</f>
        <v>279.14999999999998</v>
      </c>
      <c r="M65" s="28">
        <f>181.6+119+138.43</f>
        <v>439.03000000000003</v>
      </c>
      <c r="N65" s="28">
        <f>149.62+69.5+139.06</f>
        <v>358.18</v>
      </c>
      <c r="O65" s="28">
        <f>163.58+22.31</f>
        <v>185.89000000000001</v>
      </c>
      <c r="P65" s="28">
        <f>96.24</f>
        <v>96.24</v>
      </c>
      <c r="X65" s="10"/>
    </row>
    <row r="66" spans="1:25" x14ac:dyDescent="0.25">
      <c r="A66" s="8"/>
      <c r="B66" s="255" t="s">
        <v>82</v>
      </c>
      <c r="C66" s="255"/>
      <c r="E66" s="145">
        <v>0</v>
      </c>
      <c r="F66" s="145">
        <v>0</v>
      </c>
      <c r="G66" s="145">
        <v>0</v>
      </c>
      <c r="H66" s="136">
        <v>0</v>
      </c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X66" s="10"/>
    </row>
    <row r="67" spans="1:25" x14ac:dyDescent="0.25">
      <c r="A67" s="8"/>
      <c r="B67" s="243" t="s">
        <v>83</v>
      </c>
      <c r="C67" s="243"/>
      <c r="D67" s="117"/>
      <c r="E67" s="136">
        <v>0</v>
      </c>
      <c r="F67" s="136">
        <v>0</v>
      </c>
      <c r="G67" s="136">
        <v>0</v>
      </c>
      <c r="H67" s="144">
        <f>-14870.41</f>
        <v>-14870.41</v>
      </c>
      <c r="I67" s="136">
        <v>0</v>
      </c>
      <c r="J67" s="136">
        <v>0</v>
      </c>
      <c r="K67" s="136">
        <v>0</v>
      </c>
      <c r="L67" s="136">
        <v>0</v>
      </c>
      <c r="M67" s="136">
        <v>0</v>
      </c>
      <c r="N67" s="136">
        <v>0</v>
      </c>
      <c r="O67" s="136">
        <v>0</v>
      </c>
      <c r="P67" s="136">
        <v>0</v>
      </c>
      <c r="X67" s="10"/>
    </row>
    <row r="68" spans="1:25" x14ac:dyDescent="0.25">
      <c r="A68" s="8"/>
      <c r="B68" s="258" t="s">
        <v>118</v>
      </c>
      <c r="C68" s="259"/>
      <c r="D68" s="117"/>
      <c r="E68" s="136">
        <v>0</v>
      </c>
      <c r="F68" s="136">
        <v>0</v>
      </c>
      <c r="G68" s="136">
        <v>8612.6200000000008</v>
      </c>
      <c r="H68" s="136">
        <v>0</v>
      </c>
      <c r="I68" s="136">
        <v>0</v>
      </c>
      <c r="J68" s="136">
        <v>0</v>
      </c>
      <c r="K68" s="136">
        <v>1045.75</v>
      </c>
      <c r="L68" s="136">
        <v>0</v>
      </c>
      <c r="M68" s="136">
        <v>0</v>
      </c>
      <c r="N68" s="136">
        <v>0</v>
      </c>
      <c r="O68" s="136">
        <v>0</v>
      </c>
      <c r="P68" s="136">
        <v>0</v>
      </c>
      <c r="X68" s="10"/>
    </row>
    <row r="69" spans="1:25" x14ac:dyDescent="0.25">
      <c r="A69" s="8"/>
      <c r="B69" s="243" t="s">
        <v>84</v>
      </c>
      <c r="C69" s="243"/>
      <c r="D69" s="117"/>
      <c r="E69" s="136">
        <v>0</v>
      </c>
      <c r="F69" s="136">
        <v>0</v>
      </c>
      <c r="G69" s="136">
        <v>28830</v>
      </c>
      <c r="H69" s="136">
        <v>0</v>
      </c>
      <c r="I69" s="136">
        <v>0</v>
      </c>
      <c r="J69" s="136">
        <v>0</v>
      </c>
      <c r="K69" s="136">
        <v>0</v>
      </c>
      <c r="L69" s="136">
        <v>10000</v>
      </c>
      <c r="M69" s="136">
        <v>0</v>
      </c>
      <c r="N69" s="28">
        <v>-10000</v>
      </c>
      <c r="O69" s="136">
        <v>0</v>
      </c>
      <c r="P69" s="136">
        <v>0</v>
      </c>
      <c r="X69" s="10"/>
    </row>
    <row r="70" spans="1:25" x14ac:dyDescent="0.25">
      <c r="A70" s="8"/>
      <c r="B70" s="254" t="s">
        <v>61</v>
      </c>
      <c r="C70" s="254"/>
      <c r="E70" s="114">
        <f t="shared" ref="E70:P70" si="21">SUM(E62:E69)</f>
        <v>-28181.799999999985</v>
      </c>
      <c r="F70" s="114">
        <f t="shared" si="21"/>
        <v>-36361.360000000001</v>
      </c>
      <c r="G70" s="114">
        <f t="shared" si="21"/>
        <v>663.98999999999796</v>
      </c>
      <c r="H70" s="115">
        <f t="shared" si="21"/>
        <v>-2591.6800000000003</v>
      </c>
      <c r="I70" s="114">
        <f t="shared" si="21"/>
        <v>-1312.5700000000138</v>
      </c>
      <c r="J70" s="116">
        <f t="shared" si="21"/>
        <v>4390.7799999999961</v>
      </c>
      <c r="K70" s="114">
        <f t="shared" si="21"/>
        <v>8859.3400000000056</v>
      </c>
      <c r="L70" s="114">
        <f>SUM(L62:L69)</f>
        <v>1728.379999999981</v>
      </c>
      <c r="M70" s="114">
        <f t="shared" si="21"/>
        <v>-4509.8900000000276</v>
      </c>
      <c r="N70" s="114">
        <f t="shared" si="21"/>
        <v>-14097.260000000031</v>
      </c>
      <c r="O70" s="114">
        <f t="shared" si="21"/>
        <v>-17141.370000000032</v>
      </c>
      <c r="P70" s="114">
        <f t="shared" si="21"/>
        <v>-36769.010000000024</v>
      </c>
      <c r="X70" s="10"/>
    </row>
    <row r="71" spans="1:25" x14ac:dyDescent="0.25">
      <c r="A71" s="8"/>
      <c r="B71" s="38"/>
      <c r="C71" s="38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X71" s="10"/>
    </row>
    <row r="72" spans="1:25" ht="40" x14ac:dyDescent="0.25">
      <c r="A72" s="8"/>
      <c r="B72" s="250" t="s">
        <v>103</v>
      </c>
      <c r="C72" s="250"/>
      <c r="D72" s="68"/>
      <c r="E72" s="51" t="s">
        <v>63</v>
      </c>
      <c r="F72" s="51" t="s">
        <v>64</v>
      </c>
      <c r="G72" s="51" t="s">
        <v>65</v>
      </c>
      <c r="H72" s="51" t="s">
        <v>66</v>
      </c>
      <c r="I72" s="51" t="s">
        <v>67</v>
      </c>
      <c r="J72" s="51" t="s">
        <v>68</v>
      </c>
      <c r="K72" s="51" t="s">
        <v>69</v>
      </c>
      <c r="L72" s="51" t="s">
        <v>70</v>
      </c>
      <c r="M72" s="51" t="s">
        <v>71</v>
      </c>
      <c r="N72" s="51" t="s">
        <v>72</v>
      </c>
      <c r="O72" s="51" t="s">
        <v>6</v>
      </c>
      <c r="P72" s="215" t="s">
        <v>127</v>
      </c>
      <c r="Q72" s="69"/>
      <c r="R72" s="70" t="s">
        <v>79</v>
      </c>
      <c r="S72" s="70" t="s">
        <v>80</v>
      </c>
      <c r="X72" s="10"/>
    </row>
    <row r="73" spans="1:25" x14ac:dyDescent="0.25">
      <c r="A73" s="8"/>
      <c r="B73" s="251" t="s">
        <v>51</v>
      </c>
      <c r="C73" s="251"/>
      <c r="E73" s="128">
        <v>3250.08</v>
      </c>
      <c r="F73" s="128">
        <v>3380.01</v>
      </c>
      <c r="G73" s="128">
        <v>3380.01</v>
      </c>
      <c r="H73" s="128">
        <v>3380.01</v>
      </c>
      <c r="I73" s="128">
        <v>3380.01</v>
      </c>
      <c r="J73" s="128">
        <v>3380.01</v>
      </c>
      <c r="K73" s="128">
        <v>3380.01</v>
      </c>
      <c r="L73" s="128">
        <v>3380.01</v>
      </c>
      <c r="M73" s="128">
        <v>3380.01</v>
      </c>
      <c r="N73" s="128">
        <v>3380.01</v>
      </c>
      <c r="O73" s="128">
        <v>3380.01</v>
      </c>
      <c r="P73" s="128">
        <v>3380.01</v>
      </c>
      <c r="R73" s="24"/>
      <c r="S73" s="25">
        <f>AVERAGE(E73:P73)</f>
        <v>3369.1825000000013</v>
      </c>
      <c r="X73" s="10"/>
    </row>
    <row r="74" spans="1:25" x14ac:dyDescent="0.25">
      <c r="A74" s="8"/>
      <c r="B74" s="253" t="s">
        <v>130</v>
      </c>
      <c r="C74" s="243"/>
      <c r="E74" s="132">
        <f>-154.22</f>
        <v>-154.22</v>
      </c>
      <c r="F74" s="132">
        <v>-80.19</v>
      </c>
      <c r="G74" s="136">
        <v>0</v>
      </c>
      <c r="H74" s="136">
        <v>0</v>
      </c>
      <c r="I74" s="137">
        <v>-84.2</v>
      </c>
      <c r="J74" s="141">
        <v>-84.2</v>
      </c>
      <c r="K74" s="136">
        <v>0</v>
      </c>
      <c r="L74" s="136">
        <v>0</v>
      </c>
      <c r="M74" s="132">
        <v>-84.2</v>
      </c>
      <c r="N74" s="132">
        <v>-80.19</v>
      </c>
      <c r="O74" s="136">
        <v>0</v>
      </c>
      <c r="P74" s="132">
        <f>-164.39</f>
        <v>-164.39</v>
      </c>
      <c r="R74" s="24"/>
      <c r="S74" s="25">
        <f>AVERAGE(E74:P74)</f>
        <v>-60.965833333333336</v>
      </c>
      <c r="X74" s="10"/>
    </row>
    <row r="75" spans="1:25" x14ac:dyDescent="0.25">
      <c r="A75" s="8"/>
      <c r="B75" s="243" t="s">
        <v>54</v>
      </c>
      <c r="C75" s="243"/>
      <c r="E75" s="136">
        <v>0</v>
      </c>
      <c r="F75" s="136">
        <v>102.52</v>
      </c>
      <c r="G75" s="140">
        <v>105.6</v>
      </c>
      <c r="H75" s="138">
        <v>187.34</v>
      </c>
      <c r="I75" s="140">
        <v>23.03</v>
      </c>
      <c r="J75" s="141">
        <v>127.05</v>
      </c>
      <c r="K75" s="137">
        <v>45.92</v>
      </c>
      <c r="L75" s="136">
        <v>46.96</v>
      </c>
      <c r="M75" s="136">
        <v>129.24</v>
      </c>
      <c r="N75" s="136">
        <v>129.44999999999999</v>
      </c>
      <c r="O75" s="136">
        <v>80.19</v>
      </c>
      <c r="P75" s="136">
        <v>0</v>
      </c>
      <c r="R75" s="24"/>
      <c r="S75" s="25">
        <f>AVERAGE(E75:P75)</f>
        <v>81.441666666666663</v>
      </c>
      <c r="X75" s="10"/>
    </row>
    <row r="76" spans="1:25" x14ac:dyDescent="0.25">
      <c r="A76" s="8"/>
      <c r="B76" s="244" t="s">
        <v>55</v>
      </c>
      <c r="C76" s="244"/>
      <c r="E76" s="30">
        <f t="shared" ref="E76:P76" si="22">SUM(E73:E75)</f>
        <v>3095.86</v>
      </c>
      <c r="F76" s="30">
        <f t="shared" si="22"/>
        <v>3402.34</v>
      </c>
      <c r="G76" s="30">
        <f t="shared" si="22"/>
        <v>3485.61</v>
      </c>
      <c r="H76" s="77">
        <f t="shared" si="22"/>
        <v>3567.3500000000004</v>
      </c>
      <c r="I76" s="30">
        <f t="shared" si="22"/>
        <v>3318.8400000000006</v>
      </c>
      <c r="J76" s="29">
        <f t="shared" si="22"/>
        <v>3422.8600000000006</v>
      </c>
      <c r="K76" s="29">
        <f t="shared" si="22"/>
        <v>3425.9300000000003</v>
      </c>
      <c r="L76" s="29">
        <f t="shared" si="22"/>
        <v>3426.9700000000003</v>
      </c>
      <c r="M76" s="29">
        <f t="shared" si="22"/>
        <v>3425.05</v>
      </c>
      <c r="N76" s="29">
        <f t="shared" si="22"/>
        <v>3429.27</v>
      </c>
      <c r="O76" s="29">
        <f t="shared" si="22"/>
        <v>3460.2000000000003</v>
      </c>
      <c r="P76" s="29">
        <f t="shared" si="22"/>
        <v>3215.6200000000003</v>
      </c>
      <c r="R76" s="31">
        <f>SUM(R73:R75)</f>
        <v>0</v>
      </c>
      <c r="S76" s="78">
        <f>SUM(S73:S75)</f>
        <v>3389.6583333333347</v>
      </c>
      <c r="X76" s="10"/>
    </row>
    <row r="77" spans="1:25" x14ac:dyDescent="0.25">
      <c r="A77" s="8"/>
      <c r="B77" s="38"/>
      <c r="C77" s="38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X77" s="10"/>
    </row>
    <row r="78" spans="1:25" x14ac:dyDescent="0.25">
      <c r="A78" s="8"/>
      <c r="B78" s="246" t="s">
        <v>85</v>
      </c>
      <c r="C78" s="246"/>
      <c r="E78" s="51" t="s">
        <v>63</v>
      </c>
      <c r="F78" s="51" t="s">
        <v>64</v>
      </c>
      <c r="G78" s="51" t="s">
        <v>65</v>
      </c>
      <c r="H78" s="51" t="s">
        <v>66</v>
      </c>
      <c r="I78" s="51" t="s">
        <v>67</v>
      </c>
      <c r="J78" s="51" t="s">
        <v>68</v>
      </c>
      <c r="K78" s="51" t="s">
        <v>69</v>
      </c>
      <c r="L78" s="51" t="s">
        <v>70</v>
      </c>
      <c r="M78" s="51" t="s">
        <v>71</v>
      </c>
      <c r="N78" s="51" t="s">
        <v>72</v>
      </c>
      <c r="O78" s="51" t="s">
        <v>6</v>
      </c>
      <c r="P78" s="215" t="s">
        <v>127</v>
      </c>
      <c r="W78" s="33"/>
      <c r="X78" s="32"/>
      <c r="Y78" s="33"/>
    </row>
    <row r="79" spans="1:25" x14ac:dyDescent="0.25">
      <c r="A79" s="8"/>
      <c r="B79" s="243" t="s">
        <v>57</v>
      </c>
      <c r="C79" s="243"/>
      <c r="E79" s="28">
        <v>32766.23</v>
      </c>
      <c r="F79" s="28">
        <f t="shared" ref="F79:P79" si="23">E84</f>
        <v>35865.329999999994</v>
      </c>
      <c r="G79" s="28">
        <f t="shared" si="23"/>
        <v>39274.939999999995</v>
      </c>
      <c r="H79" s="28">
        <f t="shared" si="23"/>
        <v>16770.369999999995</v>
      </c>
      <c r="I79" s="28">
        <f t="shared" si="23"/>
        <v>20366.439999999995</v>
      </c>
      <c r="J79" s="28">
        <f t="shared" si="23"/>
        <v>23695.449999999993</v>
      </c>
      <c r="K79" s="28">
        <f t="shared" si="23"/>
        <v>27129.539999999994</v>
      </c>
      <c r="L79" s="28">
        <f t="shared" si="23"/>
        <v>30562.249999999993</v>
      </c>
      <c r="M79" s="75">
        <f t="shared" si="23"/>
        <v>23995.959999999992</v>
      </c>
      <c r="N79" s="28">
        <f t="shared" si="23"/>
        <v>27436.01999999999</v>
      </c>
      <c r="O79" s="28">
        <f t="shared" si="23"/>
        <v>40876.239999999991</v>
      </c>
      <c r="P79" s="28">
        <f t="shared" si="23"/>
        <v>14345.719999999987</v>
      </c>
      <c r="X79" s="10"/>
    </row>
    <row r="80" spans="1:25" x14ac:dyDescent="0.25">
      <c r="A80" s="8"/>
      <c r="B80" s="243" t="s">
        <v>58</v>
      </c>
      <c r="C80" s="243"/>
      <c r="E80" s="34">
        <v>3095.86</v>
      </c>
      <c r="F80" s="34">
        <v>3402.34</v>
      </c>
      <c r="G80" s="34">
        <f t="shared" ref="G80:P80" si="24">G76</f>
        <v>3485.61</v>
      </c>
      <c r="H80" s="34">
        <f t="shared" si="24"/>
        <v>3567.3500000000004</v>
      </c>
      <c r="I80" s="34">
        <f t="shared" si="24"/>
        <v>3318.8400000000006</v>
      </c>
      <c r="J80" s="34">
        <f t="shared" si="24"/>
        <v>3422.8600000000006</v>
      </c>
      <c r="K80" s="34">
        <f t="shared" si="24"/>
        <v>3425.9300000000003</v>
      </c>
      <c r="L80" s="34">
        <f t="shared" si="24"/>
        <v>3426.9700000000003</v>
      </c>
      <c r="M80" s="80">
        <f t="shared" si="24"/>
        <v>3425.05</v>
      </c>
      <c r="N80" s="34">
        <f t="shared" si="24"/>
        <v>3429.27</v>
      </c>
      <c r="O80" s="34">
        <f t="shared" si="24"/>
        <v>3460.2000000000003</v>
      </c>
      <c r="P80" s="34">
        <f t="shared" si="24"/>
        <v>3215.6200000000003</v>
      </c>
      <c r="X80" s="10"/>
    </row>
    <row r="81" spans="1:25" x14ac:dyDescent="0.25">
      <c r="A81" s="8"/>
      <c r="B81" s="243" t="s">
        <v>59</v>
      </c>
      <c r="C81" s="243"/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X81" s="10"/>
    </row>
    <row r="82" spans="1:25" x14ac:dyDescent="0.25">
      <c r="A82" s="8"/>
      <c r="B82" s="243" t="s">
        <v>60</v>
      </c>
      <c r="C82" s="243"/>
      <c r="E82" s="28">
        <v>3.24</v>
      </c>
      <c r="F82" s="28">
        <f>5.39+1.88</f>
        <v>7.27</v>
      </c>
      <c r="G82" s="132">
        <f>6.99+2.83</f>
        <v>9.82</v>
      </c>
      <c r="H82" s="79">
        <f>6.95+21.77</f>
        <v>28.72</v>
      </c>
      <c r="I82" s="136">
        <f>8.62+1.55</f>
        <v>10.17</v>
      </c>
      <c r="J82" s="146">
        <f>7.42+3.81</f>
        <v>11.23</v>
      </c>
      <c r="K82" s="22">
        <f>4.12+2.66</f>
        <v>6.78</v>
      </c>
      <c r="L82" s="28">
        <f>4.22+2.52</f>
        <v>6.74</v>
      </c>
      <c r="M82" s="75">
        <f>9.06+5.95</f>
        <v>15.010000000000002</v>
      </c>
      <c r="N82" s="28">
        <f>7.47+3.48</f>
        <v>10.95</v>
      </c>
      <c r="O82" s="28">
        <f>8.16+1.12</f>
        <v>9.2800000000000011</v>
      </c>
      <c r="P82" s="28">
        <f>4.8</f>
        <v>4.8</v>
      </c>
      <c r="X82" s="10"/>
    </row>
    <row r="83" spans="1:25" x14ac:dyDescent="0.25">
      <c r="A83" s="8"/>
      <c r="B83" s="243" t="s">
        <v>84</v>
      </c>
      <c r="C83" s="243"/>
      <c r="E83" s="26">
        <v>0</v>
      </c>
      <c r="F83" s="26">
        <v>0</v>
      </c>
      <c r="G83" s="35">
        <v>-26000</v>
      </c>
      <c r="H83" s="26">
        <v>0</v>
      </c>
      <c r="I83" s="136">
        <v>0</v>
      </c>
      <c r="J83" s="136">
        <v>0</v>
      </c>
      <c r="K83" s="136"/>
      <c r="L83" s="144">
        <v>-10000</v>
      </c>
      <c r="M83" s="136">
        <v>0</v>
      </c>
      <c r="N83" s="36">
        <v>10000</v>
      </c>
      <c r="O83" s="36">
        <v>-30000</v>
      </c>
      <c r="P83" s="136">
        <v>0</v>
      </c>
      <c r="X83" s="10"/>
    </row>
    <row r="84" spans="1:25" x14ac:dyDescent="0.25">
      <c r="A84" s="8"/>
      <c r="B84" s="244" t="s">
        <v>61</v>
      </c>
      <c r="C84" s="244"/>
      <c r="E84" s="30">
        <f t="shared" ref="E84:P84" si="25">SUM(E79:E83)</f>
        <v>35865.329999999994</v>
      </c>
      <c r="F84" s="30">
        <f>SUM(F79:F83)</f>
        <v>39274.939999999995</v>
      </c>
      <c r="G84" s="30">
        <f>SUM(G79:G83)</f>
        <v>16770.369999999995</v>
      </c>
      <c r="H84" s="30">
        <f t="shared" si="25"/>
        <v>20366.439999999995</v>
      </c>
      <c r="I84" s="30">
        <f t="shared" si="25"/>
        <v>23695.449999999993</v>
      </c>
      <c r="J84" s="30">
        <f t="shared" si="25"/>
        <v>27129.539999999994</v>
      </c>
      <c r="K84" s="30">
        <f t="shared" si="25"/>
        <v>30562.249999999993</v>
      </c>
      <c r="L84" s="30">
        <f t="shared" si="25"/>
        <v>23995.959999999992</v>
      </c>
      <c r="M84" s="30">
        <f t="shared" si="25"/>
        <v>27436.01999999999</v>
      </c>
      <c r="N84" s="30">
        <f t="shared" si="25"/>
        <v>40876.239999999991</v>
      </c>
      <c r="O84" s="30">
        <f t="shared" si="25"/>
        <v>14345.719999999987</v>
      </c>
      <c r="P84" s="30">
        <f t="shared" si="25"/>
        <v>17566.139999999985</v>
      </c>
      <c r="X84" s="10"/>
    </row>
    <row r="85" spans="1:25" x14ac:dyDescent="0.25">
      <c r="A85" s="8"/>
      <c r="B85" s="38"/>
      <c r="C85" s="38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X85" s="10"/>
    </row>
    <row r="86" spans="1:25" ht="40" x14ac:dyDescent="0.25">
      <c r="A86" s="8"/>
      <c r="B86" s="250" t="s">
        <v>104</v>
      </c>
      <c r="C86" s="250"/>
      <c r="D86" s="68"/>
      <c r="E86" s="51" t="s">
        <v>63</v>
      </c>
      <c r="F86" s="51" t="s">
        <v>64</v>
      </c>
      <c r="G86" s="51" t="s">
        <v>65</v>
      </c>
      <c r="H86" s="51" t="s">
        <v>66</v>
      </c>
      <c r="I86" s="51" t="s">
        <v>67</v>
      </c>
      <c r="J86" s="51" t="s">
        <v>68</v>
      </c>
      <c r="K86" s="51" t="s">
        <v>69</v>
      </c>
      <c r="L86" s="51" t="s">
        <v>70</v>
      </c>
      <c r="M86" s="51" t="s">
        <v>71</v>
      </c>
      <c r="N86" s="51" t="s">
        <v>72</v>
      </c>
      <c r="O86" s="51" t="s">
        <v>6</v>
      </c>
      <c r="P86" s="215" t="s">
        <v>127</v>
      </c>
      <c r="Q86" s="69"/>
      <c r="R86" s="70" t="s">
        <v>79</v>
      </c>
      <c r="S86" s="70" t="s">
        <v>80</v>
      </c>
      <c r="X86" s="10"/>
    </row>
    <row r="87" spans="1:25" x14ac:dyDescent="0.25">
      <c r="A87" s="8"/>
      <c r="B87" s="251" t="s">
        <v>51</v>
      </c>
      <c r="C87" s="251"/>
      <c r="E87" s="128">
        <f>3362.55+12199.96</f>
        <v>15562.509999999998</v>
      </c>
      <c r="F87" s="128">
        <f>3362.55+12199.96</f>
        <v>15562.509999999998</v>
      </c>
      <c r="G87" s="128">
        <f>3362.55</f>
        <v>3362.55</v>
      </c>
      <c r="H87" s="128">
        <v>3362.55</v>
      </c>
      <c r="I87" s="26">
        <v>0</v>
      </c>
      <c r="J87" s="26">
        <v>7500.04</v>
      </c>
      <c r="K87" s="128">
        <v>7500.04</v>
      </c>
      <c r="L87" s="128">
        <v>7500.04</v>
      </c>
      <c r="M87" s="128">
        <v>7500.04</v>
      </c>
      <c r="N87" s="128">
        <v>7500.04</v>
      </c>
      <c r="O87" s="128">
        <v>7500.04</v>
      </c>
      <c r="P87" s="128">
        <v>7500.04</v>
      </c>
      <c r="R87" s="24"/>
      <c r="S87" s="25">
        <f>AVERAGE(E87:P87)</f>
        <v>7529.199999999998</v>
      </c>
      <c r="X87" s="10"/>
    </row>
    <row r="88" spans="1:25" x14ac:dyDescent="0.25">
      <c r="A88" s="8"/>
      <c r="B88" s="243" t="s">
        <v>53</v>
      </c>
      <c r="C88" s="243"/>
      <c r="E88" s="132">
        <f>-159.56-595.12</f>
        <v>-754.68000000000006</v>
      </c>
      <c r="F88" s="132">
        <f>-79.78-297.56</f>
        <v>-377.34000000000003</v>
      </c>
      <c r="G88" s="26">
        <v>0</v>
      </c>
      <c r="H88" s="26">
        <v>0</v>
      </c>
      <c r="I88" s="26">
        <v>0</v>
      </c>
      <c r="J88" s="35">
        <v>-186.83</v>
      </c>
      <c r="K88" s="26">
        <v>0</v>
      </c>
      <c r="L88" s="26">
        <v>0</v>
      </c>
      <c r="M88" s="212">
        <v>-186.83</v>
      </c>
      <c r="N88" s="132">
        <v>-177.94</v>
      </c>
      <c r="O88" s="26">
        <v>0</v>
      </c>
      <c r="P88" s="132">
        <f>-364.77</f>
        <v>-364.77</v>
      </c>
      <c r="R88" s="24"/>
      <c r="S88" s="25">
        <f>AVERAGE(E88:P88)</f>
        <v>-170.69916666666666</v>
      </c>
      <c r="X88" s="10"/>
    </row>
    <row r="89" spans="1:25" x14ac:dyDescent="0.25">
      <c r="A89" s="8"/>
      <c r="B89" s="243" t="s">
        <v>54</v>
      </c>
      <c r="C89" s="243"/>
      <c r="E89" s="132">
        <v>0</v>
      </c>
      <c r="F89" s="136">
        <v>377.34</v>
      </c>
      <c r="G89" s="140">
        <v>377.34</v>
      </c>
      <c r="H89" s="26">
        <v>0</v>
      </c>
      <c r="I89" s="140">
        <v>85.5</v>
      </c>
      <c r="J89" s="141">
        <v>165.36</v>
      </c>
      <c r="K89" s="75">
        <v>177.18</v>
      </c>
      <c r="L89" s="132">
        <v>185.03</v>
      </c>
      <c r="M89" s="136">
        <v>407.26</v>
      </c>
      <c r="N89" s="136">
        <v>408.23</v>
      </c>
      <c r="O89" s="136">
        <v>177.94</v>
      </c>
      <c r="P89" s="26">
        <v>0</v>
      </c>
      <c r="R89" s="24"/>
      <c r="S89" s="25">
        <f>AVERAGE(E89:P89)</f>
        <v>196.76499999999999</v>
      </c>
      <c r="X89" s="10"/>
    </row>
    <row r="90" spans="1:25" x14ac:dyDescent="0.25">
      <c r="A90" s="8"/>
      <c r="B90" s="244" t="s">
        <v>55</v>
      </c>
      <c r="C90" s="244"/>
      <c r="E90" s="30">
        <f t="shared" ref="E90:P90" si="26">SUM(E87:E89)</f>
        <v>14807.829999999998</v>
      </c>
      <c r="F90" s="30">
        <f t="shared" si="26"/>
        <v>15562.509999999998</v>
      </c>
      <c r="G90" s="30">
        <f t="shared" si="26"/>
        <v>3739.8900000000003</v>
      </c>
      <c r="H90" s="77">
        <f t="shared" si="26"/>
        <v>3362.55</v>
      </c>
      <c r="I90" s="30">
        <f t="shared" si="26"/>
        <v>85.5</v>
      </c>
      <c r="J90" s="29">
        <f t="shared" si="26"/>
        <v>7478.57</v>
      </c>
      <c r="K90" s="29">
        <f t="shared" si="26"/>
        <v>7677.22</v>
      </c>
      <c r="L90" s="29">
        <f t="shared" si="26"/>
        <v>7685.07</v>
      </c>
      <c r="M90" s="29">
        <f t="shared" si="26"/>
        <v>7720.47</v>
      </c>
      <c r="N90" s="29">
        <f t="shared" si="26"/>
        <v>7730.33</v>
      </c>
      <c r="O90" s="29">
        <f t="shared" si="26"/>
        <v>7677.98</v>
      </c>
      <c r="P90" s="29">
        <f t="shared" si="26"/>
        <v>7135.27</v>
      </c>
      <c r="R90" s="31">
        <f>SUM(R87:R89)</f>
        <v>0</v>
      </c>
      <c r="S90" s="78">
        <f>SUM(S87:S89)</f>
        <v>7555.265833333332</v>
      </c>
      <c r="X90" s="10"/>
    </row>
    <row r="91" spans="1:25" x14ac:dyDescent="0.25">
      <c r="A91" s="8"/>
      <c r="B91" s="38"/>
      <c r="C91" s="38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X91" s="10"/>
    </row>
    <row r="92" spans="1:25" x14ac:dyDescent="0.25">
      <c r="A92" s="8"/>
      <c r="B92" s="246" t="s">
        <v>86</v>
      </c>
      <c r="C92" s="246"/>
      <c r="E92" s="51" t="s">
        <v>63</v>
      </c>
      <c r="F92" s="51" t="s">
        <v>64</v>
      </c>
      <c r="G92" s="51" t="s">
        <v>65</v>
      </c>
      <c r="H92" s="51" t="s">
        <v>66</v>
      </c>
      <c r="I92" s="51" t="s">
        <v>67</v>
      </c>
      <c r="J92" s="51" t="s">
        <v>68</v>
      </c>
      <c r="K92" s="51" t="s">
        <v>69</v>
      </c>
      <c r="L92" s="51" t="s">
        <v>70</v>
      </c>
      <c r="M92" s="51" t="s">
        <v>71</v>
      </c>
      <c r="N92" s="51" t="s">
        <v>72</v>
      </c>
      <c r="O92" s="51" t="s">
        <v>6</v>
      </c>
      <c r="P92" s="215" t="s">
        <v>127</v>
      </c>
      <c r="W92" s="33"/>
      <c r="X92" s="32"/>
      <c r="Y92" s="33"/>
    </row>
    <row r="93" spans="1:25" x14ac:dyDescent="0.25">
      <c r="A93" s="8"/>
      <c r="B93" s="243" t="s">
        <v>57</v>
      </c>
      <c r="C93" s="243"/>
      <c r="E93" s="28">
        <v>17331.169999999998</v>
      </c>
      <c r="F93" s="28">
        <f t="shared" ref="F93:P93" si="27">E98</f>
        <v>23182.809999999994</v>
      </c>
      <c r="G93" s="28">
        <f t="shared" si="27"/>
        <v>33943.49</v>
      </c>
      <c r="H93" s="28">
        <f t="shared" si="27"/>
        <v>21190.26</v>
      </c>
      <c r="I93" s="28">
        <f t="shared" si="27"/>
        <v>13059.289999999999</v>
      </c>
      <c r="J93" s="28">
        <f t="shared" si="27"/>
        <v>6833.0399999999991</v>
      </c>
      <c r="K93" s="28">
        <f t="shared" si="27"/>
        <v>8867.64</v>
      </c>
      <c r="L93" s="28">
        <f t="shared" si="27"/>
        <v>6949.73</v>
      </c>
      <c r="M93" s="28">
        <f t="shared" si="27"/>
        <v>9186.5199999999986</v>
      </c>
      <c r="N93" s="28">
        <f t="shared" si="27"/>
        <v>12745.139999999998</v>
      </c>
      <c r="O93" s="28">
        <f t="shared" si="27"/>
        <v>16298.799999999997</v>
      </c>
      <c r="P93" s="28">
        <f t="shared" si="27"/>
        <v>23997.41</v>
      </c>
      <c r="X93" s="10"/>
    </row>
    <row r="94" spans="1:25" x14ac:dyDescent="0.25">
      <c r="A94" s="8"/>
      <c r="B94" s="243" t="s">
        <v>58</v>
      </c>
      <c r="C94" s="243"/>
      <c r="E94" s="26">
        <f t="shared" ref="E94:P94" si="28">E90</f>
        <v>14807.829999999998</v>
      </c>
      <c r="F94" s="34">
        <f t="shared" si="28"/>
        <v>15562.509999999998</v>
      </c>
      <c r="G94" s="34">
        <f t="shared" si="28"/>
        <v>3739.8900000000003</v>
      </c>
      <c r="H94" s="26">
        <f t="shared" si="28"/>
        <v>3362.55</v>
      </c>
      <c r="I94" s="34">
        <f t="shared" si="28"/>
        <v>85.5</v>
      </c>
      <c r="J94" s="34">
        <f t="shared" si="28"/>
        <v>7478.57</v>
      </c>
      <c r="K94" s="34">
        <f t="shared" si="28"/>
        <v>7677.22</v>
      </c>
      <c r="L94" s="34">
        <f t="shared" si="28"/>
        <v>7685.07</v>
      </c>
      <c r="M94" s="136">
        <f t="shared" si="28"/>
        <v>7720.47</v>
      </c>
      <c r="N94" s="34">
        <f t="shared" si="28"/>
        <v>7730.33</v>
      </c>
      <c r="O94" s="34">
        <f t="shared" si="28"/>
        <v>7677.98</v>
      </c>
      <c r="P94" s="34">
        <f t="shared" si="28"/>
        <v>7135.27</v>
      </c>
      <c r="X94" s="10"/>
    </row>
    <row r="95" spans="1:25" x14ac:dyDescent="0.25">
      <c r="A95" s="8"/>
      <c r="B95" s="243" t="s">
        <v>59</v>
      </c>
      <c r="C95" s="243"/>
      <c r="E95" s="35">
        <f>-8971.45</f>
        <v>-8971.4500000000007</v>
      </c>
      <c r="F95" s="36">
        <f>-4824.56</f>
        <v>-4824.5600000000004</v>
      </c>
      <c r="G95" s="36">
        <v>-13679.99</v>
      </c>
      <c r="H95" s="36">
        <v>-11496.72</v>
      </c>
      <c r="I95" s="36">
        <v>-6319.15</v>
      </c>
      <c r="J95" s="36">
        <f>-5469.15</f>
        <v>-5469.15</v>
      </c>
      <c r="K95" s="36">
        <f>-9616.03</f>
        <v>-9616.0300000000007</v>
      </c>
      <c r="L95" s="144">
        <f>-5469.13</f>
        <v>-5469.13</v>
      </c>
      <c r="M95" s="144">
        <v>-4202.4799999999996</v>
      </c>
      <c r="N95" s="212">
        <v>-4207.59</v>
      </c>
      <c r="O95" s="136">
        <v>0</v>
      </c>
      <c r="P95" s="136">
        <v>0</v>
      </c>
      <c r="X95" s="10"/>
    </row>
    <row r="96" spans="1:25" x14ac:dyDescent="0.25">
      <c r="A96" s="8"/>
      <c r="B96" s="243" t="s">
        <v>60</v>
      </c>
      <c r="C96" s="243"/>
      <c r="E96" s="26">
        <v>15.26</v>
      </c>
      <c r="F96" s="28">
        <f>22.73</f>
        <v>22.73</v>
      </c>
      <c r="G96" s="28">
        <f>12.44+4.43</f>
        <v>16.869999999999997</v>
      </c>
      <c r="H96" s="79">
        <v>3.2</v>
      </c>
      <c r="I96" s="136">
        <f>1.71+5.69</f>
        <v>7.4</v>
      </c>
      <c r="J96" s="27">
        <f>14.17+11.01</f>
        <v>25.18</v>
      </c>
      <c r="K96" s="28">
        <f>10.66+10.24</f>
        <v>20.9</v>
      </c>
      <c r="L96" s="199">
        <f>11+9.85</f>
        <v>20.85</v>
      </c>
      <c r="M96" s="136">
        <f>22.57+18.06</f>
        <v>40.629999999999995</v>
      </c>
      <c r="N96" s="132">
        <f>19.03+11.89</f>
        <v>30.92</v>
      </c>
      <c r="O96" s="132">
        <f>18.16+2.47</f>
        <v>20.63</v>
      </c>
      <c r="P96" s="132">
        <v>10.68</v>
      </c>
      <c r="X96" s="10"/>
    </row>
    <row r="97" spans="1:25" x14ac:dyDescent="0.25">
      <c r="A97" s="8"/>
      <c r="B97" s="243" t="s">
        <v>84</v>
      </c>
      <c r="C97" s="243"/>
      <c r="E97" s="26">
        <v>0</v>
      </c>
      <c r="F97" s="26">
        <v>0</v>
      </c>
      <c r="G97" s="35">
        <v>-2830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136">
        <v>0</v>
      </c>
      <c r="N97" s="136">
        <v>0</v>
      </c>
      <c r="O97" s="136">
        <v>0</v>
      </c>
      <c r="P97" s="136">
        <v>0</v>
      </c>
      <c r="X97" s="10"/>
    </row>
    <row r="98" spans="1:25" x14ac:dyDescent="0.25">
      <c r="A98" s="8"/>
      <c r="B98" s="244" t="s">
        <v>61</v>
      </c>
      <c r="C98" s="244"/>
      <c r="E98" s="30">
        <f t="shared" ref="E98:P98" si="29">SUM(E93:E97)</f>
        <v>23182.809999999994</v>
      </c>
      <c r="F98" s="30">
        <f t="shared" si="29"/>
        <v>33943.49</v>
      </c>
      <c r="G98" s="30">
        <f t="shared" si="29"/>
        <v>21190.26</v>
      </c>
      <c r="H98" s="30">
        <f>SUM(H93:H97)</f>
        <v>13059.289999999999</v>
      </c>
      <c r="I98" s="30">
        <f t="shared" si="29"/>
        <v>6833.0399999999991</v>
      </c>
      <c r="J98" s="30">
        <f t="shared" si="29"/>
        <v>8867.64</v>
      </c>
      <c r="K98" s="30">
        <f t="shared" si="29"/>
        <v>6949.73</v>
      </c>
      <c r="L98" s="30">
        <f t="shared" si="29"/>
        <v>9186.5199999999986</v>
      </c>
      <c r="M98" s="30">
        <f t="shared" si="29"/>
        <v>12745.139999999998</v>
      </c>
      <c r="N98" s="30">
        <f t="shared" si="29"/>
        <v>16298.799999999997</v>
      </c>
      <c r="O98" s="30">
        <f t="shared" si="29"/>
        <v>23997.41</v>
      </c>
      <c r="P98" s="30">
        <f t="shared" si="29"/>
        <v>31143.360000000001</v>
      </c>
      <c r="X98" s="10"/>
    </row>
    <row r="99" spans="1:25" x14ac:dyDescent="0.25">
      <c r="A99" s="8"/>
      <c r="B99" s="38"/>
      <c r="C99" s="38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X99" s="10"/>
    </row>
    <row r="100" spans="1:25" ht="40" x14ac:dyDescent="0.25">
      <c r="A100" s="8"/>
      <c r="B100" s="250" t="s">
        <v>105</v>
      </c>
      <c r="C100" s="250"/>
      <c r="D100" s="68"/>
      <c r="E100" s="51" t="s">
        <v>63</v>
      </c>
      <c r="F100" s="51" t="s">
        <v>64</v>
      </c>
      <c r="G100" s="51" t="s">
        <v>65</v>
      </c>
      <c r="H100" s="51" t="s">
        <v>66</v>
      </c>
      <c r="I100" s="51" t="s">
        <v>67</v>
      </c>
      <c r="J100" s="51" t="s">
        <v>68</v>
      </c>
      <c r="K100" s="51" t="s">
        <v>69</v>
      </c>
      <c r="L100" s="51" t="s">
        <v>70</v>
      </c>
      <c r="M100" s="51" t="s">
        <v>71</v>
      </c>
      <c r="N100" s="51" t="s">
        <v>72</v>
      </c>
      <c r="O100" s="51" t="s">
        <v>6</v>
      </c>
      <c r="P100" s="215" t="s">
        <v>127</v>
      </c>
      <c r="Q100" s="69"/>
      <c r="R100" s="70" t="s">
        <v>79</v>
      </c>
      <c r="S100" s="70" t="s">
        <v>80</v>
      </c>
      <c r="X100" s="10"/>
    </row>
    <row r="101" spans="1:25" x14ac:dyDescent="0.25">
      <c r="A101" s="8"/>
      <c r="B101" s="251" t="s">
        <v>51</v>
      </c>
      <c r="C101" s="251"/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R101" s="24"/>
      <c r="S101" s="25">
        <f>AVERAGE(E101:P101)</f>
        <v>0</v>
      </c>
      <c r="X101" s="10"/>
    </row>
    <row r="102" spans="1:25" x14ac:dyDescent="0.25">
      <c r="A102" s="8"/>
      <c r="B102" s="243" t="s">
        <v>53</v>
      </c>
      <c r="C102" s="243"/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R102" s="24"/>
      <c r="S102" s="25">
        <f>AVERAGE(E102:P102)</f>
        <v>0</v>
      </c>
      <c r="X102" s="10"/>
    </row>
    <row r="103" spans="1:25" x14ac:dyDescent="0.25">
      <c r="A103" s="8"/>
      <c r="B103" s="243" t="s">
        <v>54</v>
      </c>
      <c r="C103" s="243"/>
      <c r="E103" s="26">
        <v>0</v>
      </c>
      <c r="F103" s="26">
        <v>48.87</v>
      </c>
      <c r="G103" s="140">
        <v>48.87</v>
      </c>
      <c r="H103" s="138">
        <v>360.23</v>
      </c>
      <c r="I103" s="140">
        <v>1.69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R103" s="24"/>
      <c r="S103" s="25">
        <f>AVERAGE(E103:P103)</f>
        <v>38.305</v>
      </c>
      <c r="X103" s="10"/>
    </row>
    <row r="104" spans="1:25" x14ac:dyDescent="0.25">
      <c r="A104" s="8"/>
      <c r="B104" s="244" t="s">
        <v>55</v>
      </c>
      <c r="C104" s="244"/>
      <c r="E104" s="30">
        <f t="shared" ref="E104:N104" si="30">SUM(E101:E103)</f>
        <v>0</v>
      </c>
      <c r="F104" s="30">
        <f t="shared" si="30"/>
        <v>48.87</v>
      </c>
      <c r="G104" s="30">
        <f t="shared" si="30"/>
        <v>48.87</v>
      </c>
      <c r="H104" s="77">
        <f t="shared" si="30"/>
        <v>360.23</v>
      </c>
      <c r="I104" s="30">
        <f t="shared" si="30"/>
        <v>1.69</v>
      </c>
      <c r="J104" s="29">
        <f t="shared" si="30"/>
        <v>0</v>
      </c>
      <c r="K104" s="29">
        <f t="shared" si="30"/>
        <v>0</v>
      </c>
      <c r="L104" s="29">
        <f t="shared" si="30"/>
        <v>0</v>
      </c>
      <c r="M104" s="29">
        <f t="shared" si="30"/>
        <v>0</v>
      </c>
      <c r="N104" s="29">
        <f t="shared" si="30"/>
        <v>0</v>
      </c>
      <c r="O104" s="29"/>
      <c r="P104" s="29">
        <f>SUM(P101:P103)</f>
        <v>0</v>
      </c>
      <c r="R104" s="31">
        <f>SUM(R101:R103)</f>
        <v>0</v>
      </c>
      <c r="S104" s="78">
        <f>SUM(S101:S103)</f>
        <v>38.305</v>
      </c>
      <c r="X104" s="10"/>
    </row>
    <row r="105" spans="1:25" x14ac:dyDescent="0.25">
      <c r="A105" s="8"/>
      <c r="B105" s="38"/>
      <c r="C105" s="38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X105" s="10"/>
    </row>
    <row r="106" spans="1:25" x14ac:dyDescent="0.25">
      <c r="A106" s="8"/>
      <c r="B106" s="245" t="s">
        <v>56</v>
      </c>
      <c r="C106" s="246"/>
      <c r="E106" s="51" t="s">
        <v>63</v>
      </c>
      <c r="F106" s="51" t="s">
        <v>64</v>
      </c>
      <c r="G106" s="51" t="s">
        <v>65</v>
      </c>
      <c r="H106" s="51" t="s">
        <v>66</v>
      </c>
      <c r="I106" s="51" t="s">
        <v>67</v>
      </c>
      <c r="J106" s="51" t="s">
        <v>68</v>
      </c>
      <c r="K106" s="51" t="s">
        <v>69</v>
      </c>
      <c r="L106" s="51" t="s">
        <v>70</v>
      </c>
      <c r="M106" s="51" t="s">
        <v>71</v>
      </c>
      <c r="N106" s="51" t="s">
        <v>72</v>
      </c>
      <c r="O106" s="51" t="s">
        <v>6</v>
      </c>
      <c r="P106" s="215" t="s">
        <v>127</v>
      </c>
      <c r="W106" s="33"/>
      <c r="X106" s="32"/>
      <c r="Y106" s="33"/>
    </row>
    <row r="107" spans="1:25" x14ac:dyDescent="0.25">
      <c r="A107" s="8"/>
      <c r="B107" s="243" t="s">
        <v>57</v>
      </c>
      <c r="C107" s="243"/>
      <c r="E107" s="28">
        <v>-3322.85</v>
      </c>
      <c r="F107" s="28">
        <f t="shared" ref="F107:L107" si="31">E112</f>
        <v>-3322.85</v>
      </c>
      <c r="G107" s="28">
        <f t="shared" si="31"/>
        <v>-3269.37</v>
      </c>
      <c r="H107" s="28">
        <f t="shared" si="31"/>
        <v>-3215.88</v>
      </c>
      <c r="I107" s="28">
        <f t="shared" si="31"/>
        <v>-2806.57</v>
      </c>
      <c r="J107" s="28">
        <f t="shared" si="31"/>
        <v>-2804.7200000000003</v>
      </c>
      <c r="K107" s="28">
        <f t="shared" si="31"/>
        <v>-2804.7200000000003</v>
      </c>
      <c r="L107" s="28">
        <f t="shared" si="31"/>
        <v>-2804.7200000000003</v>
      </c>
      <c r="M107" s="118">
        <v>0</v>
      </c>
      <c r="N107" s="118">
        <v>0</v>
      </c>
      <c r="O107" s="118">
        <v>0</v>
      </c>
      <c r="P107" s="118">
        <v>0</v>
      </c>
      <c r="X107" s="10"/>
    </row>
    <row r="108" spans="1:25" x14ac:dyDescent="0.25">
      <c r="A108" s="8"/>
      <c r="B108" s="243" t="s">
        <v>58</v>
      </c>
      <c r="C108" s="243"/>
      <c r="E108" s="118">
        <v>0</v>
      </c>
      <c r="F108" s="34">
        <f>F104</f>
        <v>48.87</v>
      </c>
      <c r="G108" s="34">
        <f>G104</f>
        <v>48.87</v>
      </c>
      <c r="H108" s="34">
        <f>H104</f>
        <v>360.23</v>
      </c>
      <c r="I108" s="34">
        <f>I104</f>
        <v>1.69</v>
      </c>
      <c r="J108" s="118">
        <v>0</v>
      </c>
      <c r="K108" s="118">
        <v>0</v>
      </c>
      <c r="L108" s="118">
        <v>0</v>
      </c>
      <c r="M108" s="118">
        <v>0</v>
      </c>
      <c r="N108" s="118">
        <v>0</v>
      </c>
      <c r="O108" s="118">
        <v>0</v>
      </c>
      <c r="P108" s="118">
        <v>0</v>
      </c>
      <c r="X108" s="10"/>
    </row>
    <row r="109" spans="1:25" x14ac:dyDescent="0.25">
      <c r="A109" s="8"/>
      <c r="B109" s="243" t="s">
        <v>59</v>
      </c>
      <c r="C109" s="243"/>
      <c r="E109" s="118">
        <v>0</v>
      </c>
      <c r="F109" s="118">
        <v>0</v>
      </c>
      <c r="G109" s="118">
        <v>0</v>
      </c>
      <c r="H109" s="118">
        <v>0</v>
      </c>
      <c r="I109" s="26">
        <v>0</v>
      </c>
      <c r="J109" s="118">
        <v>0</v>
      </c>
      <c r="K109" s="118">
        <v>0</v>
      </c>
      <c r="L109" s="118">
        <v>0</v>
      </c>
      <c r="M109" s="118">
        <v>0</v>
      </c>
      <c r="N109" s="118">
        <v>0</v>
      </c>
      <c r="O109" s="118">
        <v>0</v>
      </c>
      <c r="P109" s="118">
        <v>0</v>
      </c>
      <c r="X109" s="10"/>
    </row>
    <row r="110" spans="1:25" x14ac:dyDescent="0.25">
      <c r="A110" s="8"/>
      <c r="B110" s="243" t="s">
        <v>60</v>
      </c>
      <c r="C110" s="243"/>
      <c r="E110" s="118">
        <v>0</v>
      </c>
      <c r="F110" s="28">
        <f>0.98+3.63</f>
        <v>4.6099999999999994</v>
      </c>
      <c r="G110" s="28">
        <f>0.98+3.64</f>
        <v>4.62</v>
      </c>
      <c r="H110" s="79">
        <f>7.2+41.88</f>
        <v>49.080000000000005</v>
      </c>
      <c r="I110" s="26">
        <f>0.03+0.13</f>
        <v>0.16</v>
      </c>
      <c r="J110" s="118">
        <v>0</v>
      </c>
      <c r="K110" s="118">
        <v>0</v>
      </c>
      <c r="L110" s="118">
        <v>0</v>
      </c>
      <c r="M110" s="118">
        <v>0</v>
      </c>
      <c r="N110" s="118">
        <v>0</v>
      </c>
      <c r="O110" s="118">
        <v>0</v>
      </c>
      <c r="P110" s="118">
        <v>0</v>
      </c>
      <c r="X110" s="10"/>
    </row>
    <row r="111" spans="1:25" x14ac:dyDescent="0.25">
      <c r="A111" s="8"/>
      <c r="B111" s="243" t="s">
        <v>84</v>
      </c>
      <c r="C111" s="243"/>
      <c r="E111" s="118">
        <v>0</v>
      </c>
      <c r="F111" s="118">
        <v>0</v>
      </c>
      <c r="G111" s="118">
        <v>0</v>
      </c>
      <c r="H111" s="118">
        <v>0</v>
      </c>
      <c r="I111" s="118">
        <v>0</v>
      </c>
      <c r="J111" s="118">
        <v>0</v>
      </c>
      <c r="K111" s="118">
        <v>0</v>
      </c>
      <c r="L111" s="26">
        <v>2804.72</v>
      </c>
      <c r="M111" s="118">
        <v>0</v>
      </c>
      <c r="N111" s="118">
        <v>0</v>
      </c>
      <c r="O111" s="118">
        <v>0</v>
      </c>
      <c r="P111" s="118">
        <v>0</v>
      </c>
      <c r="X111" s="10"/>
    </row>
    <row r="112" spans="1:25" x14ac:dyDescent="0.25">
      <c r="A112" s="8"/>
      <c r="B112" s="244" t="s">
        <v>61</v>
      </c>
      <c r="C112" s="244"/>
      <c r="E112" s="30">
        <f t="shared" ref="E112:M112" si="32">SUM(E107:E111)</f>
        <v>-3322.85</v>
      </c>
      <c r="F112" s="30">
        <f t="shared" si="32"/>
        <v>-3269.37</v>
      </c>
      <c r="G112" s="30">
        <f t="shared" si="32"/>
        <v>-3215.88</v>
      </c>
      <c r="H112" s="30">
        <f t="shared" si="32"/>
        <v>-2806.57</v>
      </c>
      <c r="I112" s="30">
        <f>SUM(I107:I111)</f>
        <v>-2804.7200000000003</v>
      </c>
      <c r="J112" s="30">
        <f t="shared" si="32"/>
        <v>-2804.7200000000003</v>
      </c>
      <c r="K112" s="30">
        <f t="shared" si="32"/>
        <v>-2804.7200000000003</v>
      </c>
      <c r="L112" s="30">
        <f t="shared" si="32"/>
        <v>0</v>
      </c>
      <c r="M112" s="30">
        <f t="shared" si="32"/>
        <v>0</v>
      </c>
      <c r="N112" s="81"/>
      <c r="O112" s="81"/>
      <c r="P112" s="81"/>
      <c r="X112" s="10"/>
    </row>
    <row r="113" spans="1:25" x14ac:dyDescent="0.25">
      <c r="A113" s="8"/>
      <c r="B113" s="38"/>
      <c r="C113" s="38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X113" s="10"/>
    </row>
    <row r="114" spans="1:25" ht="40" x14ac:dyDescent="0.25">
      <c r="A114" s="8"/>
      <c r="B114" s="249" t="s">
        <v>106</v>
      </c>
      <c r="C114" s="250"/>
      <c r="D114" s="68"/>
      <c r="E114" s="51" t="s">
        <v>63</v>
      </c>
      <c r="F114" s="51" t="s">
        <v>64</v>
      </c>
      <c r="G114" s="51" t="s">
        <v>65</v>
      </c>
      <c r="H114" s="51" t="s">
        <v>66</v>
      </c>
      <c r="I114" s="51" t="s">
        <v>67</v>
      </c>
      <c r="J114" s="51" t="s">
        <v>68</v>
      </c>
      <c r="K114" s="51" t="s">
        <v>69</v>
      </c>
      <c r="L114" s="51" t="s">
        <v>70</v>
      </c>
      <c r="M114" s="51" t="s">
        <v>71</v>
      </c>
      <c r="N114" s="51" t="s">
        <v>72</v>
      </c>
      <c r="O114" s="51" t="s">
        <v>6</v>
      </c>
      <c r="P114" s="215" t="s">
        <v>127</v>
      </c>
      <c r="Q114" s="69"/>
      <c r="R114" s="70" t="s">
        <v>79</v>
      </c>
      <c r="S114" s="70" t="s">
        <v>80</v>
      </c>
      <c r="X114" s="10"/>
    </row>
    <row r="115" spans="1:25" x14ac:dyDescent="0.25">
      <c r="A115" s="8"/>
      <c r="B115" s="251" t="s">
        <v>51</v>
      </c>
      <c r="C115" s="251"/>
      <c r="E115" s="128">
        <v>700</v>
      </c>
      <c r="F115" s="26">
        <v>0</v>
      </c>
      <c r="G115" s="26">
        <v>350</v>
      </c>
      <c r="H115" s="128">
        <v>80</v>
      </c>
      <c r="I115" s="128">
        <v>700</v>
      </c>
      <c r="J115" s="128">
        <v>700</v>
      </c>
      <c r="K115" s="128">
        <v>80</v>
      </c>
      <c r="L115" s="128">
        <v>400</v>
      </c>
      <c r="M115" s="26">
        <v>0</v>
      </c>
      <c r="N115" s="128">
        <v>1150</v>
      </c>
      <c r="O115" s="128">
        <v>350</v>
      </c>
      <c r="P115" s="26">
        <v>0</v>
      </c>
      <c r="R115" s="24"/>
      <c r="S115" s="25">
        <f>AVERAGE(E115:P115)</f>
        <v>375.83333333333331</v>
      </c>
      <c r="X115" s="10"/>
    </row>
    <row r="116" spans="1:25" x14ac:dyDescent="0.25">
      <c r="A116" s="8"/>
      <c r="B116" s="253" t="s">
        <v>128</v>
      </c>
      <c r="C116" s="243"/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132">
        <v>-350</v>
      </c>
      <c r="O116" s="26">
        <v>0</v>
      </c>
      <c r="P116" s="26">
        <v>0</v>
      </c>
      <c r="R116" s="24"/>
      <c r="S116" s="25">
        <f>AVERAGE(E116:P116)</f>
        <v>-29.166666666666668</v>
      </c>
      <c r="X116" s="10"/>
    </row>
    <row r="117" spans="1:25" x14ac:dyDescent="0.25">
      <c r="A117" s="8"/>
      <c r="B117" s="243" t="s">
        <v>54</v>
      </c>
      <c r="C117" s="243"/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R117" s="24"/>
      <c r="S117" s="25">
        <f>AVERAGE(E117:P117)</f>
        <v>0</v>
      </c>
      <c r="X117" s="10"/>
    </row>
    <row r="118" spans="1:25" x14ac:dyDescent="0.25">
      <c r="A118" s="8"/>
      <c r="B118" s="244" t="s">
        <v>55</v>
      </c>
      <c r="C118" s="244"/>
      <c r="E118" s="30">
        <f t="shared" ref="E118:P118" si="33">SUM(E115:E117)</f>
        <v>700</v>
      </c>
      <c r="F118" s="30">
        <f t="shared" si="33"/>
        <v>0</v>
      </c>
      <c r="G118" s="30">
        <f t="shared" si="33"/>
        <v>350</v>
      </c>
      <c r="H118" s="77">
        <f t="shared" si="33"/>
        <v>80</v>
      </c>
      <c r="I118" s="30">
        <f t="shared" si="33"/>
        <v>700</v>
      </c>
      <c r="J118" s="29">
        <f t="shared" si="33"/>
        <v>700</v>
      </c>
      <c r="K118" s="29">
        <f t="shared" si="33"/>
        <v>80</v>
      </c>
      <c r="L118" s="29">
        <f t="shared" si="33"/>
        <v>400</v>
      </c>
      <c r="M118" s="29">
        <f t="shared" si="33"/>
        <v>0</v>
      </c>
      <c r="N118" s="29">
        <f t="shared" si="33"/>
        <v>800</v>
      </c>
      <c r="O118" s="29">
        <f t="shared" si="33"/>
        <v>350</v>
      </c>
      <c r="P118" s="29">
        <f t="shared" si="33"/>
        <v>0</v>
      </c>
      <c r="R118" s="31">
        <f>SUM(R115:R117)</f>
        <v>0</v>
      </c>
      <c r="S118" s="78">
        <f>SUM(S115:S117)</f>
        <v>346.66666666666663</v>
      </c>
      <c r="X118" s="10"/>
    </row>
    <row r="119" spans="1:25" x14ac:dyDescent="0.25">
      <c r="A119" s="8"/>
      <c r="B119" s="38"/>
      <c r="C119" s="38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X119" s="10"/>
    </row>
    <row r="120" spans="1:25" x14ac:dyDescent="0.25">
      <c r="A120" s="8"/>
      <c r="B120" s="245" t="s">
        <v>107</v>
      </c>
      <c r="C120" s="246"/>
      <c r="E120" s="51" t="s">
        <v>63</v>
      </c>
      <c r="F120" s="51" t="s">
        <v>64</v>
      </c>
      <c r="G120" s="51" t="s">
        <v>65</v>
      </c>
      <c r="H120" s="51" t="s">
        <v>66</v>
      </c>
      <c r="I120" s="51" t="s">
        <v>67</v>
      </c>
      <c r="J120" s="51" t="s">
        <v>68</v>
      </c>
      <c r="K120" s="51" t="s">
        <v>69</v>
      </c>
      <c r="L120" s="51" t="s">
        <v>70</v>
      </c>
      <c r="M120" s="51" t="s">
        <v>71</v>
      </c>
      <c r="N120" s="51" t="s">
        <v>72</v>
      </c>
      <c r="O120" s="51" t="s">
        <v>6</v>
      </c>
      <c r="P120" s="215" t="s">
        <v>127</v>
      </c>
      <c r="W120" s="33"/>
      <c r="X120" s="32"/>
      <c r="Y120" s="33"/>
    </row>
    <row r="121" spans="1:25" x14ac:dyDescent="0.25">
      <c r="A121" s="8"/>
      <c r="B121" s="243" t="s">
        <v>57</v>
      </c>
      <c r="C121" s="243"/>
      <c r="E121" s="28">
        <v>6974</v>
      </c>
      <c r="F121" s="28">
        <f t="shared" ref="F121:P121" si="34">E126</f>
        <v>7674</v>
      </c>
      <c r="G121" s="28">
        <f t="shared" si="34"/>
        <v>7674</v>
      </c>
      <c r="H121" s="28">
        <f t="shared" si="34"/>
        <v>8024</v>
      </c>
      <c r="I121" s="28">
        <f t="shared" si="34"/>
        <v>8104</v>
      </c>
      <c r="J121" s="28">
        <f t="shared" si="34"/>
        <v>8804</v>
      </c>
      <c r="K121" s="28">
        <f t="shared" si="34"/>
        <v>9504</v>
      </c>
      <c r="L121" s="28">
        <f t="shared" si="34"/>
        <v>9584</v>
      </c>
      <c r="M121" s="28">
        <f t="shared" si="34"/>
        <v>7179.2800000000007</v>
      </c>
      <c r="N121" s="28">
        <f t="shared" si="34"/>
        <v>7179.2800000000007</v>
      </c>
      <c r="O121" s="28">
        <f t="shared" si="34"/>
        <v>7979.2800000000007</v>
      </c>
      <c r="P121" s="28">
        <f t="shared" si="34"/>
        <v>7341.14</v>
      </c>
      <c r="X121" s="10"/>
    </row>
    <row r="122" spans="1:25" x14ac:dyDescent="0.25">
      <c r="A122" s="8"/>
      <c r="B122" s="243" t="s">
        <v>58</v>
      </c>
      <c r="C122" s="243"/>
      <c r="E122" s="34">
        <f>E118</f>
        <v>700</v>
      </c>
      <c r="F122" s="119">
        <v>0</v>
      </c>
      <c r="G122" s="34">
        <f t="shared" ref="G122:L122" si="35">G118</f>
        <v>350</v>
      </c>
      <c r="H122" s="34">
        <f t="shared" si="35"/>
        <v>80</v>
      </c>
      <c r="I122" s="34">
        <f t="shared" si="35"/>
        <v>700</v>
      </c>
      <c r="J122" s="34">
        <f t="shared" si="35"/>
        <v>700</v>
      </c>
      <c r="K122" s="34">
        <f t="shared" si="35"/>
        <v>80</v>
      </c>
      <c r="L122" s="34">
        <f t="shared" si="35"/>
        <v>400</v>
      </c>
      <c r="M122" s="119">
        <v>0</v>
      </c>
      <c r="N122" s="34">
        <f>N118</f>
        <v>800</v>
      </c>
      <c r="O122" s="34">
        <f>O118</f>
        <v>350</v>
      </c>
      <c r="P122" s="119">
        <v>0</v>
      </c>
      <c r="X122" s="10"/>
    </row>
    <row r="123" spans="1:25" x14ac:dyDescent="0.25">
      <c r="A123" s="8"/>
      <c r="B123" s="243" t="s">
        <v>59</v>
      </c>
      <c r="C123" s="243"/>
      <c r="E123" s="119">
        <v>0</v>
      </c>
      <c r="F123" s="119">
        <v>0</v>
      </c>
      <c r="G123" s="119">
        <v>0</v>
      </c>
      <c r="H123" s="119">
        <v>0</v>
      </c>
      <c r="I123" s="119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28">
        <f>-1000</f>
        <v>-1000</v>
      </c>
      <c r="P123" s="28">
        <f>-1000</f>
        <v>-1000</v>
      </c>
      <c r="X123" s="10"/>
    </row>
    <row r="124" spans="1:25" x14ac:dyDescent="0.25">
      <c r="A124" s="8"/>
      <c r="B124" s="243" t="s">
        <v>60</v>
      </c>
      <c r="C124" s="243"/>
      <c r="E124" s="119">
        <v>0</v>
      </c>
      <c r="F124" s="119">
        <v>0</v>
      </c>
      <c r="G124" s="119">
        <v>0</v>
      </c>
      <c r="H124" s="119">
        <v>0</v>
      </c>
      <c r="I124" s="119">
        <v>0</v>
      </c>
      <c r="J124" s="119">
        <v>0</v>
      </c>
      <c r="K124" s="119">
        <v>0</v>
      </c>
      <c r="L124" s="119">
        <v>0</v>
      </c>
      <c r="M124" s="119">
        <v>0</v>
      </c>
      <c r="N124" s="119">
        <v>0</v>
      </c>
      <c r="O124" s="28">
        <f>6.99+4.87</f>
        <v>11.86</v>
      </c>
      <c r="P124" s="119">
        <v>0</v>
      </c>
      <c r="X124" s="10"/>
    </row>
    <row r="125" spans="1:25" x14ac:dyDescent="0.25">
      <c r="A125" s="8"/>
      <c r="B125" s="243" t="s">
        <v>84</v>
      </c>
      <c r="C125" s="243"/>
      <c r="E125" s="119">
        <v>0</v>
      </c>
      <c r="F125" s="119">
        <v>0</v>
      </c>
      <c r="G125" s="119">
        <v>0</v>
      </c>
      <c r="H125" s="119">
        <v>0</v>
      </c>
      <c r="I125" s="119">
        <v>0</v>
      </c>
      <c r="J125" s="119">
        <v>0</v>
      </c>
      <c r="K125" s="119">
        <v>0</v>
      </c>
      <c r="L125" s="119">
        <v>-2804.72</v>
      </c>
      <c r="M125" s="119">
        <v>0</v>
      </c>
      <c r="N125" s="119">
        <v>0</v>
      </c>
      <c r="O125" s="119">
        <v>0</v>
      </c>
      <c r="P125" s="119">
        <v>0</v>
      </c>
      <c r="X125" s="10"/>
    </row>
    <row r="126" spans="1:25" x14ac:dyDescent="0.25">
      <c r="A126" s="8"/>
      <c r="B126" s="244" t="s">
        <v>61</v>
      </c>
      <c r="C126" s="244"/>
      <c r="E126" s="30">
        <f t="shared" ref="E126:P126" si="36">SUM(E121:E125)</f>
        <v>7674</v>
      </c>
      <c r="F126" s="30">
        <f t="shared" si="36"/>
        <v>7674</v>
      </c>
      <c r="G126" s="30">
        <f t="shared" si="36"/>
        <v>8024</v>
      </c>
      <c r="H126" s="30">
        <f t="shared" si="36"/>
        <v>8104</v>
      </c>
      <c r="I126" s="30">
        <f t="shared" si="36"/>
        <v>8804</v>
      </c>
      <c r="J126" s="30">
        <f t="shared" si="36"/>
        <v>9504</v>
      </c>
      <c r="K126" s="30">
        <f t="shared" si="36"/>
        <v>9584</v>
      </c>
      <c r="L126" s="30">
        <f t="shared" si="36"/>
        <v>7179.2800000000007</v>
      </c>
      <c r="M126" s="30">
        <f t="shared" si="36"/>
        <v>7179.2800000000007</v>
      </c>
      <c r="N126" s="30">
        <f t="shared" si="36"/>
        <v>7979.2800000000007</v>
      </c>
      <c r="O126" s="30">
        <f t="shared" si="36"/>
        <v>7341.14</v>
      </c>
      <c r="P126" s="30">
        <f t="shared" si="36"/>
        <v>6341.14</v>
      </c>
      <c r="X126" s="10"/>
    </row>
    <row r="127" spans="1:25" x14ac:dyDescent="0.25">
      <c r="A127" s="8"/>
      <c r="B127" s="121"/>
      <c r="C127" s="121"/>
      <c r="D127" s="122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X127" s="10"/>
    </row>
    <row r="128" spans="1:25" ht="40" x14ac:dyDescent="0.25">
      <c r="A128" s="8"/>
      <c r="B128" s="249" t="s">
        <v>108</v>
      </c>
      <c r="C128" s="250"/>
      <c r="D128" s="68"/>
      <c r="E128" s="51" t="s">
        <v>63</v>
      </c>
      <c r="F128" s="51" t="s">
        <v>64</v>
      </c>
      <c r="G128" s="51" t="s">
        <v>65</v>
      </c>
      <c r="H128" s="51" t="s">
        <v>66</v>
      </c>
      <c r="I128" s="51" t="s">
        <v>67</v>
      </c>
      <c r="J128" s="51" t="s">
        <v>68</v>
      </c>
      <c r="K128" s="51" t="s">
        <v>69</v>
      </c>
      <c r="L128" s="51" t="s">
        <v>70</v>
      </c>
      <c r="M128" s="51" t="s">
        <v>71</v>
      </c>
      <c r="N128" s="51" t="s">
        <v>72</v>
      </c>
      <c r="O128" s="51" t="s">
        <v>6</v>
      </c>
      <c r="P128" s="215" t="s">
        <v>127</v>
      </c>
      <c r="Q128" s="69"/>
      <c r="R128" s="70" t="s">
        <v>79</v>
      </c>
      <c r="S128" s="70" t="s">
        <v>80</v>
      </c>
      <c r="X128" s="10"/>
    </row>
    <row r="129" spans="1:24" x14ac:dyDescent="0.25">
      <c r="A129" s="8"/>
      <c r="B129" s="251" t="s">
        <v>51</v>
      </c>
      <c r="C129" s="251"/>
      <c r="E129" s="128">
        <v>7313.96</v>
      </c>
      <c r="F129" s="128">
        <v>5847.96</v>
      </c>
      <c r="G129" s="128">
        <v>6038.76</v>
      </c>
      <c r="H129" s="128">
        <v>7149.06</v>
      </c>
      <c r="I129" s="128">
        <v>5170.47</v>
      </c>
      <c r="J129" s="128">
        <v>7416.14</v>
      </c>
      <c r="K129" s="128">
        <v>6264.73</v>
      </c>
      <c r="L129" s="128">
        <v>5668.24</v>
      </c>
      <c r="M129" s="128">
        <v>5833.14</v>
      </c>
      <c r="N129" s="128">
        <v>4099.6400000000003</v>
      </c>
      <c r="O129" s="128">
        <v>7539.9</v>
      </c>
      <c r="P129" s="128">
        <v>6902.33</v>
      </c>
      <c r="R129" s="24"/>
      <c r="S129" s="25">
        <f>AVERAGE(E129:P129)</f>
        <v>6270.3608333333332</v>
      </c>
      <c r="X129" s="10"/>
    </row>
    <row r="130" spans="1:24" x14ac:dyDescent="0.25">
      <c r="A130" s="8"/>
      <c r="B130" s="243" t="s">
        <v>53</v>
      </c>
      <c r="C130" s="243"/>
      <c r="E130" s="132">
        <f>-347.04</f>
        <v>-347.04</v>
      </c>
      <c r="F130" s="132">
        <f>-138.74</f>
        <v>-138.74</v>
      </c>
      <c r="G130" s="119">
        <v>0</v>
      </c>
      <c r="H130" s="119">
        <v>0</v>
      </c>
      <c r="I130" s="137">
        <v>-128.80000000000001</v>
      </c>
      <c r="J130" s="76">
        <v>-184.74</v>
      </c>
      <c r="K130" s="119">
        <v>0</v>
      </c>
      <c r="L130" s="119">
        <v>0</v>
      </c>
      <c r="M130" s="28">
        <v>-145.31</v>
      </c>
      <c r="N130" s="132">
        <v>-97.26</v>
      </c>
      <c r="O130" s="119">
        <v>0</v>
      </c>
      <c r="P130" s="212">
        <v>-335.7</v>
      </c>
      <c r="R130" s="24"/>
      <c r="S130" s="25">
        <f>AVERAGE(E130:P130)</f>
        <v>-114.79916666666668</v>
      </c>
      <c r="X130" s="10"/>
    </row>
    <row r="131" spans="1:24" x14ac:dyDescent="0.25">
      <c r="A131" s="8"/>
      <c r="B131" s="243" t="s">
        <v>54</v>
      </c>
      <c r="C131" s="243"/>
      <c r="E131" s="139">
        <v>0</v>
      </c>
      <c r="F131" s="136">
        <v>220.42</v>
      </c>
      <c r="G131" s="140">
        <v>185.63</v>
      </c>
      <c r="H131" s="138">
        <v>388.74</v>
      </c>
      <c r="I131" s="140">
        <v>55.09</v>
      </c>
      <c r="J131" s="76">
        <v>232.2</v>
      </c>
      <c r="K131" s="75">
        <v>74.58</v>
      </c>
      <c r="L131" s="28">
        <v>65.84</v>
      </c>
      <c r="M131" s="136">
        <v>280.10000000000002</v>
      </c>
      <c r="N131" s="136">
        <v>237.86</v>
      </c>
      <c r="O131" s="136">
        <v>97.26</v>
      </c>
      <c r="P131" s="136">
        <v>0</v>
      </c>
      <c r="R131" s="24"/>
      <c r="S131" s="25">
        <f>AVERAGE(E131:P131)</f>
        <v>153.14333333333335</v>
      </c>
      <c r="X131" s="10"/>
    </row>
    <row r="132" spans="1:24" x14ac:dyDescent="0.25">
      <c r="A132" s="8"/>
      <c r="B132" s="244" t="s">
        <v>55</v>
      </c>
      <c r="C132" s="244"/>
      <c r="E132" s="30">
        <f t="shared" ref="E132:P132" si="37">SUM(E129:E131)</f>
        <v>6966.92</v>
      </c>
      <c r="F132" s="30">
        <f t="shared" si="37"/>
        <v>5929.64</v>
      </c>
      <c r="G132" s="30">
        <f t="shared" si="37"/>
        <v>6224.39</v>
      </c>
      <c r="H132" s="77">
        <f t="shared" si="37"/>
        <v>7537.8</v>
      </c>
      <c r="I132" s="30">
        <f t="shared" si="37"/>
        <v>5096.76</v>
      </c>
      <c r="J132" s="29">
        <f t="shared" si="37"/>
        <v>7463.6</v>
      </c>
      <c r="K132" s="29">
        <f t="shared" si="37"/>
        <v>6339.3099999999995</v>
      </c>
      <c r="L132" s="29">
        <f t="shared" si="37"/>
        <v>5734.08</v>
      </c>
      <c r="M132" s="29">
        <f t="shared" si="37"/>
        <v>5967.93</v>
      </c>
      <c r="N132" s="29">
        <f t="shared" si="37"/>
        <v>4240.24</v>
      </c>
      <c r="O132" s="29">
        <f t="shared" si="37"/>
        <v>7637.16</v>
      </c>
      <c r="P132" s="29">
        <f t="shared" si="37"/>
        <v>6566.63</v>
      </c>
      <c r="R132" s="31">
        <f>SUM(R129:R131)</f>
        <v>0</v>
      </c>
      <c r="S132" s="78">
        <f>SUM(S129:S131)</f>
        <v>6308.7049999999999</v>
      </c>
      <c r="X132" s="10"/>
    </row>
    <row r="133" spans="1:24" x14ac:dyDescent="0.25">
      <c r="A133" s="8"/>
      <c r="B133" s="38"/>
      <c r="C133" s="38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X133" s="10"/>
    </row>
    <row r="134" spans="1:24" x14ac:dyDescent="0.25">
      <c r="A134" s="8"/>
      <c r="B134" s="245" t="s">
        <v>109</v>
      </c>
      <c r="C134" s="246"/>
      <c r="E134" s="51" t="s">
        <v>63</v>
      </c>
      <c r="F134" s="51" t="s">
        <v>64</v>
      </c>
      <c r="G134" s="51" t="s">
        <v>65</v>
      </c>
      <c r="H134" s="51" t="s">
        <v>66</v>
      </c>
      <c r="I134" s="51" t="s">
        <v>67</v>
      </c>
      <c r="J134" s="51" t="s">
        <v>68</v>
      </c>
      <c r="K134" s="51" t="s">
        <v>69</v>
      </c>
      <c r="L134" s="51" t="s">
        <v>70</v>
      </c>
      <c r="M134" s="51" t="s">
        <v>71</v>
      </c>
      <c r="N134" s="51" t="s">
        <v>72</v>
      </c>
      <c r="O134" s="51" t="s">
        <v>6</v>
      </c>
      <c r="P134" s="215" t="s">
        <v>127</v>
      </c>
      <c r="X134" s="10"/>
    </row>
    <row r="135" spans="1:24" x14ac:dyDescent="0.25">
      <c r="A135" s="8"/>
      <c r="B135" s="243" t="s">
        <v>57</v>
      </c>
      <c r="C135" s="243"/>
      <c r="E135" s="28">
        <v>-3590.86</v>
      </c>
      <c r="F135" s="28">
        <f t="shared" ref="F135:P135" si="38">E140</f>
        <v>-2464.6800000000003</v>
      </c>
      <c r="G135" s="28">
        <f t="shared" si="38"/>
        <v>-2561</v>
      </c>
      <c r="H135" s="28">
        <f t="shared" si="38"/>
        <v>-3468.1999999999994</v>
      </c>
      <c r="I135" s="28">
        <f t="shared" si="38"/>
        <v>-1040.6699999999989</v>
      </c>
      <c r="J135" s="28">
        <f t="shared" si="38"/>
        <v>-3342.7099999999991</v>
      </c>
      <c r="K135" s="28">
        <f t="shared" si="38"/>
        <v>-2120.1299999999992</v>
      </c>
      <c r="L135" s="28">
        <f t="shared" si="38"/>
        <v>-1437.1699999999996</v>
      </c>
      <c r="M135" s="28">
        <f t="shared" si="38"/>
        <v>-1525.7900000000006</v>
      </c>
      <c r="N135" s="28">
        <f t="shared" si="38"/>
        <v>372.26999999999907</v>
      </c>
      <c r="O135" s="28">
        <f t="shared" si="38"/>
        <v>-2910.2000000000016</v>
      </c>
      <c r="P135" s="28">
        <f t="shared" si="38"/>
        <v>-2157.4000000000019</v>
      </c>
      <c r="X135" s="10"/>
    </row>
    <row r="136" spans="1:24" x14ac:dyDescent="0.25">
      <c r="A136" s="8"/>
      <c r="B136" s="243" t="s">
        <v>58</v>
      </c>
      <c r="C136" s="243"/>
      <c r="E136" s="34">
        <f t="shared" ref="E136:P136" si="39">E132</f>
        <v>6966.92</v>
      </c>
      <c r="F136" s="34">
        <f t="shared" si="39"/>
        <v>5929.64</v>
      </c>
      <c r="G136" s="34">
        <f t="shared" si="39"/>
        <v>6224.39</v>
      </c>
      <c r="H136" s="34">
        <f t="shared" si="39"/>
        <v>7537.8</v>
      </c>
      <c r="I136" s="34">
        <f t="shared" si="39"/>
        <v>5096.76</v>
      </c>
      <c r="J136" s="34">
        <f t="shared" si="39"/>
        <v>7463.6</v>
      </c>
      <c r="K136" s="34">
        <f t="shared" si="39"/>
        <v>6339.3099999999995</v>
      </c>
      <c r="L136" s="34">
        <f t="shared" si="39"/>
        <v>5734.08</v>
      </c>
      <c r="M136" s="34">
        <f t="shared" si="39"/>
        <v>5967.93</v>
      </c>
      <c r="N136" s="34">
        <f t="shared" si="39"/>
        <v>4240.24</v>
      </c>
      <c r="O136" s="34">
        <f t="shared" si="39"/>
        <v>7637.16</v>
      </c>
      <c r="P136" s="34">
        <f t="shared" si="39"/>
        <v>6566.63</v>
      </c>
      <c r="X136" s="10"/>
    </row>
    <row r="137" spans="1:24" x14ac:dyDescent="0.25">
      <c r="A137" s="8"/>
      <c r="B137" s="243" t="s">
        <v>59</v>
      </c>
      <c r="C137" s="243"/>
      <c r="E137" s="36">
        <v>-5848.02</v>
      </c>
      <c r="F137" s="35">
        <v>-6038.84</v>
      </c>
      <c r="G137" s="35">
        <f>-7149.16</f>
        <v>-7149.16</v>
      </c>
      <c r="H137" s="35">
        <f>-5170.53</f>
        <v>-5170.53</v>
      </c>
      <c r="I137" s="35">
        <f>-7416.1</f>
        <v>-7416.1</v>
      </c>
      <c r="J137" s="36">
        <v>-6264.76</v>
      </c>
      <c r="K137" s="36">
        <v>-5668.2</v>
      </c>
      <c r="L137" s="36">
        <f>-5833.02</f>
        <v>-5833.02</v>
      </c>
      <c r="M137" s="35">
        <f>-4099.6</f>
        <v>-4099.6000000000004</v>
      </c>
      <c r="N137" s="36">
        <v>-7539.91</v>
      </c>
      <c r="O137" s="36">
        <f>-6902.34</f>
        <v>-6902.34</v>
      </c>
      <c r="P137" s="28">
        <f>-6161.85</f>
        <v>-6161.85</v>
      </c>
      <c r="X137" s="10"/>
    </row>
    <row r="138" spans="1:24" x14ac:dyDescent="0.25">
      <c r="A138" s="8"/>
      <c r="B138" s="243" t="s">
        <v>60</v>
      </c>
      <c r="C138" s="243"/>
      <c r="E138" s="28">
        <v>7.28</v>
      </c>
      <c r="F138" s="28">
        <f>9.39+3.49</f>
        <v>12.88</v>
      </c>
      <c r="G138" s="28">
        <f>12.46+5.11</f>
        <v>17.57</v>
      </c>
      <c r="H138" s="79">
        <f>14.55+45.71</f>
        <v>60.260000000000005</v>
      </c>
      <c r="I138" s="26">
        <f>13.61+3.69</f>
        <v>17.3</v>
      </c>
      <c r="J138" s="27">
        <f>15.38+8.36</f>
        <v>23.740000000000002</v>
      </c>
      <c r="K138" s="28">
        <f>7.43+4.42</f>
        <v>11.85</v>
      </c>
      <c r="L138" s="28">
        <f>6.83+3.49</f>
        <v>10.32</v>
      </c>
      <c r="M138" s="28">
        <f>16.82+12.91</f>
        <v>29.73</v>
      </c>
      <c r="N138" s="28">
        <f>10.68+6.52</f>
        <v>17.2</v>
      </c>
      <c r="O138" s="28">
        <f>16.63+1.35</f>
        <v>17.98</v>
      </c>
      <c r="P138" s="28">
        <v>9.81</v>
      </c>
      <c r="X138" s="10"/>
    </row>
    <row r="139" spans="1:24" x14ac:dyDescent="0.25">
      <c r="A139" s="8"/>
      <c r="B139" s="243" t="s">
        <v>84</v>
      </c>
      <c r="C139" s="243"/>
      <c r="E139" s="119">
        <v>0</v>
      </c>
      <c r="F139" s="119">
        <v>0</v>
      </c>
      <c r="G139" s="119">
        <v>0</v>
      </c>
      <c r="H139" s="119">
        <v>0</v>
      </c>
      <c r="I139" s="119">
        <v>0</v>
      </c>
      <c r="J139" s="119">
        <v>0</v>
      </c>
      <c r="K139" s="119">
        <v>0</v>
      </c>
      <c r="L139" s="119">
        <v>0</v>
      </c>
      <c r="M139" s="26">
        <v>0</v>
      </c>
      <c r="N139" s="26">
        <v>0</v>
      </c>
      <c r="O139" s="26">
        <v>0</v>
      </c>
      <c r="P139" s="26">
        <v>0</v>
      </c>
      <c r="X139" s="10"/>
    </row>
    <row r="140" spans="1:24" x14ac:dyDescent="0.25">
      <c r="A140" s="8"/>
      <c r="B140" s="244" t="s">
        <v>61</v>
      </c>
      <c r="C140" s="244"/>
      <c r="E140" s="30">
        <f t="shared" ref="E140:P140" si="40">SUM(E135:E139)</f>
        <v>-2464.6800000000003</v>
      </c>
      <c r="F140" s="30">
        <f t="shared" si="40"/>
        <v>-2561</v>
      </c>
      <c r="G140" s="30">
        <f t="shared" si="40"/>
        <v>-3468.1999999999994</v>
      </c>
      <c r="H140" s="30">
        <f t="shared" si="40"/>
        <v>-1040.6699999999989</v>
      </c>
      <c r="I140" s="30">
        <f t="shared" si="40"/>
        <v>-3342.7099999999991</v>
      </c>
      <c r="J140" s="30">
        <f t="shared" si="40"/>
        <v>-2120.1299999999992</v>
      </c>
      <c r="K140" s="30">
        <f t="shared" si="40"/>
        <v>-1437.1699999999996</v>
      </c>
      <c r="L140" s="30">
        <f t="shared" si="40"/>
        <v>-1525.7900000000006</v>
      </c>
      <c r="M140" s="30">
        <f t="shared" si="40"/>
        <v>372.26999999999907</v>
      </c>
      <c r="N140" s="30">
        <f t="shared" si="40"/>
        <v>-2910.2000000000016</v>
      </c>
      <c r="O140" s="30">
        <f t="shared" si="40"/>
        <v>-2157.4000000000019</v>
      </c>
      <c r="P140" s="30">
        <f t="shared" si="40"/>
        <v>-1742.8100000000027</v>
      </c>
      <c r="X140" s="10"/>
    </row>
    <row r="141" spans="1:24" x14ac:dyDescent="0.25">
      <c r="A141" s="8"/>
      <c r="B141" s="247"/>
      <c r="C141" s="248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X141" s="10"/>
    </row>
    <row r="142" spans="1:24" ht="40" x14ac:dyDescent="0.25">
      <c r="A142" s="8"/>
      <c r="B142" s="249" t="s">
        <v>111</v>
      </c>
      <c r="C142" s="250"/>
      <c r="D142" s="68"/>
      <c r="E142" s="51" t="s">
        <v>63</v>
      </c>
      <c r="F142" s="51" t="s">
        <v>64</v>
      </c>
      <c r="G142" s="51" t="s">
        <v>65</v>
      </c>
      <c r="H142" s="51" t="s">
        <v>66</v>
      </c>
      <c r="I142" s="51" t="s">
        <v>67</v>
      </c>
      <c r="J142" s="51" t="s">
        <v>68</v>
      </c>
      <c r="K142" s="51" t="s">
        <v>69</v>
      </c>
      <c r="L142" s="51" t="s">
        <v>70</v>
      </c>
      <c r="M142" s="51" t="s">
        <v>71</v>
      </c>
      <c r="N142" s="51" t="s">
        <v>72</v>
      </c>
      <c r="O142" s="51" t="s">
        <v>6</v>
      </c>
      <c r="P142" s="215" t="s">
        <v>127</v>
      </c>
      <c r="Q142" s="69"/>
      <c r="R142" s="70" t="s">
        <v>79</v>
      </c>
      <c r="S142" s="70" t="s">
        <v>80</v>
      </c>
      <c r="X142" s="10"/>
    </row>
    <row r="143" spans="1:24" x14ac:dyDescent="0.25">
      <c r="A143" s="8"/>
      <c r="B143" s="120" t="s">
        <v>51</v>
      </c>
      <c r="C143" s="120"/>
      <c r="E143" s="131">
        <v>8026.8</v>
      </c>
      <c r="F143" s="130">
        <v>6770.11</v>
      </c>
      <c r="G143" s="142">
        <v>9088.36</v>
      </c>
      <c r="H143" s="142">
        <v>12061.69</v>
      </c>
      <c r="I143" s="142">
        <v>13356</v>
      </c>
      <c r="J143" s="142">
        <v>12762.62</v>
      </c>
      <c r="K143" s="142">
        <v>7197.58</v>
      </c>
      <c r="L143" s="143">
        <v>11551.98</v>
      </c>
      <c r="M143" s="142">
        <v>12412.26</v>
      </c>
      <c r="N143" s="142">
        <v>8863.01</v>
      </c>
      <c r="O143" s="142">
        <v>6770.11</v>
      </c>
      <c r="P143" s="142">
        <v>11128.02</v>
      </c>
      <c r="Q143" s="40"/>
      <c r="R143" s="40"/>
      <c r="S143" s="129">
        <f>AVERAGE(E143:P143)</f>
        <v>9999.0450000000001</v>
      </c>
      <c r="T143" s="40"/>
      <c r="W143" s="4"/>
      <c r="X143" s="10"/>
    </row>
    <row r="144" spans="1:24" x14ac:dyDescent="0.25">
      <c r="A144" s="8"/>
      <c r="B144" s="243" t="s">
        <v>53</v>
      </c>
      <c r="C144" s="243"/>
      <c r="E144" s="28">
        <f>-380.86</f>
        <v>-380.86</v>
      </c>
      <c r="F144" s="28">
        <f>-160.62</f>
        <v>-160.62</v>
      </c>
      <c r="G144" s="119">
        <v>0</v>
      </c>
      <c r="H144" s="119">
        <v>0</v>
      </c>
      <c r="I144" s="137">
        <v>-332.71</v>
      </c>
      <c r="J144" s="141">
        <v>-317.93</v>
      </c>
      <c r="K144" s="119">
        <v>0</v>
      </c>
      <c r="L144" s="119">
        <v>0</v>
      </c>
      <c r="M144" s="28">
        <f>-309.2</f>
        <v>-309.2</v>
      </c>
      <c r="N144" s="28">
        <v>-210.27</v>
      </c>
      <c r="O144" s="119">
        <v>0</v>
      </c>
      <c r="P144" s="132">
        <v>-541.22</v>
      </c>
      <c r="R144" s="24"/>
      <c r="S144" s="25">
        <f>AVERAGE(E144:P144)</f>
        <v>-187.73416666666671</v>
      </c>
      <c r="X144" s="10"/>
    </row>
    <row r="145" spans="1:24" x14ac:dyDescent="0.25">
      <c r="A145" s="8"/>
      <c r="B145" s="243" t="s">
        <v>54</v>
      </c>
      <c r="C145" s="243"/>
      <c r="E145" s="119">
        <v>0</v>
      </c>
      <c r="F145" s="136">
        <v>243.04</v>
      </c>
      <c r="G145" s="140">
        <v>213.23</v>
      </c>
      <c r="H145" s="138">
        <v>623.39</v>
      </c>
      <c r="I145" s="140">
        <v>78.86</v>
      </c>
      <c r="J145" s="141">
        <v>481.69</v>
      </c>
      <c r="K145" s="137">
        <v>107.41</v>
      </c>
      <c r="L145" s="132">
        <v>90.69</v>
      </c>
      <c r="M145" s="136">
        <v>404.58</v>
      </c>
      <c r="N145" s="136">
        <v>400.74</v>
      </c>
      <c r="O145" s="136">
        <v>210.27</v>
      </c>
      <c r="P145" s="119">
        <v>0</v>
      </c>
      <c r="R145" s="24"/>
      <c r="S145" s="25">
        <f>AVERAGE(E145:P145)</f>
        <v>237.82500000000002</v>
      </c>
      <c r="X145" s="10"/>
    </row>
    <row r="146" spans="1:24" x14ac:dyDescent="0.25">
      <c r="A146" s="8"/>
      <c r="B146" s="244" t="s">
        <v>55</v>
      </c>
      <c r="C146" s="244"/>
      <c r="E146" s="30">
        <f t="shared" ref="E146:P146" si="41">SUM(E143:E145)</f>
        <v>7645.9400000000005</v>
      </c>
      <c r="F146" s="30">
        <f t="shared" si="41"/>
        <v>6852.53</v>
      </c>
      <c r="G146" s="30">
        <f t="shared" si="41"/>
        <v>9301.59</v>
      </c>
      <c r="H146" s="77">
        <f t="shared" si="41"/>
        <v>12685.08</v>
      </c>
      <c r="I146" s="30">
        <f t="shared" si="41"/>
        <v>13102.150000000001</v>
      </c>
      <c r="J146" s="29">
        <f t="shared" si="41"/>
        <v>12926.380000000001</v>
      </c>
      <c r="K146" s="29">
        <f t="shared" si="41"/>
        <v>7304.99</v>
      </c>
      <c r="L146" s="29">
        <f t="shared" si="41"/>
        <v>11642.67</v>
      </c>
      <c r="M146" s="29">
        <f t="shared" si="41"/>
        <v>12507.64</v>
      </c>
      <c r="N146" s="29">
        <f t="shared" si="41"/>
        <v>9053.48</v>
      </c>
      <c r="O146" s="29">
        <f t="shared" si="41"/>
        <v>6980.38</v>
      </c>
      <c r="P146" s="29">
        <f t="shared" si="41"/>
        <v>10586.800000000001</v>
      </c>
      <c r="R146" s="31">
        <f>SUM(R143:R145)</f>
        <v>0</v>
      </c>
      <c r="S146" s="78">
        <f>SUM(S143:S145)</f>
        <v>10049.135833333334</v>
      </c>
      <c r="X146" s="10"/>
    </row>
    <row r="147" spans="1:24" x14ac:dyDescent="0.25">
      <c r="A147" s="8"/>
      <c r="B147" s="38"/>
      <c r="C147" s="38"/>
      <c r="D147" s="39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X147" s="10"/>
    </row>
    <row r="148" spans="1:24" x14ac:dyDescent="0.25">
      <c r="A148" s="8"/>
      <c r="B148" s="245" t="s">
        <v>110</v>
      </c>
      <c r="C148" s="246"/>
      <c r="E148" s="51" t="s">
        <v>63</v>
      </c>
      <c r="F148" s="51" t="s">
        <v>64</v>
      </c>
      <c r="G148" s="51" t="s">
        <v>65</v>
      </c>
      <c r="H148" s="51" t="s">
        <v>66</v>
      </c>
      <c r="I148" s="51" t="s">
        <v>67</v>
      </c>
      <c r="J148" s="51" t="s">
        <v>68</v>
      </c>
      <c r="K148" s="51" t="s">
        <v>69</v>
      </c>
      <c r="L148" s="51" t="s">
        <v>70</v>
      </c>
      <c r="M148" s="51" t="s">
        <v>71</v>
      </c>
      <c r="N148" s="51" t="s">
        <v>72</v>
      </c>
      <c r="O148" s="51" t="s">
        <v>6</v>
      </c>
      <c r="P148" s="215" t="s">
        <v>127</v>
      </c>
      <c r="X148" s="10"/>
    </row>
    <row r="149" spans="1:24" x14ac:dyDescent="0.25">
      <c r="A149" s="8"/>
      <c r="B149" s="243" t="s">
        <v>57</v>
      </c>
      <c r="C149" s="243"/>
      <c r="E149" s="28">
        <v>-2016.32</v>
      </c>
      <c r="F149" s="28">
        <f t="shared" ref="F149:P149" si="42">E154</f>
        <v>-1132.369999999999</v>
      </c>
      <c r="G149" s="28">
        <f t="shared" si="42"/>
        <v>-3353.45</v>
      </c>
      <c r="H149" s="28">
        <f t="shared" si="42"/>
        <v>-6090.33</v>
      </c>
      <c r="I149" s="28">
        <f t="shared" si="42"/>
        <v>-6663.76</v>
      </c>
      <c r="J149" s="28">
        <f t="shared" si="42"/>
        <v>-6285.0899999999983</v>
      </c>
      <c r="K149" s="28">
        <f t="shared" si="42"/>
        <v>-514.50999999999692</v>
      </c>
      <c r="L149" s="28">
        <f t="shared" si="42"/>
        <v>-4746.1099999999979</v>
      </c>
      <c r="M149" s="28">
        <f t="shared" si="42"/>
        <v>-5497.8799999999983</v>
      </c>
      <c r="N149" s="28">
        <f t="shared" si="42"/>
        <v>-1802.2699999999988</v>
      </c>
      <c r="O149" s="28">
        <f t="shared" si="42"/>
        <v>-653.6599999999994</v>
      </c>
      <c r="P149" s="28">
        <f t="shared" si="42"/>
        <v>-4781.079999999999</v>
      </c>
      <c r="X149" s="10"/>
    </row>
    <row r="150" spans="1:24" x14ac:dyDescent="0.25">
      <c r="A150" s="8"/>
      <c r="B150" s="243" t="s">
        <v>58</v>
      </c>
      <c r="C150" s="243"/>
      <c r="E150" s="34">
        <f t="shared" ref="E150:P150" si="43">E146</f>
        <v>7645.9400000000005</v>
      </c>
      <c r="F150" s="34">
        <f t="shared" si="43"/>
        <v>6852.53</v>
      </c>
      <c r="G150" s="34">
        <f t="shared" si="43"/>
        <v>9301.59</v>
      </c>
      <c r="H150" s="34">
        <f t="shared" si="43"/>
        <v>12685.08</v>
      </c>
      <c r="I150" s="34">
        <f t="shared" si="43"/>
        <v>13102.150000000001</v>
      </c>
      <c r="J150" s="34">
        <f t="shared" si="43"/>
        <v>12926.380000000001</v>
      </c>
      <c r="K150" s="34">
        <f t="shared" si="43"/>
        <v>7304.99</v>
      </c>
      <c r="L150" s="34">
        <f t="shared" si="43"/>
        <v>11642.67</v>
      </c>
      <c r="M150" s="34">
        <f t="shared" si="43"/>
        <v>12507.64</v>
      </c>
      <c r="N150" s="34">
        <f t="shared" si="43"/>
        <v>9053.48</v>
      </c>
      <c r="O150" s="34">
        <f t="shared" si="43"/>
        <v>6980.38</v>
      </c>
      <c r="P150" s="34">
        <f t="shared" si="43"/>
        <v>10586.800000000001</v>
      </c>
      <c r="X150" s="10"/>
    </row>
    <row r="151" spans="1:24" x14ac:dyDescent="0.25">
      <c r="A151" s="8"/>
      <c r="B151" s="243" t="s">
        <v>59</v>
      </c>
      <c r="C151" s="243"/>
      <c r="E151" s="36">
        <f>-6769.99</f>
        <v>-6769.99</v>
      </c>
      <c r="F151" s="35">
        <v>-9088.36</v>
      </c>
      <c r="G151" s="35">
        <f>-12061.68</f>
        <v>-12061.68</v>
      </c>
      <c r="H151" s="35">
        <f>-13355.94</f>
        <v>-13355.94</v>
      </c>
      <c r="I151" s="35">
        <v>-12762.64</v>
      </c>
      <c r="J151" s="36">
        <v>-7197.65</v>
      </c>
      <c r="K151" s="36">
        <v>-11551.95</v>
      </c>
      <c r="L151" s="28">
        <v>-12412.35</v>
      </c>
      <c r="M151" s="216">
        <f>-8863.08</f>
        <v>-8863.08</v>
      </c>
      <c r="N151" s="217">
        <v>-7935.85</v>
      </c>
      <c r="O151" s="217">
        <v>-11128.09</v>
      </c>
      <c r="P151" s="217">
        <f>-10488.68</f>
        <v>-10488.68</v>
      </c>
      <c r="X151" s="10"/>
    </row>
    <row r="152" spans="1:24" x14ac:dyDescent="0.25">
      <c r="A152" s="8"/>
      <c r="B152" s="243" t="s">
        <v>60</v>
      </c>
      <c r="C152" s="243"/>
      <c r="E152" s="28">
        <v>8</v>
      </c>
      <c r="F152" s="28">
        <f>10.84+3.91</f>
        <v>14.75</v>
      </c>
      <c r="G152" s="28">
        <f>17.41+5.8</f>
        <v>23.21</v>
      </c>
      <c r="H152" s="79">
        <f>23.9+73.53</f>
        <v>97.43</v>
      </c>
      <c r="I152" s="26">
        <f>33.9+5.26</f>
        <v>39.159999999999997</v>
      </c>
      <c r="J152" s="27">
        <f>28.11+13.74</f>
        <v>41.85</v>
      </c>
      <c r="K152" s="28">
        <f>8.99+6.37</f>
        <v>15.36</v>
      </c>
      <c r="L152" s="28">
        <f>13.05+4.86</f>
        <v>17.91</v>
      </c>
      <c r="M152" s="28">
        <f>31.95+19.1</f>
        <v>51.05</v>
      </c>
      <c r="N152" s="28">
        <f>20.83+10.15</f>
        <v>30.979999999999997</v>
      </c>
      <c r="O152" s="28">
        <f>17.37+2.92</f>
        <v>20.29</v>
      </c>
      <c r="P152" s="28">
        <f>15.84</f>
        <v>15.84</v>
      </c>
      <c r="X152" s="10"/>
    </row>
    <row r="153" spans="1:24" x14ac:dyDescent="0.25">
      <c r="A153" s="8"/>
      <c r="B153" s="243" t="s">
        <v>84</v>
      </c>
      <c r="C153" s="243"/>
      <c r="E153" s="119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X153" s="10"/>
    </row>
    <row r="154" spans="1:24" x14ac:dyDescent="0.25">
      <c r="A154" s="8"/>
      <c r="B154" s="244" t="s">
        <v>61</v>
      </c>
      <c r="C154" s="244"/>
      <c r="E154" s="30">
        <f t="shared" ref="E154:P154" si="44">SUM(E149:E153)</f>
        <v>-1132.369999999999</v>
      </c>
      <c r="F154" s="30">
        <f t="shared" si="44"/>
        <v>-3353.45</v>
      </c>
      <c r="G154" s="30">
        <f t="shared" si="44"/>
        <v>-6090.33</v>
      </c>
      <c r="H154" s="30">
        <f t="shared" si="44"/>
        <v>-6663.76</v>
      </c>
      <c r="I154" s="30">
        <f t="shared" si="44"/>
        <v>-6285.0899999999983</v>
      </c>
      <c r="J154" s="30">
        <f t="shared" si="44"/>
        <v>-514.50999999999692</v>
      </c>
      <c r="K154" s="30">
        <f t="shared" si="44"/>
        <v>-4746.1099999999979</v>
      </c>
      <c r="L154" s="30">
        <f t="shared" si="44"/>
        <v>-5497.8799999999983</v>
      </c>
      <c r="M154" s="30">
        <f t="shared" si="44"/>
        <v>-1802.2699999999988</v>
      </c>
      <c r="N154" s="30">
        <f t="shared" si="44"/>
        <v>-653.6599999999994</v>
      </c>
      <c r="O154" s="30">
        <f t="shared" si="44"/>
        <v>-4781.079999999999</v>
      </c>
      <c r="P154" s="30">
        <f t="shared" si="44"/>
        <v>-4667.1199999999981</v>
      </c>
      <c r="X154" s="10"/>
    </row>
    <row r="155" spans="1:24" x14ac:dyDescent="0.25">
      <c r="A155" s="8"/>
      <c r="B155" s="38"/>
      <c r="C155" s="38"/>
      <c r="D155" s="39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X155" s="10"/>
    </row>
    <row r="156" spans="1:24" ht="40" x14ac:dyDescent="0.25">
      <c r="A156" s="8"/>
      <c r="B156" s="249" t="s">
        <v>112</v>
      </c>
      <c r="C156" s="250"/>
      <c r="D156" s="68"/>
      <c r="E156" s="51" t="s">
        <v>63</v>
      </c>
      <c r="F156" s="51" t="s">
        <v>64</v>
      </c>
      <c r="G156" s="51" t="s">
        <v>65</v>
      </c>
      <c r="H156" s="51" t="s">
        <v>66</v>
      </c>
      <c r="I156" s="51" t="s">
        <v>67</v>
      </c>
      <c r="J156" s="51" t="s">
        <v>68</v>
      </c>
      <c r="K156" s="51" t="s">
        <v>69</v>
      </c>
      <c r="L156" s="51" t="s">
        <v>70</v>
      </c>
      <c r="M156" s="51" t="s">
        <v>71</v>
      </c>
      <c r="N156" s="51" t="s">
        <v>72</v>
      </c>
      <c r="O156" s="51" t="s">
        <v>6</v>
      </c>
      <c r="P156" s="215" t="s">
        <v>127</v>
      </c>
      <c r="Q156" s="69"/>
      <c r="R156" s="70" t="s">
        <v>79</v>
      </c>
      <c r="S156" s="70" t="s">
        <v>80</v>
      </c>
      <c r="X156" s="10"/>
    </row>
    <row r="157" spans="1:24" x14ac:dyDescent="0.25">
      <c r="A157" s="8"/>
      <c r="B157" s="120" t="s">
        <v>51</v>
      </c>
      <c r="C157" s="120"/>
      <c r="E157" s="131">
        <v>6186.38</v>
      </c>
      <c r="F157" s="130">
        <v>6284.07</v>
      </c>
      <c r="G157" s="142">
        <v>7149.06</v>
      </c>
      <c r="H157" s="142">
        <v>6459.86</v>
      </c>
      <c r="I157" s="142">
        <v>7221.23</v>
      </c>
      <c r="J157" s="142">
        <v>8389.91</v>
      </c>
      <c r="K157" s="142">
        <v>7007.99</v>
      </c>
      <c r="L157" s="142">
        <v>6827.08</v>
      </c>
      <c r="M157" s="142">
        <v>7744.11</v>
      </c>
      <c r="N157" s="142">
        <v>6145.47</v>
      </c>
      <c r="O157" s="142">
        <v>6579.95</v>
      </c>
      <c r="P157" s="142">
        <v>6325.8</v>
      </c>
      <c r="Q157" s="40"/>
      <c r="R157" s="40"/>
      <c r="S157" s="129">
        <f>AVERAGE(E157:P157)</f>
        <v>6860.0758333333333</v>
      </c>
      <c r="X157" s="10"/>
    </row>
    <row r="158" spans="1:24" x14ac:dyDescent="0.25">
      <c r="A158" s="8"/>
      <c r="B158" s="243" t="s">
        <v>53</v>
      </c>
      <c r="C158" s="243"/>
      <c r="E158" s="28">
        <v>-293.54000000000002</v>
      </c>
      <c r="F158" s="28">
        <f>-149.09</f>
        <v>-149.09</v>
      </c>
      <c r="G158" s="26">
        <v>0</v>
      </c>
      <c r="H158" s="26">
        <v>0</v>
      </c>
      <c r="I158" s="137">
        <f>+-179.89</f>
        <v>-179.89</v>
      </c>
      <c r="J158" s="141">
        <v>-209</v>
      </c>
      <c r="K158" s="26">
        <v>0</v>
      </c>
      <c r="L158" s="26">
        <v>0</v>
      </c>
      <c r="M158" s="132">
        <v>-192.91</v>
      </c>
      <c r="N158" s="132">
        <v>-145.80000000000001</v>
      </c>
      <c r="O158" s="26">
        <v>0</v>
      </c>
      <c r="P158" s="132">
        <v>-307.66000000000003</v>
      </c>
      <c r="R158" s="24"/>
      <c r="S158" s="25">
        <f>AVERAGE(E158:P158)</f>
        <v>-123.15750000000001</v>
      </c>
      <c r="X158" s="10"/>
    </row>
    <row r="159" spans="1:24" x14ac:dyDescent="0.25">
      <c r="A159" s="8"/>
      <c r="B159" s="243" t="s">
        <v>54</v>
      </c>
      <c r="C159" s="243"/>
      <c r="E159" s="119">
        <v>0</v>
      </c>
      <c r="F159" s="74">
        <v>208.28</v>
      </c>
      <c r="G159" s="140">
        <v>210.6</v>
      </c>
      <c r="H159" s="138">
        <v>417.74</v>
      </c>
      <c r="I159" s="140">
        <v>50.53</v>
      </c>
      <c r="J159" s="141">
        <v>273.5</v>
      </c>
      <c r="K159" s="137">
        <v>90.06</v>
      </c>
      <c r="L159" s="132">
        <v>88.86</v>
      </c>
      <c r="M159" s="136">
        <v>300.32</v>
      </c>
      <c r="N159" s="136">
        <v>284.44</v>
      </c>
      <c r="O159" s="136">
        <v>145.80000000000001</v>
      </c>
      <c r="P159" s="26">
        <v>0</v>
      </c>
      <c r="R159" s="24"/>
      <c r="S159" s="25">
        <f>AVERAGE(E159:P159)</f>
        <v>172.51083333333335</v>
      </c>
      <c r="X159" s="10"/>
    </row>
    <row r="160" spans="1:24" x14ac:dyDescent="0.25">
      <c r="A160" s="8"/>
      <c r="B160" s="244" t="s">
        <v>55</v>
      </c>
      <c r="C160" s="244"/>
      <c r="E160" s="30">
        <f t="shared" ref="E160:P160" si="45">SUM(E157:E159)</f>
        <v>5892.84</v>
      </c>
      <c r="F160" s="30">
        <f t="shared" si="45"/>
        <v>6343.2599999999993</v>
      </c>
      <c r="G160" s="30">
        <f t="shared" si="45"/>
        <v>7359.6600000000008</v>
      </c>
      <c r="H160" s="77">
        <f t="shared" si="45"/>
        <v>6877.5999999999995</v>
      </c>
      <c r="I160" s="30">
        <f t="shared" si="45"/>
        <v>7091.869999999999</v>
      </c>
      <c r="J160" s="29">
        <f t="shared" si="45"/>
        <v>8454.41</v>
      </c>
      <c r="K160" s="29">
        <f t="shared" si="45"/>
        <v>7098.05</v>
      </c>
      <c r="L160" s="29">
        <f t="shared" si="45"/>
        <v>6915.94</v>
      </c>
      <c r="M160" s="29">
        <f t="shared" si="45"/>
        <v>7851.5199999999995</v>
      </c>
      <c r="N160" s="29">
        <f t="shared" si="45"/>
        <v>6284.11</v>
      </c>
      <c r="O160" s="29">
        <f t="shared" si="45"/>
        <v>6725.75</v>
      </c>
      <c r="P160" s="29">
        <f t="shared" si="45"/>
        <v>6018.14</v>
      </c>
      <c r="R160" s="31">
        <f>SUM(R157:R159)</f>
        <v>0</v>
      </c>
      <c r="S160" s="78">
        <f>SUM(S157:S159)</f>
        <v>6909.4291666666668</v>
      </c>
      <c r="X160" s="10"/>
    </row>
    <row r="161" spans="1:24" x14ac:dyDescent="0.25">
      <c r="A161" s="8"/>
      <c r="B161" s="38"/>
      <c r="C161" s="38"/>
      <c r="D161" s="39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X161" s="10"/>
    </row>
    <row r="162" spans="1:24" x14ac:dyDescent="0.25">
      <c r="A162" s="8"/>
      <c r="B162" s="245" t="s">
        <v>131</v>
      </c>
      <c r="C162" s="246"/>
      <c r="E162" s="51" t="s">
        <v>63</v>
      </c>
      <c r="F162" s="51" t="s">
        <v>64</v>
      </c>
      <c r="G162" s="51" t="s">
        <v>65</v>
      </c>
      <c r="H162" s="51" t="s">
        <v>66</v>
      </c>
      <c r="I162" s="51" t="s">
        <v>67</v>
      </c>
      <c r="J162" s="51" t="s">
        <v>68</v>
      </c>
      <c r="K162" s="51" t="s">
        <v>69</v>
      </c>
      <c r="L162" s="51" t="s">
        <v>70</v>
      </c>
      <c r="M162" s="51" t="s">
        <v>71</v>
      </c>
      <c r="N162" s="51" t="s">
        <v>72</v>
      </c>
      <c r="O162" s="51" t="s">
        <v>6</v>
      </c>
      <c r="P162" s="215" t="s">
        <v>127</v>
      </c>
      <c r="X162" s="10"/>
    </row>
    <row r="163" spans="1:24" x14ac:dyDescent="0.25">
      <c r="A163" s="8"/>
      <c r="B163" s="243" t="s">
        <v>57</v>
      </c>
      <c r="C163" s="243"/>
      <c r="E163" s="28">
        <v>-1030.48</v>
      </c>
      <c r="F163" s="28">
        <f t="shared" ref="F163:P163" si="46">E168</f>
        <v>-1415.6499999999994</v>
      </c>
      <c r="G163" s="28">
        <f t="shared" si="46"/>
        <v>-2206.7400000000002</v>
      </c>
      <c r="H163" s="28">
        <f t="shared" si="46"/>
        <v>-1286.1299999999997</v>
      </c>
      <c r="I163" s="28">
        <f t="shared" si="46"/>
        <v>-1567.1800000000007</v>
      </c>
      <c r="J163" s="28">
        <f t="shared" si="46"/>
        <v>-2843.300000000002</v>
      </c>
      <c r="K163" s="28">
        <f t="shared" si="46"/>
        <v>-1370.9800000000016</v>
      </c>
      <c r="L163" s="28">
        <f t="shared" si="46"/>
        <v>-1086.3800000000008</v>
      </c>
      <c r="M163" s="28">
        <f t="shared" si="46"/>
        <v>-1901.3900000000017</v>
      </c>
      <c r="N163" s="28">
        <f t="shared" si="46"/>
        <v>-160.45000000000294</v>
      </c>
      <c r="O163" s="28">
        <f t="shared" si="46"/>
        <v>-434.2500000000033</v>
      </c>
      <c r="P163" s="28">
        <f t="shared" si="46"/>
        <v>-16.510000000003856</v>
      </c>
      <c r="X163" s="10"/>
    </row>
    <row r="164" spans="1:24" x14ac:dyDescent="0.25">
      <c r="A164" s="8"/>
      <c r="B164" s="243" t="s">
        <v>58</v>
      </c>
      <c r="C164" s="243"/>
      <c r="E164" s="34">
        <f t="shared" ref="E164:P164" si="47">E160</f>
        <v>5892.84</v>
      </c>
      <c r="F164" s="34">
        <f t="shared" si="47"/>
        <v>6343.2599999999993</v>
      </c>
      <c r="G164" s="34">
        <f t="shared" si="47"/>
        <v>7359.6600000000008</v>
      </c>
      <c r="H164" s="34">
        <f t="shared" si="47"/>
        <v>6877.5999999999995</v>
      </c>
      <c r="I164" s="34">
        <f t="shared" si="47"/>
        <v>7091.869999999999</v>
      </c>
      <c r="J164" s="34">
        <f t="shared" si="47"/>
        <v>8454.41</v>
      </c>
      <c r="K164" s="34">
        <f t="shared" si="47"/>
        <v>7098.05</v>
      </c>
      <c r="L164" s="34">
        <f t="shared" si="47"/>
        <v>6915.94</v>
      </c>
      <c r="M164" s="34">
        <f t="shared" si="47"/>
        <v>7851.5199999999995</v>
      </c>
      <c r="N164" s="34">
        <f t="shared" si="47"/>
        <v>6284.11</v>
      </c>
      <c r="O164" s="34">
        <f t="shared" si="47"/>
        <v>6725.75</v>
      </c>
      <c r="P164" s="34">
        <f t="shared" si="47"/>
        <v>6018.14</v>
      </c>
      <c r="X164" s="10"/>
    </row>
    <row r="165" spans="1:24" x14ac:dyDescent="0.25">
      <c r="A165" s="8"/>
      <c r="B165" s="243" t="s">
        <v>59</v>
      </c>
      <c r="C165" s="243"/>
      <c r="E165" s="36">
        <v>-6284.17</v>
      </c>
      <c r="F165" s="35">
        <f>-7149.24</f>
        <v>-7149.24</v>
      </c>
      <c r="G165" s="35">
        <f>-6459.9</f>
        <v>-6459.9</v>
      </c>
      <c r="H165" s="35">
        <f>-7221.3</f>
        <v>-7221.3</v>
      </c>
      <c r="I165" s="35">
        <v>-8389.86</v>
      </c>
      <c r="J165" s="36">
        <f>-7007.98</f>
        <v>-7007.98</v>
      </c>
      <c r="K165" s="36">
        <v>-6827.15</v>
      </c>
      <c r="L165" s="36">
        <f>-7744.1</f>
        <v>-7744.1</v>
      </c>
      <c r="M165" s="35">
        <v>-6145.39</v>
      </c>
      <c r="N165" s="28">
        <f>-6580.02</f>
        <v>-6580.02</v>
      </c>
      <c r="O165" s="28">
        <f>-6325.76</f>
        <v>-6325.76</v>
      </c>
      <c r="P165" s="28">
        <f>-6495.36</f>
        <v>-6495.36</v>
      </c>
      <c r="X165" s="10"/>
    </row>
    <row r="166" spans="1:24" x14ac:dyDescent="0.25">
      <c r="A166" s="8"/>
      <c r="B166" s="243" t="s">
        <v>60</v>
      </c>
      <c r="C166" s="243"/>
      <c r="E166" s="28">
        <v>6.16</v>
      </c>
      <c r="F166" s="28">
        <f>10.32+4.57</f>
        <v>14.89</v>
      </c>
      <c r="G166" s="28">
        <f>14.54+6.31</f>
        <v>20.849999999999998</v>
      </c>
      <c r="H166" s="79">
        <f>14.51+48.14</f>
        <v>62.65</v>
      </c>
      <c r="I166" s="26">
        <f>18.51+3.36</f>
        <v>21.87</v>
      </c>
      <c r="J166" s="27">
        <f>17.6+8.29</f>
        <v>25.89</v>
      </c>
      <c r="K166" s="28">
        <f>8.46+5.24</f>
        <v>13.700000000000001</v>
      </c>
      <c r="L166" s="132">
        <f>8.41+4.74</f>
        <v>13.15</v>
      </c>
      <c r="M166" s="28">
        <f>20.87+13.94</f>
        <v>34.81</v>
      </c>
      <c r="N166" s="28">
        <f>14.58+7.53</f>
        <v>22.11</v>
      </c>
      <c r="O166" s="28">
        <f>15.72+2.03</f>
        <v>17.75</v>
      </c>
      <c r="P166" s="28">
        <v>9</v>
      </c>
      <c r="X166" s="10"/>
    </row>
    <row r="167" spans="1:24" x14ac:dyDescent="0.25">
      <c r="A167" s="8"/>
      <c r="B167" s="243" t="s">
        <v>84</v>
      </c>
      <c r="C167" s="243"/>
      <c r="E167" s="74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0</v>
      </c>
      <c r="X167" s="10"/>
    </row>
    <row r="168" spans="1:24" x14ac:dyDescent="0.25">
      <c r="A168" s="8"/>
      <c r="B168" s="244" t="s">
        <v>61</v>
      </c>
      <c r="C168" s="244"/>
      <c r="E168" s="30">
        <f t="shared" ref="E168:P168" si="48">SUM(E163:E167)</f>
        <v>-1415.6499999999994</v>
      </c>
      <c r="F168" s="30">
        <f t="shared" si="48"/>
        <v>-2206.7400000000002</v>
      </c>
      <c r="G168" s="30">
        <f t="shared" si="48"/>
        <v>-1286.1299999999997</v>
      </c>
      <c r="H168" s="30">
        <f t="shared" si="48"/>
        <v>-1567.1800000000007</v>
      </c>
      <c r="I168" s="30">
        <f t="shared" si="48"/>
        <v>-2843.300000000002</v>
      </c>
      <c r="J168" s="30">
        <f t="shared" si="48"/>
        <v>-1370.9800000000016</v>
      </c>
      <c r="K168" s="30">
        <f t="shared" si="48"/>
        <v>-1086.3800000000008</v>
      </c>
      <c r="L168" s="30">
        <f t="shared" si="48"/>
        <v>-1901.3900000000017</v>
      </c>
      <c r="M168" s="30">
        <f t="shared" si="48"/>
        <v>-160.45000000000294</v>
      </c>
      <c r="N168" s="30">
        <f t="shared" si="48"/>
        <v>-434.2500000000033</v>
      </c>
      <c r="O168" s="30">
        <f t="shared" si="48"/>
        <v>-16.510000000003856</v>
      </c>
      <c r="P168" s="30">
        <f t="shared" si="48"/>
        <v>-484.7300000000032</v>
      </c>
      <c r="X168" s="10"/>
    </row>
    <row r="169" spans="1:24" x14ac:dyDescent="0.25">
      <c r="A169" s="8"/>
      <c r="B169" s="38"/>
      <c r="C169" s="38"/>
      <c r="D169" s="39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X169" s="10"/>
    </row>
    <row r="170" spans="1:24" x14ac:dyDescent="0.25">
      <c r="A170" s="8"/>
      <c r="B170" s="3"/>
      <c r="C170" s="3"/>
      <c r="E170" s="51" t="s">
        <v>63</v>
      </c>
      <c r="F170" s="51" t="s">
        <v>64</v>
      </c>
      <c r="G170" s="51" t="s">
        <v>65</v>
      </c>
      <c r="H170" s="51" t="s">
        <v>66</v>
      </c>
      <c r="I170" s="51" t="s">
        <v>67</v>
      </c>
      <c r="J170" s="51" t="s">
        <v>68</v>
      </c>
      <c r="K170" s="51" t="s">
        <v>69</v>
      </c>
      <c r="L170" s="51" t="s">
        <v>70</v>
      </c>
      <c r="M170" s="51" t="s">
        <v>71</v>
      </c>
      <c r="N170" s="51" t="s">
        <v>72</v>
      </c>
      <c r="O170" s="51" t="s">
        <v>6</v>
      </c>
      <c r="P170" s="215" t="s">
        <v>127</v>
      </c>
      <c r="X170" s="10"/>
    </row>
    <row r="171" spans="1:24" ht="15.75" customHeight="1" x14ac:dyDescent="0.25">
      <c r="A171" s="8"/>
      <c r="B171" s="252" t="s">
        <v>87</v>
      </c>
      <c r="C171" s="82" t="s">
        <v>88</v>
      </c>
      <c r="E171" s="83">
        <f t="shared" ref="E171:P171" si="49">E70</f>
        <v>-28181.799999999985</v>
      </c>
      <c r="F171" s="83">
        <f t="shared" si="49"/>
        <v>-36361.360000000001</v>
      </c>
      <c r="G171" s="83">
        <f t="shared" si="49"/>
        <v>663.98999999999796</v>
      </c>
      <c r="H171" s="83">
        <f t="shared" si="49"/>
        <v>-2591.6800000000003</v>
      </c>
      <c r="I171" s="83">
        <f t="shared" si="49"/>
        <v>-1312.5700000000138</v>
      </c>
      <c r="J171" s="83">
        <f t="shared" si="49"/>
        <v>4390.7799999999961</v>
      </c>
      <c r="K171" s="83">
        <f t="shared" si="49"/>
        <v>8859.3400000000056</v>
      </c>
      <c r="L171" s="83">
        <f t="shared" si="49"/>
        <v>1728.379999999981</v>
      </c>
      <c r="M171" s="83">
        <f t="shared" si="49"/>
        <v>-4509.8900000000276</v>
      </c>
      <c r="N171" s="83">
        <f t="shared" si="49"/>
        <v>-14097.260000000031</v>
      </c>
      <c r="O171" s="83">
        <f t="shared" si="49"/>
        <v>-17141.370000000032</v>
      </c>
      <c r="P171" s="83">
        <f t="shared" si="49"/>
        <v>-36769.010000000024</v>
      </c>
      <c r="X171" s="10"/>
    </row>
    <row r="172" spans="1:24" ht="17.25" customHeight="1" x14ac:dyDescent="0.25">
      <c r="A172" s="8"/>
      <c r="B172" s="252"/>
      <c r="C172" s="84" t="s">
        <v>89</v>
      </c>
      <c r="E172" s="83">
        <f t="shared" ref="E172:P172" si="50">E84</f>
        <v>35865.329999999994</v>
      </c>
      <c r="F172" s="83">
        <f t="shared" si="50"/>
        <v>39274.939999999995</v>
      </c>
      <c r="G172" s="83">
        <f t="shared" si="50"/>
        <v>16770.369999999995</v>
      </c>
      <c r="H172" s="83">
        <f t="shared" si="50"/>
        <v>20366.439999999995</v>
      </c>
      <c r="I172" s="83">
        <f t="shared" si="50"/>
        <v>23695.449999999993</v>
      </c>
      <c r="J172" s="83">
        <f t="shared" si="50"/>
        <v>27129.539999999994</v>
      </c>
      <c r="K172" s="83">
        <f t="shared" si="50"/>
        <v>30562.249999999993</v>
      </c>
      <c r="L172" s="83">
        <f t="shared" si="50"/>
        <v>23995.959999999992</v>
      </c>
      <c r="M172" s="83">
        <f t="shared" si="50"/>
        <v>27436.01999999999</v>
      </c>
      <c r="N172" s="83">
        <f t="shared" si="50"/>
        <v>40876.239999999991</v>
      </c>
      <c r="O172" s="83">
        <f t="shared" si="50"/>
        <v>14345.719999999987</v>
      </c>
      <c r="P172" s="83">
        <f t="shared" si="50"/>
        <v>17566.139999999985</v>
      </c>
      <c r="X172" s="10"/>
    </row>
    <row r="173" spans="1:24" ht="17.25" customHeight="1" x14ac:dyDescent="0.25">
      <c r="A173" s="8"/>
      <c r="B173" s="252"/>
      <c r="C173" s="85" t="s">
        <v>90</v>
      </c>
      <c r="E173" s="83">
        <f t="shared" ref="E173:P173" si="51">E98</f>
        <v>23182.809999999994</v>
      </c>
      <c r="F173" s="83">
        <f t="shared" si="51"/>
        <v>33943.49</v>
      </c>
      <c r="G173" s="83">
        <f t="shared" si="51"/>
        <v>21190.26</v>
      </c>
      <c r="H173" s="83">
        <f t="shared" si="51"/>
        <v>13059.289999999999</v>
      </c>
      <c r="I173" s="83">
        <f t="shared" si="51"/>
        <v>6833.0399999999991</v>
      </c>
      <c r="J173" s="83">
        <f t="shared" si="51"/>
        <v>8867.64</v>
      </c>
      <c r="K173" s="83">
        <f t="shared" si="51"/>
        <v>6949.73</v>
      </c>
      <c r="L173" s="83">
        <f t="shared" si="51"/>
        <v>9186.5199999999986</v>
      </c>
      <c r="M173" s="83">
        <f t="shared" si="51"/>
        <v>12745.139999999998</v>
      </c>
      <c r="N173" s="83">
        <f t="shared" si="51"/>
        <v>16298.799999999997</v>
      </c>
      <c r="O173" s="83">
        <f t="shared" si="51"/>
        <v>23997.41</v>
      </c>
      <c r="P173" s="83">
        <f t="shared" si="51"/>
        <v>31143.360000000001</v>
      </c>
      <c r="X173" s="10"/>
    </row>
    <row r="174" spans="1:24" x14ac:dyDescent="0.25">
      <c r="A174" s="8"/>
      <c r="B174" s="252"/>
      <c r="C174" s="84" t="s">
        <v>91</v>
      </c>
      <c r="E174" s="83">
        <f t="shared" ref="E174:P174" si="52">E112</f>
        <v>-3322.85</v>
      </c>
      <c r="F174" s="83">
        <f t="shared" si="52"/>
        <v>-3269.37</v>
      </c>
      <c r="G174" s="83">
        <f t="shared" si="52"/>
        <v>-3215.88</v>
      </c>
      <c r="H174" s="83">
        <f t="shared" si="52"/>
        <v>-2806.57</v>
      </c>
      <c r="I174" s="83">
        <f t="shared" si="52"/>
        <v>-2804.7200000000003</v>
      </c>
      <c r="J174" s="83">
        <f t="shared" si="52"/>
        <v>-2804.7200000000003</v>
      </c>
      <c r="K174" s="83">
        <f t="shared" si="52"/>
        <v>-2804.7200000000003</v>
      </c>
      <c r="L174" s="83">
        <f t="shared" si="52"/>
        <v>0</v>
      </c>
      <c r="M174" s="83">
        <f t="shared" si="52"/>
        <v>0</v>
      </c>
      <c r="N174" s="83">
        <f t="shared" si="52"/>
        <v>0</v>
      </c>
      <c r="O174" s="83">
        <f t="shared" si="52"/>
        <v>0</v>
      </c>
      <c r="P174" s="83">
        <f t="shared" si="52"/>
        <v>0</v>
      </c>
      <c r="X174" s="10"/>
    </row>
    <row r="175" spans="1:24" x14ac:dyDescent="0.25">
      <c r="A175" s="8"/>
      <c r="B175" s="252"/>
      <c r="C175" s="125" t="s">
        <v>113</v>
      </c>
      <c r="E175" s="83">
        <f t="shared" ref="E175:P175" si="53">E126</f>
        <v>7674</v>
      </c>
      <c r="F175" s="83">
        <f t="shared" si="53"/>
        <v>7674</v>
      </c>
      <c r="G175" s="83">
        <f t="shared" si="53"/>
        <v>8024</v>
      </c>
      <c r="H175" s="83">
        <f t="shared" si="53"/>
        <v>8104</v>
      </c>
      <c r="I175" s="83">
        <f t="shared" si="53"/>
        <v>8804</v>
      </c>
      <c r="J175" s="83">
        <f t="shared" si="53"/>
        <v>9504</v>
      </c>
      <c r="K175" s="83">
        <f t="shared" si="53"/>
        <v>9584</v>
      </c>
      <c r="L175" s="83">
        <f t="shared" si="53"/>
        <v>7179.2800000000007</v>
      </c>
      <c r="M175" s="83">
        <f t="shared" si="53"/>
        <v>7179.2800000000007</v>
      </c>
      <c r="N175" s="83">
        <f t="shared" si="53"/>
        <v>7979.2800000000007</v>
      </c>
      <c r="O175" s="83">
        <f t="shared" si="53"/>
        <v>7341.14</v>
      </c>
      <c r="P175" s="83">
        <f t="shared" si="53"/>
        <v>6341.14</v>
      </c>
      <c r="X175" s="10"/>
    </row>
    <row r="176" spans="1:24" x14ac:dyDescent="0.25">
      <c r="A176" s="8"/>
      <c r="B176" s="252"/>
      <c r="C176" s="125" t="s">
        <v>114</v>
      </c>
      <c r="E176" s="83">
        <f t="shared" ref="E176:P176" si="54">E140</f>
        <v>-2464.6800000000003</v>
      </c>
      <c r="F176" s="83">
        <f t="shared" si="54"/>
        <v>-2561</v>
      </c>
      <c r="G176" s="83">
        <f t="shared" si="54"/>
        <v>-3468.1999999999994</v>
      </c>
      <c r="H176" s="83">
        <f t="shared" si="54"/>
        <v>-1040.6699999999989</v>
      </c>
      <c r="I176" s="83">
        <f t="shared" si="54"/>
        <v>-3342.7099999999991</v>
      </c>
      <c r="J176" s="83">
        <f t="shared" si="54"/>
        <v>-2120.1299999999992</v>
      </c>
      <c r="K176" s="83">
        <f t="shared" si="54"/>
        <v>-1437.1699999999996</v>
      </c>
      <c r="L176" s="83">
        <f t="shared" si="54"/>
        <v>-1525.7900000000006</v>
      </c>
      <c r="M176" s="83">
        <f t="shared" si="54"/>
        <v>372.26999999999907</v>
      </c>
      <c r="N176" s="83">
        <f t="shared" si="54"/>
        <v>-2910.2000000000016</v>
      </c>
      <c r="O176" s="83">
        <f t="shared" si="54"/>
        <v>-2157.4000000000019</v>
      </c>
      <c r="P176" s="83">
        <f t="shared" si="54"/>
        <v>-1742.8100000000027</v>
      </c>
      <c r="X176" s="10"/>
    </row>
    <row r="177" spans="1:24" x14ac:dyDescent="0.25">
      <c r="A177" s="8"/>
      <c r="B177" s="252"/>
      <c r="C177" s="125" t="s">
        <v>115</v>
      </c>
      <c r="E177" s="83">
        <f t="shared" ref="E177:P177" si="55">E154</f>
        <v>-1132.369999999999</v>
      </c>
      <c r="F177" s="83">
        <f t="shared" si="55"/>
        <v>-3353.45</v>
      </c>
      <c r="G177" s="83">
        <f t="shared" si="55"/>
        <v>-6090.33</v>
      </c>
      <c r="H177" s="83">
        <f t="shared" si="55"/>
        <v>-6663.76</v>
      </c>
      <c r="I177" s="83">
        <f t="shared" si="55"/>
        <v>-6285.0899999999983</v>
      </c>
      <c r="J177" s="83">
        <f t="shared" si="55"/>
        <v>-514.50999999999692</v>
      </c>
      <c r="K177" s="83">
        <f t="shared" si="55"/>
        <v>-4746.1099999999979</v>
      </c>
      <c r="L177" s="83">
        <f t="shared" si="55"/>
        <v>-5497.8799999999983</v>
      </c>
      <c r="M177" s="83">
        <f t="shared" si="55"/>
        <v>-1802.2699999999988</v>
      </c>
      <c r="N177" s="83">
        <f t="shared" si="55"/>
        <v>-653.6599999999994</v>
      </c>
      <c r="O177" s="83">
        <f t="shared" si="55"/>
        <v>-4781.079999999999</v>
      </c>
      <c r="P177" s="83">
        <f t="shared" si="55"/>
        <v>-4667.1199999999981</v>
      </c>
      <c r="X177" s="10"/>
    </row>
    <row r="178" spans="1:24" x14ac:dyDescent="0.25">
      <c r="A178" s="8"/>
      <c r="B178" s="252"/>
      <c r="C178" s="125" t="s">
        <v>116</v>
      </c>
      <c r="E178" s="83">
        <f t="shared" ref="E178:P178" si="56">E168</f>
        <v>-1415.6499999999994</v>
      </c>
      <c r="F178" s="83">
        <f t="shared" si="56"/>
        <v>-2206.7400000000002</v>
      </c>
      <c r="G178" s="83">
        <f t="shared" si="56"/>
        <v>-1286.1299999999997</v>
      </c>
      <c r="H178" s="83">
        <f t="shared" si="56"/>
        <v>-1567.1800000000007</v>
      </c>
      <c r="I178" s="83">
        <f t="shared" si="56"/>
        <v>-2843.300000000002</v>
      </c>
      <c r="J178" s="83">
        <f t="shared" si="56"/>
        <v>-1370.9800000000016</v>
      </c>
      <c r="K178" s="83">
        <f t="shared" si="56"/>
        <v>-1086.3800000000008</v>
      </c>
      <c r="L178" s="83">
        <f t="shared" si="56"/>
        <v>-1901.3900000000017</v>
      </c>
      <c r="M178" s="83">
        <f t="shared" si="56"/>
        <v>-160.45000000000294</v>
      </c>
      <c r="N178" s="83">
        <f t="shared" si="56"/>
        <v>-434.2500000000033</v>
      </c>
      <c r="O178" s="83">
        <f t="shared" si="56"/>
        <v>-16.510000000003856</v>
      </c>
      <c r="P178" s="83">
        <f t="shared" si="56"/>
        <v>-484.7300000000032</v>
      </c>
      <c r="X178" s="10"/>
    </row>
    <row r="179" spans="1:24" ht="16.5" customHeight="1" x14ac:dyDescent="0.25">
      <c r="A179" s="8"/>
      <c r="B179" s="252"/>
      <c r="C179" s="86" t="s">
        <v>92</v>
      </c>
      <c r="E179" s="87">
        <f t="shared" ref="E179:P179" si="57">SUM(E171:E178)</f>
        <v>30204.790000000008</v>
      </c>
      <c r="F179" s="87">
        <f t="shared" si="57"/>
        <v>33140.509999999995</v>
      </c>
      <c r="G179" s="87">
        <f t="shared" si="57"/>
        <v>32588.079999999998</v>
      </c>
      <c r="H179" s="87">
        <f t="shared" si="57"/>
        <v>26859.869999999995</v>
      </c>
      <c r="I179" s="87">
        <f t="shared" si="57"/>
        <v>22744.099999999977</v>
      </c>
      <c r="J179" s="87">
        <f t="shared" si="57"/>
        <v>43081.619999999995</v>
      </c>
      <c r="K179" s="87">
        <f t="shared" si="57"/>
        <v>45880.939999999995</v>
      </c>
      <c r="L179" s="87">
        <f t="shared" si="57"/>
        <v>33165.079999999973</v>
      </c>
      <c r="M179" s="87">
        <f t="shared" si="57"/>
        <v>41260.099999999955</v>
      </c>
      <c r="N179" s="87">
        <f t="shared" si="57"/>
        <v>47058.949999999953</v>
      </c>
      <c r="O179" s="87">
        <f t="shared" si="57"/>
        <v>21587.909999999953</v>
      </c>
      <c r="P179" s="87">
        <f t="shared" si="57"/>
        <v>11386.969999999958</v>
      </c>
      <c r="X179" s="10"/>
    </row>
    <row r="180" spans="1:24" x14ac:dyDescent="0.25">
      <c r="A180" s="8"/>
      <c r="B180" s="3"/>
      <c r="C180" s="3"/>
      <c r="K180" s="88"/>
      <c r="X180" s="10"/>
    </row>
    <row r="181" spans="1:24" ht="19.25" customHeight="1" thickBot="1" x14ac:dyDescent="0.3">
      <c r="A181" s="41"/>
      <c r="B181" s="42"/>
      <c r="C181" s="42"/>
      <c r="D181" s="43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5"/>
      <c r="R181" s="45"/>
      <c r="S181" s="45"/>
      <c r="T181" s="45"/>
      <c r="U181" s="45"/>
      <c r="V181" s="45"/>
      <c r="W181" s="46"/>
      <c r="X181" s="47"/>
    </row>
    <row r="192" spans="1:24" ht="15.75" customHeight="1" x14ac:dyDescent="0.25"/>
  </sheetData>
  <mergeCells count="151">
    <mergeCell ref="E1:V1"/>
    <mergeCell ref="B2:C2"/>
    <mergeCell ref="R2:R3"/>
    <mergeCell ref="S2:S3"/>
    <mergeCell ref="U2:U3"/>
    <mergeCell ref="B3:C3"/>
    <mergeCell ref="B27:C27"/>
    <mergeCell ref="B28:C28"/>
    <mergeCell ref="B29:C29"/>
    <mergeCell ref="B21:C21"/>
    <mergeCell ref="B22:C22"/>
    <mergeCell ref="B23:C23"/>
    <mergeCell ref="B1:C1"/>
    <mergeCell ref="B8:C8"/>
    <mergeCell ref="B9:C9"/>
    <mergeCell ref="B11:C11"/>
    <mergeCell ref="B12:C12"/>
    <mergeCell ref="B13:C13"/>
    <mergeCell ref="B14:C14"/>
    <mergeCell ref="B15:C15"/>
    <mergeCell ref="B16:C16"/>
    <mergeCell ref="B18:C18"/>
    <mergeCell ref="B24:C24"/>
    <mergeCell ref="B25:C25"/>
    <mergeCell ref="B4:C4"/>
    <mergeCell ref="B5:C5"/>
    <mergeCell ref="B19:C19"/>
    <mergeCell ref="B20:C20"/>
    <mergeCell ref="B6:C6"/>
    <mergeCell ref="B45:C45"/>
    <mergeCell ref="B30:C30"/>
    <mergeCell ref="B31:C31"/>
    <mergeCell ref="B44:C44"/>
    <mergeCell ref="B33:C33"/>
    <mergeCell ref="B34:C34"/>
    <mergeCell ref="B37:C37"/>
    <mergeCell ref="B42:C42"/>
    <mergeCell ref="B43:C43"/>
    <mergeCell ref="B40:C40"/>
    <mergeCell ref="B35:C35"/>
    <mergeCell ref="B39:C39"/>
    <mergeCell ref="B36:C36"/>
    <mergeCell ref="B26:C26"/>
    <mergeCell ref="B41:C41"/>
    <mergeCell ref="B50:C50"/>
    <mergeCell ref="B61:C61"/>
    <mergeCell ref="B62:C62"/>
    <mergeCell ref="B63:C63"/>
    <mergeCell ref="B64:C64"/>
    <mergeCell ref="B47:C47"/>
    <mergeCell ref="B48:C48"/>
    <mergeCell ref="B49:C49"/>
    <mergeCell ref="B46:C46"/>
    <mergeCell ref="B65:C65"/>
    <mergeCell ref="B66:C66"/>
    <mergeCell ref="B67:C67"/>
    <mergeCell ref="B69:C69"/>
    <mergeCell ref="B51:C51"/>
    <mergeCell ref="B52:C52"/>
    <mergeCell ref="B54:C54"/>
    <mergeCell ref="B55:C55"/>
    <mergeCell ref="B56:C56"/>
    <mergeCell ref="B57:C57"/>
    <mergeCell ref="B58:C58"/>
    <mergeCell ref="B59:C59"/>
    <mergeCell ref="B68:C68"/>
    <mergeCell ref="B70:C70"/>
    <mergeCell ref="B78:C78"/>
    <mergeCell ref="B79:C79"/>
    <mergeCell ref="B80:C80"/>
    <mergeCell ref="B81:C81"/>
    <mergeCell ref="B82:C82"/>
    <mergeCell ref="B83:C83"/>
    <mergeCell ref="B84:C84"/>
    <mergeCell ref="B75:C75"/>
    <mergeCell ref="B76:C76"/>
    <mergeCell ref="B72:C72"/>
    <mergeCell ref="B73:C73"/>
    <mergeCell ref="B74:C74"/>
    <mergeCell ref="B171:B179"/>
    <mergeCell ref="B107:C107"/>
    <mergeCell ref="B108:C108"/>
    <mergeCell ref="B109:C109"/>
    <mergeCell ref="B110:C110"/>
    <mergeCell ref="B111:C111"/>
    <mergeCell ref="B112:C112"/>
    <mergeCell ref="B120:C120"/>
    <mergeCell ref="B121:C121"/>
    <mergeCell ref="B114:C114"/>
    <mergeCell ref="B115:C115"/>
    <mergeCell ref="B116:C116"/>
    <mergeCell ref="B117:C117"/>
    <mergeCell ref="B118:C118"/>
    <mergeCell ref="B128:C128"/>
    <mergeCell ref="B129:C129"/>
    <mergeCell ref="B122:C122"/>
    <mergeCell ref="B123:C123"/>
    <mergeCell ref="B124:C124"/>
    <mergeCell ref="B136:C136"/>
    <mergeCell ref="B137:C137"/>
    <mergeCell ref="B138:C138"/>
    <mergeCell ref="B139:C139"/>
    <mergeCell ref="B140:C140"/>
    <mergeCell ref="B142:C142"/>
    <mergeCell ref="B144:C144"/>
    <mergeCell ref="B145:C145"/>
    <mergeCell ref="B146:C146"/>
    <mergeCell ref="B101:C101"/>
    <mergeCell ref="B102:C102"/>
    <mergeCell ref="B103:C103"/>
    <mergeCell ref="B104:C104"/>
    <mergeCell ref="B86:C86"/>
    <mergeCell ref="B87:C87"/>
    <mergeCell ref="B88:C88"/>
    <mergeCell ref="B89:C89"/>
    <mergeCell ref="B90:C90"/>
    <mergeCell ref="B125:C125"/>
    <mergeCell ref="B126:C126"/>
    <mergeCell ref="B97:C97"/>
    <mergeCell ref="B98:C98"/>
    <mergeCell ref="B106:C106"/>
    <mergeCell ref="B92:C92"/>
    <mergeCell ref="B93:C93"/>
    <mergeCell ref="B94:C94"/>
    <mergeCell ref="B95:C95"/>
    <mergeCell ref="B96:C96"/>
    <mergeCell ref="B100:C100"/>
    <mergeCell ref="B130:C130"/>
    <mergeCell ref="B131:C131"/>
    <mergeCell ref="B132:C132"/>
    <mergeCell ref="B134:C134"/>
    <mergeCell ref="B135:C135"/>
    <mergeCell ref="B165:C165"/>
    <mergeCell ref="B166:C166"/>
    <mergeCell ref="B167:C167"/>
    <mergeCell ref="B168:C168"/>
    <mergeCell ref="B159:C159"/>
    <mergeCell ref="B160:C160"/>
    <mergeCell ref="B162:C162"/>
    <mergeCell ref="B163:C163"/>
    <mergeCell ref="B164:C164"/>
    <mergeCell ref="B153:C153"/>
    <mergeCell ref="B154:C154"/>
    <mergeCell ref="B141:C141"/>
    <mergeCell ref="B156:C156"/>
    <mergeCell ref="B158:C158"/>
    <mergeCell ref="B148:C148"/>
    <mergeCell ref="B149:C149"/>
    <mergeCell ref="B150:C150"/>
    <mergeCell ref="B151:C151"/>
    <mergeCell ref="B152:C152"/>
  </mergeCells>
  <pageMargins left="0.12638888888888899" right="5.2083333333333301E-2" top="0.36319444444444399" bottom="0.40347222222222201" header="0.125694444444444" footer="0.16597222222222199"/>
  <pageSetup paperSize="9" scale="45" firstPageNumber="0" orientation="landscape" horizontalDpi="300" verticalDpi="300" r:id="rId1"/>
  <headerFooter>
    <oddHeader>&amp;C&amp;A</oddHeader>
    <oddFooter>&amp;CPágina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5"/>
  <sheetViews>
    <sheetView showZeros="0" zoomScale="90" zoomScaleNormal="90" workbookViewId="0">
      <selection activeCell="Y57" sqref="Y57"/>
    </sheetView>
  </sheetViews>
  <sheetFormatPr baseColWidth="10" defaultColWidth="9.1640625" defaultRowHeight="19" x14ac:dyDescent="0.25"/>
  <cols>
    <col min="1" max="1" width="3" style="95" customWidth="1"/>
    <col min="2" max="2" width="26" style="160" customWidth="1"/>
    <col min="3" max="3" width="26.1640625" style="160" customWidth="1"/>
    <col min="4" max="4" width="16.33203125" style="161" customWidth="1"/>
    <col min="5" max="8" width="15.6640625" style="176" customWidth="1"/>
    <col min="9" max="9" width="17.1640625" style="176" customWidth="1"/>
    <col min="10" max="11" width="15.6640625" style="176" customWidth="1"/>
    <col min="12" max="15" width="17.1640625" style="176" customWidth="1"/>
    <col min="16" max="17" width="15.6640625" style="176" customWidth="1"/>
    <col min="18" max="18" width="0.5" style="176" customWidth="1"/>
    <col min="19" max="19" width="18.6640625" style="176" hidden="1" customWidth="1"/>
    <col min="20" max="20" width="17" style="176" customWidth="1"/>
    <col min="21" max="21" width="15.6640625" style="176" customWidth="1"/>
    <col min="22" max="23" width="0.5" style="101" customWidth="1"/>
    <col min="24" max="24" width="3.33203125" style="88" customWidth="1"/>
    <col min="25" max="25" width="9.1640625" style="88" customWidth="1"/>
    <col min="26" max="26" width="12.83203125" style="88" customWidth="1"/>
    <col min="27" max="27" width="11.5" style="94"/>
    <col min="28" max="252" width="9.1640625" style="94" customWidth="1"/>
    <col min="253" max="1024" width="9.1640625" style="95" customWidth="1"/>
    <col min="1025" max="16384" width="9.1640625" style="96"/>
  </cols>
  <sheetData>
    <row r="1" spans="1:24" ht="90" customHeight="1" x14ac:dyDescent="0.25">
      <c r="A1" s="92"/>
      <c r="B1" s="304"/>
      <c r="C1" s="304"/>
      <c r="D1" s="183"/>
      <c r="E1" s="305" t="s">
        <v>123</v>
      </c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93"/>
    </row>
    <row r="2" spans="1:24" ht="16.25" customHeight="1" x14ac:dyDescent="0.25">
      <c r="A2" s="97"/>
      <c r="B2" s="307" t="s">
        <v>0</v>
      </c>
      <c r="C2" s="307"/>
      <c r="D2" s="308" t="s">
        <v>80</v>
      </c>
      <c r="E2" s="150" t="s">
        <v>124</v>
      </c>
      <c r="F2" s="150" t="s">
        <v>1</v>
      </c>
      <c r="G2" s="150" t="s">
        <v>1</v>
      </c>
      <c r="H2" s="150" t="s">
        <v>1</v>
      </c>
      <c r="I2" s="150" t="s">
        <v>1</v>
      </c>
      <c r="J2" s="150" t="s">
        <v>1</v>
      </c>
      <c r="K2" s="150" t="s">
        <v>1</v>
      </c>
      <c r="L2" s="150" t="s">
        <v>1</v>
      </c>
      <c r="M2" s="150" t="s">
        <v>1</v>
      </c>
      <c r="N2" s="150" t="s">
        <v>1</v>
      </c>
      <c r="O2" s="150" t="s">
        <v>1</v>
      </c>
      <c r="P2" s="150" t="s">
        <v>1</v>
      </c>
      <c r="Q2" s="150" t="s">
        <v>1</v>
      </c>
      <c r="S2" s="309" t="s">
        <v>2</v>
      </c>
      <c r="T2" s="310" t="s">
        <v>3</v>
      </c>
      <c r="U2" s="311" t="s">
        <v>4</v>
      </c>
      <c r="V2" s="98"/>
      <c r="W2" s="98"/>
      <c r="X2" s="99"/>
    </row>
    <row r="3" spans="1:24" x14ac:dyDescent="0.25">
      <c r="A3" s="97"/>
      <c r="B3" s="312" t="s">
        <v>5</v>
      </c>
      <c r="C3" s="312"/>
      <c r="D3" s="308"/>
      <c r="E3" s="151" t="s">
        <v>7</v>
      </c>
      <c r="F3" s="151" t="s">
        <v>8</v>
      </c>
      <c r="G3" s="151" t="s">
        <v>9</v>
      </c>
      <c r="H3" s="151" t="s">
        <v>10</v>
      </c>
      <c r="I3" s="151" t="s">
        <v>11</v>
      </c>
      <c r="J3" s="151" t="s">
        <v>12</v>
      </c>
      <c r="K3" s="151" t="s">
        <v>13</v>
      </c>
      <c r="L3" s="151" t="s">
        <v>14</v>
      </c>
      <c r="M3" s="151" t="s">
        <v>15</v>
      </c>
      <c r="N3" s="151" t="s">
        <v>16</v>
      </c>
      <c r="O3" s="151" t="s">
        <v>17</v>
      </c>
      <c r="P3" s="151" t="s">
        <v>125</v>
      </c>
      <c r="Q3" s="151" t="s">
        <v>126</v>
      </c>
      <c r="S3" s="309"/>
      <c r="T3" s="310"/>
      <c r="U3" s="311"/>
      <c r="V3" s="98"/>
      <c r="W3" s="98"/>
      <c r="X3" s="99"/>
    </row>
    <row r="4" spans="1:24" x14ac:dyDescent="0.25">
      <c r="A4" s="97"/>
      <c r="B4" s="314" t="s">
        <v>18</v>
      </c>
      <c r="C4" s="314"/>
      <c r="D4" s="152">
        <f>'Realizada 2019.2020'!S4</f>
        <v>5545.8574999999992</v>
      </c>
      <c r="E4" s="184">
        <f>SUM(E5:E7)</f>
        <v>5630</v>
      </c>
      <c r="F4" s="185">
        <f t="shared" ref="F4:Q4" si="0">SUM(F5:F7)</f>
        <v>5630</v>
      </c>
      <c r="G4" s="185">
        <f t="shared" si="0"/>
        <v>5630</v>
      </c>
      <c r="H4" s="185">
        <f t="shared" si="0"/>
        <v>5630</v>
      </c>
      <c r="I4" s="185">
        <f t="shared" si="0"/>
        <v>5630</v>
      </c>
      <c r="J4" s="185">
        <f t="shared" si="0"/>
        <v>5630</v>
      </c>
      <c r="K4" s="185">
        <f t="shared" si="0"/>
        <v>5911.5</v>
      </c>
      <c r="L4" s="185">
        <f t="shared" si="0"/>
        <v>5911.5</v>
      </c>
      <c r="M4" s="185">
        <f t="shared" si="0"/>
        <v>5911.5</v>
      </c>
      <c r="N4" s="185">
        <f t="shared" si="0"/>
        <v>5911.5</v>
      </c>
      <c r="O4" s="185">
        <f t="shared" si="0"/>
        <v>5911.5</v>
      </c>
      <c r="P4" s="185">
        <f t="shared" si="0"/>
        <v>5911.5</v>
      </c>
      <c r="Q4" s="185">
        <f t="shared" si="0"/>
        <v>5911.5</v>
      </c>
      <c r="S4" s="186">
        <f>SUM(S5:S6)</f>
        <v>70888.5</v>
      </c>
      <c r="T4" s="165">
        <f>SUM(T5:T7)</f>
        <v>5794.208333333333</v>
      </c>
      <c r="U4" s="166">
        <f>SUM(U5:U7)</f>
        <v>9.1534038619755884E-2</v>
      </c>
      <c r="V4" s="100"/>
      <c r="W4" s="100"/>
      <c r="X4" s="99"/>
    </row>
    <row r="5" spans="1:24" ht="17.5" customHeight="1" x14ac:dyDescent="0.25">
      <c r="A5" s="97"/>
      <c r="B5" s="258" t="s">
        <v>19</v>
      </c>
      <c r="C5" s="258"/>
      <c r="D5" s="218">
        <f>'Realizada 2019.2020'!S5</f>
        <v>4876.7124999999996</v>
      </c>
      <c r="E5" s="187">
        <v>4900</v>
      </c>
      <c r="F5" s="187">
        <f>E5</f>
        <v>4900</v>
      </c>
      <c r="G5" s="187">
        <f t="shared" ref="G5:J5" si="1">F5</f>
        <v>4900</v>
      </c>
      <c r="H5" s="187">
        <f t="shared" si="1"/>
        <v>4900</v>
      </c>
      <c r="I5" s="187">
        <f t="shared" si="1"/>
        <v>4900</v>
      </c>
      <c r="J5" s="187">
        <f t="shared" si="1"/>
        <v>4900</v>
      </c>
      <c r="K5" s="223">
        <f>J5*5%+J5</f>
        <v>5145</v>
      </c>
      <c r="L5" s="219">
        <f>K5</f>
        <v>5145</v>
      </c>
      <c r="M5" s="219">
        <f t="shared" ref="M5:Q5" si="2">L5</f>
        <v>5145</v>
      </c>
      <c r="N5" s="219">
        <f t="shared" si="2"/>
        <v>5145</v>
      </c>
      <c r="O5" s="219">
        <f t="shared" si="2"/>
        <v>5145</v>
      </c>
      <c r="P5" s="219">
        <f t="shared" si="2"/>
        <v>5145</v>
      </c>
      <c r="Q5" s="219">
        <f t="shared" si="2"/>
        <v>5145</v>
      </c>
      <c r="S5" s="188">
        <f>SUM(E5:Q5)</f>
        <v>65415</v>
      </c>
      <c r="T5" s="167">
        <f>AVERAGE(F5:Q5)</f>
        <v>5042.916666666667</v>
      </c>
      <c r="U5" s="168">
        <f>T5/T46</f>
        <v>7.9665504304938517E-2</v>
      </c>
      <c r="V5" s="100"/>
      <c r="W5" s="100"/>
      <c r="X5" s="99"/>
    </row>
    <row r="6" spans="1:24" ht="17.5" customHeight="1" x14ac:dyDescent="0.25">
      <c r="A6" s="97"/>
      <c r="B6" s="258" t="s">
        <v>119</v>
      </c>
      <c r="C6" s="258"/>
      <c r="D6" s="218">
        <f>'Realizada 2019.2020'!S6</f>
        <v>380.70833333333331</v>
      </c>
      <c r="E6" s="187">
        <v>410</v>
      </c>
      <c r="F6" s="187">
        <f>E6</f>
        <v>410</v>
      </c>
      <c r="G6" s="187">
        <f t="shared" ref="G6:J6" si="3">F6</f>
        <v>410</v>
      </c>
      <c r="H6" s="187">
        <f t="shared" si="3"/>
        <v>410</v>
      </c>
      <c r="I6" s="187">
        <f t="shared" si="3"/>
        <v>410</v>
      </c>
      <c r="J6" s="187">
        <f t="shared" si="3"/>
        <v>410</v>
      </c>
      <c r="K6" s="223">
        <f>J6*5%+J6</f>
        <v>430.5</v>
      </c>
      <c r="L6" s="219">
        <f>K6</f>
        <v>430.5</v>
      </c>
      <c r="M6" s="219">
        <f t="shared" ref="M6:Q6" si="4">L6</f>
        <v>430.5</v>
      </c>
      <c r="N6" s="219">
        <f t="shared" si="4"/>
        <v>430.5</v>
      </c>
      <c r="O6" s="219">
        <f t="shared" si="4"/>
        <v>430.5</v>
      </c>
      <c r="P6" s="219">
        <f t="shared" si="4"/>
        <v>430.5</v>
      </c>
      <c r="Q6" s="219">
        <f t="shared" si="4"/>
        <v>430.5</v>
      </c>
      <c r="S6" s="189">
        <f>SUM(E6:Q6)</f>
        <v>5473.5</v>
      </c>
      <c r="T6" s="167">
        <f t="shared" ref="T6:T7" si="5">AVERAGE(F6:Q6)</f>
        <v>421.95833333333331</v>
      </c>
      <c r="U6" s="168">
        <f>T6/T46</f>
        <v>6.6658891357193441E-3</v>
      </c>
      <c r="V6" s="100"/>
      <c r="W6" s="100"/>
      <c r="X6" s="99"/>
    </row>
    <row r="7" spans="1:24" ht="17.5" customHeight="1" x14ac:dyDescent="0.25">
      <c r="A7" s="97"/>
      <c r="B7" s="148" t="s">
        <v>122</v>
      </c>
      <c r="C7" s="154"/>
      <c r="D7" s="218">
        <f>'Realizada 2019.2020'!S7</f>
        <v>288.43666666666667</v>
      </c>
      <c r="E7" s="187">
        <v>320</v>
      </c>
      <c r="F7" s="187">
        <f>E7</f>
        <v>320</v>
      </c>
      <c r="G7" s="187">
        <f t="shared" ref="G7:J7" si="6">F7</f>
        <v>320</v>
      </c>
      <c r="H7" s="187">
        <f t="shared" si="6"/>
        <v>320</v>
      </c>
      <c r="I7" s="187">
        <f t="shared" si="6"/>
        <v>320</v>
      </c>
      <c r="J7" s="187">
        <f t="shared" si="6"/>
        <v>320</v>
      </c>
      <c r="K7" s="223">
        <f>J7*5%+J7</f>
        <v>336</v>
      </c>
      <c r="L7" s="219">
        <f>K7</f>
        <v>336</v>
      </c>
      <c r="M7" s="219">
        <f t="shared" ref="M7:Q7" si="7">L7</f>
        <v>336</v>
      </c>
      <c r="N7" s="219">
        <f t="shared" si="7"/>
        <v>336</v>
      </c>
      <c r="O7" s="219">
        <f t="shared" si="7"/>
        <v>336</v>
      </c>
      <c r="P7" s="219">
        <f t="shared" si="7"/>
        <v>336</v>
      </c>
      <c r="Q7" s="219">
        <f t="shared" si="7"/>
        <v>336</v>
      </c>
      <c r="S7" s="189"/>
      <c r="T7" s="167">
        <f t="shared" si="5"/>
        <v>329.33333333333331</v>
      </c>
      <c r="U7" s="168">
        <f>T7/T46</f>
        <v>5.2026451790980243E-3</v>
      </c>
      <c r="V7" s="100"/>
      <c r="W7" s="100"/>
      <c r="X7" s="99"/>
    </row>
    <row r="8" spans="1:24" ht="17.5" customHeight="1" x14ac:dyDescent="0.25">
      <c r="A8" s="97"/>
      <c r="B8" s="302" t="s">
        <v>20</v>
      </c>
      <c r="C8" s="302"/>
      <c r="D8" s="152">
        <f>'Realizada 2019.2020'!S8</f>
        <v>942.85583333333341</v>
      </c>
      <c r="E8" s="190">
        <f>SUM(E9:E12)</f>
        <v>1166.05</v>
      </c>
      <c r="F8" s="155">
        <f t="shared" ref="F8:Q8" si="8">SUM(F9:F12)</f>
        <v>1166.05</v>
      </c>
      <c r="G8" s="155">
        <f t="shared" si="8"/>
        <v>1166.05</v>
      </c>
      <c r="H8" s="155">
        <f t="shared" si="8"/>
        <v>1166.05</v>
      </c>
      <c r="I8" s="155">
        <f t="shared" si="8"/>
        <v>1166.05</v>
      </c>
      <c r="J8" s="155">
        <f t="shared" si="8"/>
        <v>1166.05</v>
      </c>
      <c r="K8" s="155">
        <f>SUM(K9:K12)</f>
        <v>1224.3525</v>
      </c>
      <c r="L8" s="155">
        <f t="shared" si="8"/>
        <v>1224.3525</v>
      </c>
      <c r="M8" s="155">
        <f t="shared" si="8"/>
        <v>1224.3525</v>
      </c>
      <c r="N8" s="155">
        <f t="shared" si="8"/>
        <v>1224.3525</v>
      </c>
      <c r="O8" s="155">
        <f t="shared" si="8"/>
        <v>1224.3525</v>
      </c>
      <c r="P8" s="155">
        <f t="shared" ref="P8" si="9">SUM(P9:P12)</f>
        <v>1224.3525</v>
      </c>
      <c r="Q8" s="155">
        <f t="shared" si="8"/>
        <v>1224.3525</v>
      </c>
      <c r="S8" s="186">
        <f>SUM(S9:S12)</f>
        <v>8635.7429999999986</v>
      </c>
      <c r="T8" s="165">
        <f>SUM(T9:T12)</f>
        <v>1200.0597916666668</v>
      </c>
      <c r="U8" s="166">
        <f>SUM(U9:U12)</f>
        <v>1.895795128464766E-2</v>
      </c>
      <c r="V8" s="100"/>
      <c r="W8" s="100"/>
      <c r="X8" s="99"/>
    </row>
    <row r="9" spans="1:24" ht="18.75" customHeight="1" x14ac:dyDescent="0.25">
      <c r="A9" s="97"/>
      <c r="B9" s="279" t="s">
        <v>21</v>
      </c>
      <c r="C9" s="279"/>
      <c r="D9" s="218">
        <f>'Realizada 2019.2020'!S9</f>
        <v>233.46083333333334</v>
      </c>
      <c r="E9" s="187">
        <v>251.53</v>
      </c>
      <c r="F9" s="187">
        <f>E9</f>
        <v>251.53</v>
      </c>
      <c r="G9" s="187">
        <f t="shared" ref="G9:J9" si="10">F9</f>
        <v>251.53</v>
      </c>
      <c r="H9" s="187">
        <f t="shared" si="10"/>
        <v>251.53</v>
      </c>
      <c r="I9" s="187">
        <f t="shared" si="10"/>
        <v>251.53</v>
      </c>
      <c r="J9" s="187">
        <f t="shared" si="10"/>
        <v>251.53</v>
      </c>
      <c r="K9" s="223">
        <f>J9*5%+J9</f>
        <v>264.10649999999998</v>
      </c>
      <c r="L9" s="220">
        <f>K9</f>
        <v>264.10649999999998</v>
      </c>
      <c r="M9" s="220">
        <f t="shared" ref="M9:Q11" si="11">L9</f>
        <v>264.10649999999998</v>
      </c>
      <c r="N9" s="220">
        <f t="shared" si="11"/>
        <v>264.10649999999998</v>
      </c>
      <c r="O9" s="220">
        <f t="shared" si="11"/>
        <v>264.10649999999998</v>
      </c>
      <c r="P9" s="220">
        <f t="shared" si="11"/>
        <v>264.10649999999998</v>
      </c>
      <c r="Q9" s="220">
        <f t="shared" si="11"/>
        <v>264.10649999999998</v>
      </c>
      <c r="S9" s="189">
        <f>SUM(E9:Q9)</f>
        <v>3357.9254999999994</v>
      </c>
      <c r="T9" s="167">
        <f>AVERAGE(F9:Q9)</f>
        <v>258.8662916666666</v>
      </c>
      <c r="U9" s="168">
        <f>T9/T46</f>
        <v>4.0894416934328937E-3</v>
      </c>
      <c r="V9" s="100"/>
      <c r="W9" s="100"/>
      <c r="X9" s="99"/>
    </row>
    <row r="10" spans="1:24" ht="18.75" customHeight="1" x14ac:dyDescent="0.25">
      <c r="A10" s="97"/>
      <c r="B10" s="156" t="s">
        <v>22</v>
      </c>
      <c r="C10" s="157"/>
      <c r="D10" s="218">
        <f>'Realizada 2019.2020'!S10</f>
        <v>444.56083333333345</v>
      </c>
      <c r="E10" s="187">
        <v>445.47</v>
      </c>
      <c r="F10" s="187">
        <f>E10</f>
        <v>445.47</v>
      </c>
      <c r="G10" s="187">
        <f t="shared" ref="G10:J10" si="12">F10</f>
        <v>445.47</v>
      </c>
      <c r="H10" s="187">
        <f t="shared" si="12"/>
        <v>445.47</v>
      </c>
      <c r="I10" s="187">
        <f t="shared" si="12"/>
        <v>445.47</v>
      </c>
      <c r="J10" s="187">
        <f t="shared" si="12"/>
        <v>445.47</v>
      </c>
      <c r="K10" s="223">
        <f>J10*5%+J10</f>
        <v>467.74350000000004</v>
      </c>
      <c r="L10" s="220">
        <f>K10</f>
        <v>467.74350000000004</v>
      </c>
      <c r="M10" s="126">
        <f t="shared" si="11"/>
        <v>467.74350000000004</v>
      </c>
      <c r="N10" s="126">
        <f t="shared" si="11"/>
        <v>467.74350000000004</v>
      </c>
      <c r="O10" s="126">
        <f t="shared" si="11"/>
        <v>467.74350000000004</v>
      </c>
      <c r="P10" s="126">
        <f t="shared" si="11"/>
        <v>467.74350000000004</v>
      </c>
      <c r="Q10" s="126">
        <f t="shared" si="11"/>
        <v>467.74350000000004</v>
      </c>
      <c r="S10" s="189"/>
      <c r="T10" s="167">
        <f t="shared" ref="T10:T12" si="13">AVERAGE(F10:Q10)</f>
        <v>458.46287500000017</v>
      </c>
      <c r="U10" s="168">
        <f>T10/T46</f>
        <v>7.2425698372899933E-3</v>
      </c>
      <c r="V10" s="100"/>
      <c r="W10" s="100"/>
      <c r="X10" s="99"/>
    </row>
    <row r="11" spans="1:24" ht="18.75" customHeight="1" x14ac:dyDescent="0.25">
      <c r="A11" s="97"/>
      <c r="B11" s="279" t="s">
        <v>120</v>
      </c>
      <c r="C11" s="279"/>
      <c r="D11" s="218">
        <f>'Realizada 2019.2020'!S11</f>
        <v>194.52</v>
      </c>
      <c r="E11" s="187">
        <v>389.05</v>
      </c>
      <c r="F11" s="187">
        <f>E11</f>
        <v>389.05</v>
      </c>
      <c r="G11" s="187">
        <f t="shared" ref="G11:J11" si="14">F11</f>
        <v>389.05</v>
      </c>
      <c r="H11" s="187">
        <f t="shared" si="14"/>
        <v>389.05</v>
      </c>
      <c r="I11" s="187">
        <f t="shared" si="14"/>
        <v>389.05</v>
      </c>
      <c r="J11" s="187">
        <f t="shared" si="14"/>
        <v>389.05</v>
      </c>
      <c r="K11" s="223">
        <f>J11*5%+J11</f>
        <v>408.5025</v>
      </c>
      <c r="L11" s="220">
        <f>K11</f>
        <v>408.5025</v>
      </c>
      <c r="M11" s="126">
        <f t="shared" si="11"/>
        <v>408.5025</v>
      </c>
      <c r="N11" s="126">
        <f t="shared" si="11"/>
        <v>408.5025</v>
      </c>
      <c r="O11" s="126">
        <f t="shared" si="11"/>
        <v>408.5025</v>
      </c>
      <c r="P11" s="126">
        <f t="shared" si="11"/>
        <v>408.5025</v>
      </c>
      <c r="Q11" s="126">
        <f t="shared" si="11"/>
        <v>408.5025</v>
      </c>
      <c r="S11" s="189">
        <f>SUM(E11:Q11)</f>
        <v>5193.8174999999992</v>
      </c>
      <c r="T11" s="167">
        <f t="shared" si="13"/>
        <v>400.39729166666666</v>
      </c>
      <c r="U11" s="168">
        <f>T11/T46</f>
        <v>6.32527845915027E-3</v>
      </c>
      <c r="V11" s="100"/>
      <c r="W11" s="100"/>
      <c r="X11" s="99"/>
    </row>
    <row r="12" spans="1:24" ht="18.75" customHeight="1" x14ac:dyDescent="0.25">
      <c r="A12" s="97"/>
      <c r="B12" s="279" t="s">
        <v>23</v>
      </c>
      <c r="C12" s="279"/>
      <c r="D12" s="218">
        <f>'Realizada 2019.2020'!S12</f>
        <v>70.314166666666679</v>
      </c>
      <c r="E12" s="187">
        <v>80</v>
      </c>
      <c r="F12" s="187">
        <f>E12</f>
        <v>80</v>
      </c>
      <c r="G12" s="187">
        <f t="shared" ref="G12:J12" si="15">F12</f>
        <v>80</v>
      </c>
      <c r="H12" s="187">
        <f t="shared" si="15"/>
        <v>80</v>
      </c>
      <c r="I12" s="187">
        <f t="shared" si="15"/>
        <v>80</v>
      </c>
      <c r="J12" s="187">
        <f t="shared" si="15"/>
        <v>80</v>
      </c>
      <c r="K12" s="223">
        <f>J12*5%+J12</f>
        <v>84</v>
      </c>
      <c r="L12" s="221">
        <f>K12</f>
        <v>84</v>
      </c>
      <c r="M12" s="221">
        <f t="shared" ref="M12:S12" si="16">L12</f>
        <v>84</v>
      </c>
      <c r="N12" s="221">
        <f t="shared" si="16"/>
        <v>84</v>
      </c>
      <c r="O12" s="221">
        <f t="shared" si="16"/>
        <v>84</v>
      </c>
      <c r="P12" s="221">
        <f t="shared" si="16"/>
        <v>84</v>
      </c>
      <c r="Q12" s="221">
        <f t="shared" si="16"/>
        <v>84</v>
      </c>
      <c r="R12" s="221">
        <f t="shared" si="16"/>
        <v>84</v>
      </c>
      <c r="S12" s="221">
        <f t="shared" si="16"/>
        <v>84</v>
      </c>
      <c r="T12" s="167">
        <f t="shared" si="13"/>
        <v>82.333333333333329</v>
      </c>
      <c r="U12" s="168">
        <f>T12/T46</f>
        <v>1.3006612947745061E-3</v>
      </c>
      <c r="V12" s="100"/>
      <c r="W12" s="100"/>
      <c r="X12" s="99"/>
    </row>
    <row r="13" spans="1:24" ht="17.5" customHeight="1" x14ac:dyDescent="0.25">
      <c r="A13" s="97"/>
      <c r="B13" s="302" t="s">
        <v>24</v>
      </c>
      <c r="C13" s="302"/>
      <c r="D13" s="152">
        <f>'Realizada 2019.2020'!S13</f>
        <v>488.85916666666662</v>
      </c>
      <c r="E13" s="190">
        <f>SUM(E14:E16)</f>
        <v>389.25</v>
      </c>
      <c r="F13" s="155">
        <f t="shared" ref="F13:Q13" si="17">SUM(F14:F16)</f>
        <v>389.25</v>
      </c>
      <c r="G13" s="155">
        <f t="shared" si="17"/>
        <v>389.25</v>
      </c>
      <c r="H13" s="155">
        <f t="shared" si="17"/>
        <v>389.25</v>
      </c>
      <c r="I13" s="155">
        <f t="shared" si="17"/>
        <v>389.25</v>
      </c>
      <c r="J13" s="155">
        <f t="shared" si="17"/>
        <v>389.25</v>
      </c>
      <c r="K13" s="155">
        <f t="shared" si="17"/>
        <v>406.71249999999998</v>
      </c>
      <c r="L13" s="155">
        <f t="shared" si="17"/>
        <v>406.71249999999998</v>
      </c>
      <c r="M13" s="155">
        <f t="shared" si="17"/>
        <v>406.71249999999998</v>
      </c>
      <c r="N13" s="155">
        <f t="shared" si="17"/>
        <v>406.71249999999998</v>
      </c>
      <c r="O13" s="155">
        <f t="shared" si="17"/>
        <v>406.71249999999998</v>
      </c>
      <c r="P13" s="155">
        <f t="shared" si="17"/>
        <v>406.71249999999998</v>
      </c>
      <c r="Q13" s="155">
        <f t="shared" si="17"/>
        <v>406.71249999999998</v>
      </c>
      <c r="S13" s="186" t="e">
        <f>SUM(#REF!)</f>
        <v>#REF!</v>
      </c>
      <c r="T13" s="169">
        <f>SUM(T14:T16)</f>
        <v>399.43645833333335</v>
      </c>
      <c r="U13" s="170">
        <f>SUM(U14:U16)</f>
        <v>6.3100996891819004E-3</v>
      </c>
      <c r="V13" s="100"/>
      <c r="W13" s="100"/>
      <c r="X13" s="99"/>
    </row>
    <row r="14" spans="1:24" ht="17.5" customHeight="1" x14ac:dyDescent="0.25">
      <c r="A14" s="97"/>
      <c r="B14" s="274" t="s">
        <v>117</v>
      </c>
      <c r="C14" s="313"/>
      <c r="D14" s="218">
        <f>'Realizada 2019.2020'!S21</f>
        <v>130.85916666666665</v>
      </c>
      <c r="E14" s="191">
        <v>0</v>
      </c>
      <c r="F14" s="191">
        <f>E14</f>
        <v>0</v>
      </c>
      <c r="G14" s="191">
        <f t="shared" ref="G14:Q16" si="18">F14</f>
        <v>0</v>
      </c>
      <c r="H14" s="191">
        <f t="shared" si="18"/>
        <v>0</v>
      </c>
      <c r="I14" s="191">
        <f t="shared" si="18"/>
        <v>0</v>
      </c>
      <c r="J14" s="191">
        <f t="shared" si="18"/>
        <v>0</v>
      </c>
      <c r="K14" s="191">
        <f t="shared" si="18"/>
        <v>0</v>
      </c>
      <c r="L14" s="191">
        <f t="shared" si="18"/>
        <v>0</v>
      </c>
      <c r="M14" s="191">
        <f t="shared" si="18"/>
        <v>0</v>
      </c>
      <c r="N14" s="191">
        <f t="shared" si="18"/>
        <v>0</v>
      </c>
      <c r="O14" s="191">
        <f t="shared" si="18"/>
        <v>0</v>
      </c>
      <c r="P14" s="191">
        <f t="shared" si="18"/>
        <v>0</v>
      </c>
      <c r="Q14" s="191">
        <f t="shared" si="18"/>
        <v>0</v>
      </c>
      <c r="S14" s="189"/>
      <c r="T14" s="167">
        <f>AVERAGE(E14:Q14)</f>
        <v>0</v>
      </c>
      <c r="U14" s="168">
        <f>T14/T46</f>
        <v>0</v>
      </c>
      <c r="X14" s="99"/>
    </row>
    <row r="15" spans="1:24" ht="17.5" customHeight="1" x14ac:dyDescent="0.25">
      <c r="A15" s="97"/>
      <c r="B15" s="274" t="s">
        <v>26</v>
      </c>
      <c r="C15" s="274"/>
      <c r="D15" s="218">
        <f>'Realizada 2019.2020'!S22</f>
        <v>8.75</v>
      </c>
      <c r="E15" s="187">
        <v>40</v>
      </c>
      <c r="F15" s="187">
        <f>E15</f>
        <v>40</v>
      </c>
      <c r="G15" s="187">
        <f t="shared" si="18"/>
        <v>40</v>
      </c>
      <c r="H15" s="187">
        <f t="shared" si="18"/>
        <v>40</v>
      </c>
      <c r="I15" s="187">
        <f t="shared" si="18"/>
        <v>40</v>
      </c>
      <c r="J15" s="187">
        <f t="shared" si="18"/>
        <v>40</v>
      </c>
      <c r="K15" s="187">
        <f>E15</f>
        <v>40</v>
      </c>
      <c r="L15" s="187">
        <f t="shared" ref="L15:Q15" si="19">F15</f>
        <v>40</v>
      </c>
      <c r="M15" s="187">
        <f t="shared" si="19"/>
        <v>40</v>
      </c>
      <c r="N15" s="187">
        <f t="shared" si="19"/>
        <v>40</v>
      </c>
      <c r="O15" s="187">
        <f t="shared" si="19"/>
        <v>40</v>
      </c>
      <c r="P15" s="187">
        <f t="shared" si="19"/>
        <v>40</v>
      </c>
      <c r="Q15" s="187">
        <f t="shared" si="19"/>
        <v>40</v>
      </c>
      <c r="S15" s="189"/>
      <c r="T15" s="167">
        <f>AVERAGE(F15:Q15)</f>
        <v>40</v>
      </c>
      <c r="U15" s="168">
        <f>T15/T46</f>
        <v>6.3190022418194635E-4</v>
      </c>
      <c r="X15" s="99"/>
    </row>
    <row r="16" spans="1:24" ht="17.5" customHeight="1" x14ac:dyDescent="0.25">
      <c r="A16" s="97"/>
      <c r="B16" s="274" t="s">
        <v>27</v>
      </c>
      <c r="C16" s="274"/>
      <c r="D16" s="218">
        <f>'Realizada 2019.2020'!S23</f>
        <v>349.25</v>
      </c>
      <c r="E16" s="187">
        <f>D16</f>
        <v>349.25</v>
      </c>
      <c r="F16" s="126">
        <f>E16</f>
        <v>349.25</v>
      </c>
      <c r="G16" s="126">
        <f t="shared" si="18"/>
        <v>349.25</v>
      </c>
      <c r="H16" s="126">
        <f t="shared" si="18"/>
        <v>349.25</v>
      </c>
      <c r="I16" s="126">
        <f t="shared" si="18"/>
        <v>349.25</v>
      </c>
      <c r="J16" s="126">
        <f t="shared" si="18"/>
        <v>349.25</v>
      </c>
      <c r="K16" s="224">
        <f>J16*5%+J16</f>
        <v>366.71249999999998</v>
      </c>
      <c r="L16" s="222">
        <f>K16</f>
        <v>366.71249999999998</v>
      </c>
      <c r="M16" s="222">
        <f t="shared" ref="M16:Q16" si="20">L16</f>
        <v>366.71249999999998</v>
      </c>
      <c r="N16" s="222">
        <f t="shared" si="20"/>
        <v>366.71249999999998</v>
      </c>
      <c r="O16" s="222">
        <f t="shared" si="20"/>
        <v>366.71249999999998</v>
      </c>
      <c r="P16" s="222">
        <f t="shared" si="20"/>
        <v>366.71249999999998</v>
      </c>
      <c r="Q16" s="222">
        <f t="shared" si="20"/>
        <v>366.71249999999998</v>
      </c>
      <c r="S16" s="189"/>
      <c r="T16" s="167">
        <f>AVERAGE(F16:Q16)</f>
        <v>359.43645833333335</v>
      </c>
      <c r="U16" s="168">
        <f>T16/T46</f>
        <v>5.6781994649999536E-3</v>
      </c>
      <c r="X16" s="99"/>
    </row>
    <row r="17" spans="1:24" ht="17.5" customHeight="1" x14ac:dyDescent="0.25">
      <c r="A17" s="97"/>
      <c r="B17" s="302" t="s">
        <v>101</v>
      </c>
      <c r="C17" s="302"/>
      <c r="D17" s="152">
        <f>'Realizada 2019.2020'!S24</f>
        <v>43844.23333333333</v>
      </c>
      <c r="E17" s="190">
        <f>SUM(E18:E19)</f>
        <v>45509.229999999996</v>
      </c>
      <c r="F17" s="190">
        <f t="shared" ref="F17:Q17" si="21">SUM(F18:F19)</f>
        <v>30339.64</v>
      </c>
      <c r="G17" s="190">
        <f t="shared" si="21"/>
        <v>30339.64</v>
      </c>
      <c r="H17" s="190">
        <f t="shared" si="21"/>
        <v>30339.64</v>
      </c>
      <c r="I17" s="190">
        <f t="shared" si="21"/>
        <v>30339.64</v>
      </c>
      <c r="J17" s="190">
        <f t="shared" si="21"/>
        <v>30339.64</v>
      </c>
      <c r="K17" s="190">
        <f t="shared" si="21"/>
        <v>30339.64</v>
      </c>
      <c r="L17" s="190">
        <f t="shared" si="21"/>
        <v>30339.64</v>
      </c>
      <c r="M17" s="190">
        <f t="shared" si="21"/>
        <v>30339.64</v>
      </c>
      <c r="N17" s="190">
        <f t="shared" si="21"/>
        <v>31856.621999999999</v>
      </c>
      <c r="O17" s="190">
        <f t="shared" si="21"/>
        <v>31856.621999999999</v>
      </c>
      <c r="P17" s="190">
        <f t="shared" si="21"/>
        <v>31856.621999999999</v>
      </c>
      <c r="Q17" s="190">
        <f t="shared" si="21"/>
        <v>31856.621999999999</v>
      </c>
      <c r="S17" s="186"/>
      <c r="T17" s="169">
        <f>SUM(T18:T19)</f>
        <v>30845.30066666667</v>
      </c>
      <c r="U17" s="166">
        <f>SUM(U18:U19)</f>
        <v>0.48727881015565522</v>
      </c>
      <c r="X17" s="99"/>
    </row>
    <row r="18" spans="1:24" ht="17.5" customHeight="1" x14ac:dyDescent="0.25">
      <c r="A18" s="97"/>
      <c r="B18" s="265" t="s">
        <v>102</v>
      </c>
      <c r="C18" s="266"/>
      <c r="D18" s="218">
        <f>'Realizada 2019.2020'!S25</f>
        <v>35207.760833333334</v>
      </c>
      <c r="E18" s="126">
        <v>36469.589999999997</v>
      </c>
      <c r="F18" s="126">
        <v>21300</v>
      </c>
      <c r="G18" s="126">
        <f t="shared" ref="G18:M19" si="22">F18</f>
        <v>21300</v>
      </c>
      <c r="H18" s="126">
        <f t="shared" si="22"/>
        <v>21300</v>
      </c>
      <c r="I18" s="126">
        <f t="shared" si="22"/>
        <v>21300</v>
      </c>
      <c r="J18" s="126">
        <f t="shared" si="22"/>
        <v>21300</v>
      </c>
      <c r="K18" s="126">
        <f t="shared" si="22"/>
        <v>21300</v>
      </c>
      <c r="L18" s="126">
        <f t="shared" si="22"/>
        <v>21300</v>
      </c>
      <c r="M18" s="126">
        <f t="shared" si="22"/>
        <v>21300</v>
      </c>
      <c r="N18" s="225">
        <f>M18*5%+M18</f>
        <v>22365</v>
      </c>
      <c r="O18" s="126">
        <f>N18</f>
        <v>22365</v>
      </c>
      <c r="P18" s="126">
        <f t="shared" ref="P18:Q18" si="23">O18</f>
        <v>22365</v>
      </c>
      <c r="Q18" s="126">
        <f t="shared" si="23"/>
        <v>22365</v>
      </c>
      <c r="S18" s="189"/>
      <c r="T18" s="167">
        <f>AVERAGE(F18:Q18)</f>
        <v>21655</v>
      </c>
      <c r="U18" s="168">
        <f>T18/T46</f>
        <v>0.34209498386650122</v>
      </c>
      <c r="X18" s="99"/>
    </row>
    <row r="19" spans="1:24" ht="17.5" customHeight="1" x14ac:dyDescent="0.25">
      <c r="A19" s="97"/>
      <c r="B19" s="265" t="s">
        <v>40</v>
      </c>
      <c r="C19" s="266"/>
      <c r="D19" s="218">
        <f>'Realizada 2019.2020'!S26</f>
        <v>8636.472499999998</v>
      </c>
      <c r="E19" s="187">
        <v>9039.64</v>
      </c>
      <c r="F19" s="126">
        <f>E19</f>
        <v>9039.64</v>
      </c>
      <c r="G19" s="126">
        <f t="shared" si="22"/>
        <v>9039.64</v>
      </c>
      <c r="H19" s="126">
        <f t="shared" si="22"/>
        <v>9039.64</v>
      </c>
      <c r="I19" s="126">
        <f t="shared" si="22"/>
        <v>9039.64</v>
      </c>
      <c r="J19" s="126">
        <f t="shared" si="22"/>
        <v>9039.64</v>
      </c>
      <c r="K19" s="126">
        <f>E19</f>
        <v>9039.64</v>
      </c>
      <c r="L19" s="126">
        <f>K19</f>
        <v>9039.64</v>
      </c>
      <c r="M19" s="126">
        <f>L19</f>
        <v>9039.64</v>
      </c>
      <c r="N19" s="225">
        <f>M19*5%+M19</f>
        <v>9491.6219999999994</v>
      </c>
      <c r="O19" s="126">
        <f>N19</f>
        <v>9491.6219999999994</v>
      </c>
      <c r="P19" s="126">
        <f t="shared" ref="P19:Q19" si="24">O19</f>
        <v>9491.6219999999994</v>
      </c>
      <c r="Q19" s="126">
        <f t="shared" si="24"/>
        <v>9491.6219999999994</v>
      </c>
      <c r="S19" s="189"/>
      <c r="T19" s="167">
        <f>AVERAGE(F19:Q19)</f>
        <v>9190.3006666666679</v>
      </c>
      <c r="U19" s="168">
        <f>T19/T46</f>
        <v>0.14518382628915397</v>
      </c>
      <c r="X19" s="99"/>
    </row>
    <row r="20" spans="1:24" x14ac:dyDescent="0.25">
      <c r="A20" s="97"/>
      <c r="B20" s="277" t="s">
        <v>28</v>
      </c>
      <c r="C20" s="277"/>
      <c r="D20" s="152">
        <f>'Realizada 2019.2020'!S27</f>
        <v>610.5008333333335</v>
      </c>
      <c r="E20" s="190">
        <f>SUM(E21:E22)</f>
        <v>666.01600000000019</v>
      </c>
      <c r="F20" s="155">
        <f t="shared" ref="F20:Q20" si="25">SUM(F21:F22)</f>
        <v>666.01600000000019</v>
      </c>
      <c r="G20" s="155">
        <f t="shared" si="25"/>
        <v>666.01600000000019</v>
      </c>
      <c r="H20" s="155">
        <f t="shared" si="25"/>
        <v>666.01600000000019</v>
      </c>
      <c r="I20" s="155">
        <f t="shared" si="25"/>
        <v>666.01600000000019</v>
      </c>
      <c r="J20" s="155">
        <f t="shared" si="25"/>
        <v>666.01600000000019</v>
      </c>
      <c r="K20" s="155">
        <f t="shared" si="25"/>
        <v>666.01600000000019</v>
      </c>
      <c r="L20" s="155">
        <f t="shared" si="25"/>
        <v>666.01600000000019</v>
      </c>
      <c r="M20" s="155">
        <f t="shared" si="25"/>
        <v>666.01600000000019</v>
      </c>
      <c r="N20" s="155">
        <f t="shared" si="25"/>
        <v>666.01600000000019</v>
      </c>
      <c r="O20" s="155">
        <f t="shared" si="25"/>
        <v>666.01600000000019</v>
      </c>
      <c r="P20" s="155">
        <f t="shared" si="25"/>
        <v>666.01600000000019</v>
      </c>
      <c r="Q20" s="155">
        <f t="shared" si="25"/>
        <v>666.01600000000019</v>
      </c>
      <c r="S20" s="186">
        <f>SUM(S21:S22)</f>
        <v>8658.2080000000024</v>
      </c>
      <c r="T20" s="165">
        <f>SUM(T21:T22)</f>
        <v>666.0160000000003</v>
      </c>
      <c r="U20" s="166">
        <f>SUM(U21:U22)</f>
        <v>1.0521391492719084E-2</v>
      </c>
      <c r="V20" s="102"/>
      <c r="W20" s="102"/>
      <c r="X20" s="99"/>
    </row>
    <row r="21" spans="1:24" ht="18.75" customHeight="1" x14ac:dyDescent="0.25">
      <c r="A21" s="97"/>
      <c r="B21" s="278" t="s">
        <v>132</v>
      </c>
      <c r="C21" s="278"/>
      <c r="D21" s="218">
        <f>'Realizada 2019.2020'!S28</f>
        <v>195.24750000000003</v>
      </c>
      <c r="E21" s="187">
        <v>230</v>
      </c>
      <c r="F21" s="126">
        <f>E21</f>
        <v>230</v>
      </c>
      <c r="G21" s="126">
        <f t="shared" ref="G21:Q21" si="26">F21</f>
        <v>230</v>
      </c>
      <c r="H21" s="126">
        <f t="shared" si="26"/>
        <v>230</v>
      </c>
      <c r="I21" s="126">
        <f t="shared" si="26"/>
        <v>230</v>
      </c>
      <c r="J21" s="126">
        <f t="shared" si="26"/>
        <v>230</v>
      </c>
      <c r="K21" s="126">
        <f t="shared" si="26"/>
        <v>230</v>
      </c>
      <c r="L21" s="126">
        <f t="shared" si="26"/>
        <v>230</v>
      </c>
      <c r="M21" s="126">
        <f t="shared" si="26"/>
        <v>230</v>
      </c>
      <c r="N21" s="126">
        <f t="shared" si="26"/>
        <v>230</v>
      </c>
      <c r="O21" s="126">
        <f t="shared" si="26"/>
        <v>230</v>
      </c>
      <c r="P21" s="126">
        <f t="shared" si="26"/>
        <v>230</v>
      </c>
      <c r="Q21" s="126">
        <f t="shared" si="26"/>
        <v>230</v>
      </c>
      <c r="S21" s="189">
        <f>SUM(E21:Q21)</f>
        <v>2990</v>
      </c>
      <c r="T21" s="167">
        <f>AVERAGE(F21:Q21)</f>
        <v>230</v>
      </c>
      <c r="U21" s="168">
        <f>T21/T46</f>
        <v>3.6334262890461914E-3</v>
      </c>
      <c r="X21" s="99"/>
    </row>
    <row r="22" spans="1:24" ht="18.75" customHeight="1" x14ac:dyDescent="0.25">
      <c r="A22" s="97"/>
      <c r="B22" s="279" t="s">
        <v>30</v>
      </c>
      <c r="C22" s="279"/>
      <c r="D22" s="218">
        <f>'Realizada 2019.2020'!S29</f>
        <v>415.2533333333335</v>
      </c>
      <c r="E22" s="187">
        <f>D22*5%+D22</f>
        <v>436.01600000000019</v>
      </c>
      <c r="F22" s="126">
        <f>E22</f>
        <v>436.01600000000019</v>
      </c>
      <c r="G22" s="126">
        <f t="shared" ref="G22:Q22" si="27">F22</f>
        <v>436.01600000000019</v>
      </c>
      <c r="H22" s="126">
        <f t="shared" si="27"/>
        <v>436.01600000000019</v>
      </c>
      <c r="I22" s="126">
        <f t="shared" si="27"/>
        <v>436.01600000000019</v>
      </c>
      <c r="J22" s="126">
        <f t="shared" si="27"/>
        <v>436.01600000000019</v>
      </c>
      <c r="K22" s="126">
        <f t="shared" si="27"/>
        <v>436.01600000000019</v>
      </c>
      <c r="L22" s="126">
        <f t="shared" si="27"/>
        <v>436.01600000000019</v>
      </c>
      <c r="M22" s="126">
        <f t="shared" si="27"/>
        <v>436.01600000000019</v>
      </c>
      <c r="N22" s="126">
        <f t="shared" si="27"/>
        <v>436.01600000000019</v>
      </c>
      <c r="O22" s="126">
        <f t="shared" si="27"/>
        <v>436.01600000000019</v>
      </c>
      <c r="P22" s="126">
        <f t="shared" si="27"/>
        <v>436.01600000000019</v>
      </c>
      <c r="Q22" s="126">
        <f t="shared" si="27"/>
        <v>436.01600000000019</v>
      </c>
      <c r="S22" s="189">
        <f>SUM(E22:Q22)</f>
        <v>5668.2080000000033</v>
      </c>
      <c r="T22" s="167">
        <f>AVERAGE(F22:Q22)</f>
        <v>436.01600000000025</v>
      </c>
      <c r="U22" s="168">
        <f>T22/T46</f>
        <v>6.8879652036728922E-3</v>
      </c>
      <c r="X22" s="99"/>
    </row>
    <row r="23" spans="1:24" x14ac:dyDescent="0.25">
      <c r="A23" s="97"/>
      <c r="B23" s="302" t="s">
        <v>31</v>
      </c>
      <c r="C23" s="302"/>
      <c r="D23" s="152">
        <f>'Realizada 2019.2020'!S30</f>
        <v>40.707500000000003</v>
      </c>
      <c r="E23" s="149">
        <v>509.49</v>
      </c>
      <c r="F23" s="149">
        <v>0</v>
      </c>
      <c r="G23" s="149">
        <v>0</v>
      </c>
      <c r="H23" s="149">
        <v>0</v>
      </c>
      <c r="I23" s="149">
        <v>0</v>
      </c>
      <c r="J23" s="149">
        <v>0</v>
      </c>
      <c r="K23" s="149">
        <v>0</v>
      </c>
      <c r="L23" s="149">
        <v>0</v>
      </c>
      <c r="M23" s="149">
        <v>0</v>
      </c>
      <c r="N23" s="149">
        <v>0</v>
      </c>
      <c r="O23" s="149">
        <v>0</v>
      </c>
      <c r="P23" s="149">
        <v>0</v>
      </c>
      <c r="Q23" s="149">
        <v>0</v>
      </c>
      <c r="S23" s="186">
        <f>SUM(S24:S25)</f>
        <v>976.98</v>
      </c>
      <c r="T23" s="165">
        <f>AVERAGE(E23:Q23)</f>
        <v>39.191538461538464</v>
      </c>
      <c r="U23" s="171">
        <f>T23/T46</f>
        <v>6.1912854849703819E-4</v>
      </c>
      <c r="V23" s="102"/>
      <c r="W23" s="102"/>
      <c r="X23" s="99"/>
    </row>
    <row r="24" spans="1:24" ht="18.75" hidden="1" customHeight="1" x14ac:dyDescent="0.25">
      <c r="A24" s="97"/>
      <c r="B24" s="303" t="s">
        <v>32</v>
      </c>
      <c r="C24" s="303"/>
      <c r="D24" s="152"/>
      <c r="E24" s="192"/>
      <c r="F24" s="193"/>
      <c r="G24" s="193"/>
      <c r="H24" s="193"/>
      <c r="I24" s="193"/>
      <c r="J24" s="193"/>
      <c r="K24" s="193"/>
      <c r="L24" s="193"/>
      <c r="M24" s="193"/>
      <c r="N24" s="193">
        <f>162.83*6</f>
        <v>976.98</v>
      </c>
      <c r="O24" s="193"/>
      <c r="P24" s="193"/>
      <c r="Q24" s="193"/>
      <c r="S24" s="189">
        <f>SUM(E24:Q24)</f>
        <v>976.98</v>
      </c>
      <c r="T24" s="167"/>
      <c r="U24" s="168"/>
      <c r="X24" s="99"/>
    </row>
    <row r="25" spans="1:24" ht="20" hidden="1" x14ac:dyDescent="0.25">
      <c r="A25" s="97"/>
      <c r="B25" s="158" t="s">
        <v>33</v>
      </c>
      <c r="C25" s="159"/>
      <c r="D25" s="152"/>
      <c r="E25" s="192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S25" s="189"/>
      <c r="T25" s="167"/>
      <c r="U25" s="168"/>
      <c r="X25" s="99"/>
    </row>
    <row r="26" spans="1:24" x14ac:dyDescent="0.25">
      <c r="A26" s="97"/>
      <c r="B26" s="277" t="s">
        <v>34</v>
      </c>
      <c r="C26" s="277"/>
      <c r="D26" s="152">
        <f>'Realizada 2019.2020'!S33</f>
        <v>14953.301666666666</v>
      </c>
      <c r="E26" s="190">
        <f>SUM(E27:E36)</f>
        <v>15506.919999999998</v>
      </c>
      <c r="F26" s="190">
        <f>SUM(F27:F36)</f>
        <v>16256.919999999998</v>
      </c>
      <c r="G26" s="190">
        <f>SUM(G27:G36)</f>
        <v>16256.919999999998</v>
      </c>
      <c r="H26" s="190">
        <f>SUM(H27:H36)</f>
        <v>16256.919999999998</v>
      </c>
      <c r="I26" s="190">
        <f>SUM(I27:I36)</f>
        <v>16256.919999999998</v>
      </c>
      <c r="J26" s="190">
        <f t="shared" ref="J26:Q26" si="28">SUM(J27:J36)</f>
        <v>16256.919999999998</v>
      </c>
      <c r="K26" s="190">
        <f t="shared" si="28"/>
        <v>16256.919999999998</v>
      </c>
      <c r="L26" s="190">
        <f t="shared" si="28"/>
        <v>16256.919999999998</v>
      </c>
      <c r="M26" s="190">
        <f t="shared" si="28"/>
        <v>16256.919999999998</v>
      </c>
      <c r="N26" s="190">
        <f t="shared" si="28"/>
        <v>16256.919999999998</v>
      </c>
      <c r="O26" s="190">
        <f t="shared" si="28"/>
        <v>16256.919999999998</v>
      </c>
      <c r="P26" s="190">
        <f t="shared" si="28"/>
        <v>16256.919999999998</v>
      </c>
      <c r="Q26" s="190">
        <f t="shared" si="28"/>
        <v>16256.919999999998</v>
      </c>
      <c r="S26" s="186">
        <f>SUM(S27:S31)</f>
        <v>66922.569999999978</v>
      </c>
      <c r="T26" s="165">
        <f>SUM(T27:T36)</f>
        <v>16256.919999999998</v>
      </c>
      <c r="U26" s="166">
        <f>SUM(U27:U36)</f>
        <v>0.25681878481269915</v>
      </c>
      <c r="V26" s="102"/>
      <c r="W26" s="102"/>
      <c r="X26" s="99"/>
    </row>
    <row r="27" spans="1:24" ht="18.75" customHeight="1" x14ac:dyDescent="0.25">
      <c r="A27" s="97"/>
      <c r="B27" s="264" t="s">
        <v>35</v>
      </c>
      <c r="C27" s="264"/>
      <c r="D27" s="218">
        <f>'Realizada 2019.2020'!S34</f>
        <v>4190.1608333333324</v>
      </c>
      <c r="E27" s="187">
        <v>4546.2299999999996</v>
      </c>
      <c r="F27" s="126">
        <f t="shared" ref="F27:F45" si="29">E27</f>
        <v>4546.2299999999996</v>
      </c>
      <c r="G27" s="126">
        <f t="shared" ref="G27:Q27" si="30">F27</f>
        <v>4546.2299999999996</v>
      </c>
      <c r="H27" s="126">
        <f t="shared" si="30"/>
        <v>4546.2299999999996</v>
      </c>
      <c r="I27" s="126">
        <f t="shared" si="30"/>
        <v>4546.2299999999996</v>
      </c>
      <c r="J27" s="126">
        <f t="shared" si="30"/>
        <v>4546.2299999999996</v>
      </c>
      <c r="K27" s="126">
        <f t="shared" si="30"/>
        <v>4546.2299999999996</v>
      </c>
      <c r="L27" s="126">
        <f t="shared" si="30"/>
        <v>4546.2299999999996</v>
      </c>
      <c r="M27" s="126">
        <f t="shared" si="30"/>
        <v>4546.2299999999996</v>
      </c>
      <c r="N27" s="126">
        <f t="shared" si="30"/>
        <v>4546.2299999999996</v>
      </c>
      <c r="O27" s="126">
        <f t="shared" si="30"/>
        <v>4546.2299999999996</v>
      </c>
      <c r="P27" s="126">
        <f t="shared" si="30"/>
        <v>4546.2299999999996</v>
      </c>
      <c r="Q27" s="126">
        <f t="shared" si="30"/>
        <v>4546.2299999999996</v>
      </c>
      <c r="S27" s="189">
        <f>SUM(E27:Q27)</f>
        <v>59100.989999999976</v>
      </c>
      <c r="T27" s="167">
        <f>AVERAGE(F27:Q27)</f>
        <v>4546.2299999999987</v>
      </c>
      <c r="U27" s="168">
        <f>T27/T46</f>
        <v>7.1819093904567227E-2</v>
      </c>
      <c r="X27" s="99"/>
    </row>
    <row r="28" spans="1:24" ht="18.75" customHeight="1" x14ac:dyDescent="0.25">
      <c r="A28" s="97"/>
      <c r="B28" s="265" t="s">
        <v>94</v>
      </c>
      <c r="C28" s="266"/>
      <c r="D28" s="218">
        <f>'Realizada 2019.2020'!S35</f>
        <v>375</v>
      </c>
      <c r="E28" s="187">
        <v>375</v>
      </c>
      <c r="F28" s="126">
        <f t="shared" si="29"/>
        <v>375</v>
      </c>
      <c r="G28" s="126">
        <f t="shared" ref="G28:Q28" si="31">F28</f>
        <v>375</v>
      </c>
      <c r="H28" s="126">
        <f t="shared" si="31"/>
        <v>375</v>
      </c>
      <c r="I28" s="126">
        <f t="shared" si="31"/>
        <v>375</v>
      </c>
      <c r="J28" s="126">
        <f t="shared" si="31"/>
        <v>375</v>
      </c>
      <c r="K28" s="126">
        <f t="shared" si="31"/>
        <v>375</v>
      </c>
      <c r="L28" s="126">
        <f t="shared" si="31"/>
        <v>375</v>
      </c>
      <c r="M28" s="126">
        <f t="shared" si="31"/>
        <v>375</v>
      </c>
      <c r="N28" s="126">
        <f t="shared" si="31"/>
        <v>375</v>
      </c>
      <c r="O28" s="126">
        <f t="shared" si="31"/>
        <v>375</v>
      </c>
      <c r="P28" s="126">
        <f t="shared" si="31"/>
        <v>375</v>
      </c>
      <c r="Q28" s="126">
        <f t="shared" si="31"/>
        <v>375</v>
      </c>
      <c r="S28" s="189">
        <f>SUM(E28:Q28)</f>
        <v>4875</v>
      </c>
      <c r="T28" s="167">
        <f t="shared" ref="T28:T36" si="32">AVERAGE(F28:Q28)</f>
        <v>375</v>
      </c>
      <c r="U28" s="168">
        <f>T28/T46</f>
        <v>5.9240646017057466E-3</v>
      </c>
      <c r="X28" s="99"/>
    </row>
    <row r="29" spans="1:24" x14ac:dyDescent="0.25">
      <c r="A29" s="97"/>
      <c r="B29" s="265" t="s">
        <v>100</v>
      </c>
      <c r="C29" s="266"/>
      <c r="D29" s="218">
        <f>'Realizada 2019.2020'!S36</f>
        <v>1019.85</v>
      </c>
      <c r="E29" s="187">
        <v>926.57</v>
      </c>
      <c r="F29" s="126">
        <f t="shared" si="29"/>
        <v>926.57</v>
      </c>
      <c r="G29" s="126">
        <f t="shared" ref="G29:Q29" si="33">F29</f>
        <v>926.57</v>
      </c>
      <c r="H29" s="126">
        <f t="shared" si="33"/>
        <v>926.57</v>
      </c>
      <c r="I29" s="126">
        <f t="shared" si="33"/>
        <v>926.57</v>
      </c>
      <c r="J29" s="126">
        <f t="shared" si="33"/>
        <v>926.57</v>
      </c>
      <c r="K29" s="126">
        <f t="shared" si="33"/>
        <v>926.57</v>
      </c>
      <c r="L29" s="126">
        <f t="shared" si="33"/>
        <v>926.57</v>
      </c>
      <c r="M29" s="126">
        <f t="shared" si="33"/>
        <v>926.57</v>
      </c>
      <c r="N29" s="126">
        <f t="shared" si="33"/>
        <v>926.57</v>
      </c>
      <c r="O29" s="126">
        <f t="shared" si="33"/>
        <v>926.57</v>
      </c>
      <c r="P29" s="126">
        <f t="shared" si="33"/>
        <v>926.57</v>
      </c>
      <c r="Q29" s="126">
        <f t="shared" si="33"/>
        <v>926.57</v>
      </c>
      <c r="S29" s="189"/>
      <c r="T29" s="167">
        <f t="shared" si="32"/>
        <v>926.56999999999982</v>
      </c>
      <c r="U29" s="168">
        <f>T29/T46</f>
        <v>1.4637494768006647E-2</v>
      </c>
      <c r="X29" s="99"/>
    </row>
    <row r="30" spans="1:24" x14ac:dyDescent="0.25">
      <c r="A30" s="97"/>
      <c r="B30" s="265" t="s">
        <v>95</v>
      </c>
      <c r="C30" s="266"/>
      <c r="D30" s="218">
        <f>'Realizada 2019.2020'!S37</f>
        <v>1084.7083333333333</v>
      </c>
      <c r="E30" s="187">
        <v>1750</v>
      </c>
      <c r="F30" s="126">
        <f t="shared" si="29"/>
        <v>1750</v>
      </c>
      <c r="G30" s="126">
        <f t="shared" ref="G30:Q37" si="34">F30</f>
        <v>1750</v>
      </c>
      <c r="H30" s="126">
        <f t="shared" si="34"/>
        <v>1750</v>
      </c>
      <c r="I30" s="126">
        <f t="shared" si="34"/>
        <v>1750</v>
      </c>
      <c r="J30" s="126">
        <f t="shared" si="34"/>
        <v>1750</v>
      </c>
      <c r="K30" s="126">
        <f t="shared" si="34"/>
        <v>1750</v>
      </c>
      <c r="L30" s="126">
        <f t="shared" si="34"/>
        <v>1750</v>
      </c>
      <c r="M30" s="126">
        <f t="shared" si="34"/>
        <v>1750</v>
      </c>
      <c r="N30" s="126">
        <f t="shared" si="34"/>
        <v>1750</v>
      </c>
      <c r="O30" s="126">
        <f t="shared" si="34"/>
        <v>1750</v>
      </c>
      <c r="P30" s="126">
        <f t="shared" si="34"/>
        <v>1750</v>
      </c>
      <c r="Q30" s="126">
        <f t="shared" si="34"/>
        <v>1750</v>
      </c>
      <c r="S30" s="189"/>
      <c r="T30" s="167">
        <f t="shared" si="32"/>
        <v>1750</v>
      </c>
      <c r="U30" s="168">
        <f>T30/T46</f>
        <v>2.7645634807960152E-2</v>
      </c>
      <c r="X30" s="99"/>
    </row>
    <row r="31" spans="1:24" ht="18.75" customHeight="1" x14ac:dyDescent="0.25">
      <c r="A31" s="97"/>
      <c r="B31" s="113" t="s">
        <v>96</v>
      </c>
      <c r="C31" s="60"/>
      <c r="D31" s="218">
        <f>'Realizada 2019.2020'!S38</f>
        <v>225.9366666666667</v>
      </c>
      <c r="E31" s="187">
        <v>226.66</v>
      </c>
      <c r="F31" s="126">
        <f t="shared" si="29"/>
        <v>226.66</v>
      </c>
      <c r="G31" s="126">
        <f t="shared" si="34"/>
        <v>226.66</v>
      </c>
      <c r="H31" s="126">
        <f t="shared" si="34"/>
        <v>226.66</v>
      </c>
      <c r="I31" s="126">
        <f t="shared" si="34"/>
        <v>226.66</v>
      </c>
      <c r="J31" s="126">
        <f t="shared" si="34"/>
        <v>226.66</v>
      </c>
      <c r="K31" s="126">
        <f t="shared" si="34"/>
        <v>226.66</v>
      </c>
      <c r="L31" s="126">
        <f t="shared" si="34"/>
        <v>226.66</v>
      </c>
      <c r="M31" s="126">
        <f t="shared" si="34"/>
        <v>226.66</v>
      </c>
      <c r="N31" s="126">
        <f t="shared" si="34"/>
        <v>226.66</v>
      </c>
      <c r="O31" s="126">
        <f t="shared" si="34"/>
        <v>226.66</v>
      </c>
      <c r="P31" s="126">
        <f t="shared" si="34"/>
        <v>226.66</v>
      </c>
      <c r="Q31" s="126">
        <f t="shared" si="34"/>
        <v>226.66</v>
      </c>
      <c r="S31" s="189">
        <f>SUM(E31:Q31)</f>
        <v>2946.58</v>
      </c>
      <c r="T31" s="167">
        <f t="shared" si="32"/>
        <v>226.66</v>
      </c>
      <c r="U31" s="168">
        <f>T31/T46</f>
        <v>3.5806626203269991E-3</v>
      </c>
      <c r="X31" s="99"/>
    </row>
    <row r="32" spans="1:24" ht="18.75" customHeight="1" x14ac:dyDescent="0.25">
      <c r="A32" s="97"/>
      <c r="B32" s="265" t="s">
        <v>36</v>
      </c>
      <c r="C32" s="266"/>
      <c r="D32" s="218">
        <f>'Realizada 2019.2020'!S39</f>
        <v>3431.3999999999996</v>
      </c>
      <c r="E32" s="187">
        <v>3432.46</v>
      </c>
      <c r="F32" s="126">
        <f t="shared" si="29"/>
        <v>3432.46</v>
      </c>
      <c r="G32" s="126">
        <f t="shared" si="34"/>
        <v>3432.46</v>
      </c>
      <c r="H32" s="126">
        <f t="shared" si="34"/>
        <v>3432.46</v>
      </c>
      <c r="I32" s="126">
        <f t="shared" si="34"/>
        <v>3432.46</v>
      </c>
      <c r="J32" s="126">
        <f t="shared" si="34"/>
        <v>3432.46</v>
      </c>
      <c r="K32" s="126">
        <f t="shared" si="34"/>
        <v>3432.46</v>
      </c>
      <c r="L32" s="126">
        <f t="shared" si="34"/>
        <v>3432.46</v>
      </c>
      <c r="M32" s="126">
        <f t="shared" si="34"/>
        <v>3432.46</v>
      </c>
      <c r="N32" s="126">
        <f t="shared" si="34"/>
        <v>3432.46</v>
      </c>
      <c r="O32" s="126">
        <f t="shared" si="34"/>
        <v>3432.46</v>
      </c>
      <c r="P32" s="126">
        <f t="shared" si="34"/>
        <v>3432.46</v>
      </c>
      <c r="Q32" s="126">
        <f t="shared" si="34"/>
        <v>3432.46</v>
      </c>
      <c r="S32" s="189"/>
      <c r="T32" s="167">
        <f t="shared" si="32"/>
        <v>3432.4599999999996</v>
      </c>
      <c r="U32" s="168">
        <f>T32/T46</f>
        <v>5.4224306087389082E-2</v>
      </c>
      <c r="X32" s="99"/>
    </row>
    <row r="33" spans="1:256" ht="18.75" customHeight="1" x14ac:dyDescent="0.25">
      <c r="A33" s="97"/>
      <c r="B33" s="265" t="s">
        <v>37</v>
      </c>
      <c r="C33" s="266"/>
      <c r="D33" s="218">
        <f>'Realizada 2019.2020'!S40</f>
        <v>3000</v>
      </c>
      <c r="E33" s="187">
        <v>2700</v>
      </c>
      <c r="F33" s="126">
        <f t="shared" si="29"/>
        <v>2700</v>
      </c>
      <c r="G33" s="126">
        <f t="shared" si="34"/>
        <v>2700</v>
      </c>
      <c r="H33" s="126">
        <f t="shared" si="34"/>
        <v>2700</v>
      </c>
      <c r="I33" s="126">
        <f t="shared" si="34"/>
        <v>2700</v>
      </c>
      <c r="J33" s="126">
        <f t="shared" si="34"/>
        <v>2700</v>
      </c>
      <c r="K33" s="126">
        <f t="shared" si="34"/>
        <v>2700</v>
      </c>
      <c r="L33" s="126">
        <f t="shared" si="34"/>
        <v>2700</v>
      </c>
      <c r="M33" s="126">
        <f t="shared" si="34"/>
        <v>2700</v>
      </c>
      <c r="N33" s="126">
        <f t="shared" si="34"/>
        <v>2700</v>
      </c>
      <c r="O33" s="126">
        <f t="shared" si="34"/>
        <v>2700</v>
      </c>
      <c r="P33" s="126">
        <f t="shared" si="34"/>
        <v>2700</v>
      </c>
      <c r="Q33" s="126">
        <f t="shared" si="34"/>
        <v>2700</v>
      </c>
      <c r="S33" s="189"/>
      <c r="T33" s="167">
        <f t="shared" si="32"/>
        <v>2700</v>
      </c>
      <c r="U33" s="168">
        <f>T33/T46</f>
        <v>4.2653265132281376E-2</v>
      </c>
      <c r="X33" s="99"/>
    </row>
    <row r="34" spans="1:256" ht="18.75" customHeight="1" x14ac:dyDescent="0.25">
      <c r="A34" s="97"/>
      <c r="B34" s="265" t="s">
        <v>99</v>
      </c>
      <c r="C34" s="266"/>
      <c r="D34" s="218">
        <f>'Realizada 2019.2020'!S41</f>
        <v>1626.2458333333334</v>
      </c>
      <c r="E34" s="187">
        <v>1500</v>
      </c>
      <c r="F34" s="126">
        <f t="shared" si="29"/>
        <v>1500</v>
      </c>
      <c r="G34" s="126">
        <f t="shared" si="34"/>
        <v>1500</v>
      </c>
      <c r="H34" s="126">
        <f t="shared" si="34"/>
        <v>1500</v>
      </c>
      <c r="I34" s="126">
        <f t="shared" si="34"/>
        <v>1500</v>
      </c>
      <c r="J34" s="126">
        <f t="shared" si="34"/>
        <v>1500</v>
      </c>
      <c r="K34" s="126">
        <f t="shared" si="34"/>
        <v>1500</v>
      </c>
      <c r="L34" s="126">
        <f t="shared" si="34"/>
        <v>1500</v>
      </c>
      <c r="M34" s="126">
        <f t="shared" si="34"/>
        <v>1500</v>
      </c>
      <c r="N34" s="126">
        <f t="shared" si="34"/>
        <v>1500</v>
      </c>
      <c r="O34" s="126">
        <f t="shared" si="34"/>
        <v>1500</v>
      </c>
      <c r="P34" s="126">
        <f t="shared" si="34"/>
        <v>1500</v>
      </c>
      <c r="Q34" s="126">
        <f t="shared" si="34"/>
        <v>1500</v>
      </c>
      <c r="S34" s="189"/>
      <c r="T34" s="167">
        <f t="shared" si="32"/>
        <v>1500</v>
      </c>
      <c r="U34" s="168">
        <f>T34/T46</f>
        <v>2.3696258406822986E-2</v>
      </c>
      <c r="X34" s="99"/>
    </row>
    <row r="35" spans="1:256" ht="18.75" customHeight="1" x14ac:dyDescent="0.25">
      <c r="A35" s="97"/>
      <c r="B35" s="265" t="s">
        <v>133</v>
      </c>
      <c r="C35" s="266"/>
      <c r="D35" s="226">
        <v>0</v>
      </c>
      <c r="E35" s="187">
        <v>0</v>
      </c>
      <c r="F35" s="126">
        <v>750</v>
      </c>
      <c r="G35" s="126">
        <f t="shared" si="34"/>
        <v>750</v>
      </c>
      <c r="H35" s="126">
        <f t="shared" si="34"/>
        <v>750</v>
      </c>
      <c r="I35" s="126">
        <f t="shared" si="34"/>
        <v>750</v>
      </c>
      <c r="J35" s="126">
        <f t="shared" si="34"/>
        <v>750</v>
      </c>
      <c r="K35" s="126">
        <f t="shared" si="34"/>
        <v>750</v>
      </c>
      <c r="L35" s="126">
        <f t="shared" si="34"/>
        <v>750</v>
      </c>
      <c r="M35" s="126">
        <f t="shared" si="34"/>
        <v>750</v>
      </c>
      <c r="N35" s="126">
        <f t="shared" si="34"/>
        <v>750</v>
      </c>
      <c r="O35" s="126">
        <f t="shared" si="34"/>
        <v>750</v>
      </c>
      <c r="P35" s="126">
        <f t="shared" si="34"/>
        <v>750</v>
      </c>
      <c r="Q35" s="126">
        <f t="shared" si="34"/>
        <v>750</v>
      </c>
      <c r="S35" s="189"/>
      <c r="T35" s="167">
        <f t="shared" si="32"/>
        <v>750</v>
      </c>
      <c r="U35" s="168">
        <f>T35/T46</f>
        <v>1.1848129203411493E-2</v>
      </c>
      <c r="X35" s="99"/>
    </row>
    <row r="36" spans="1:256" ht="18.75" customHeight="1" x14ac:dyDescent="0.25">
      <c r="A36" s="97"/>
      <c r="B36" s="261" t="s">
        <v>97</v>
      </c>
      <c r="C36" s="261"/>
      <c r="D36" s="227">
        <f>'Realizada 2019.2020'!S42</f>
        <v>0</v>
      </c>
      <c r="E36" s="187">
        <v>50</v>
      </c>
      <c r="F36" s="126">
        <f t="shared" si="29"/>
        <v>50</v>
      </c>
      <c r="G36" s="126">
        <f t="shared" si="34"/>
        <v>50</v>
      </c>
      <c r="H36" s="126">
        <f t="shared" si="34"/>
        <v>50</v>
      </c>
      <c r="I36" s="126">
        <f t="shared" si="34"/>
        <v>50</v>
      </c>
      <c r="J36" s="126">
        <f t="shared" si="34"/>
        <v>50</v>
      </c>
      <c r="K36" s="126">
        <f t="shared" si="34"/>
        <v>50</v>
      </c>
      <c r="L36" s="126">
        <f t="shared" si="34"/>
        <v>50</v>
      </c>
      <c r="M36" s="126">
        <f t="shared" si="34"/>
        <v>50</v>
      </c>
      <c r="N36" s="126">
        <f t="shared" si="34"/>
        <v>50</v>
      </c>
      <c r="O36" s="126">
        <f t="shared" si="34"/>
        <v>50</v>
      </c>
      <c r="P36" s="126">
        <f t="shared" si="34"/>
        <v>50</v>
      </c>
      <c r="Q36" s="126">
        <f t="shared" si="34"/>
        <v>50</v>
      </c>
      <c r="S36" s="189"/>
      <c r="T36" s="167">
        <f t="shared" si="32"/>
        <v>50</v>
      </c>
      <c r="U36" s="168">
        <f>T36/T46</f>
        <v>7.8987528022743294E-4</v>
      </c>
      <c r="X36" s="99"/>
    </row>
    <row r="37" spans="1:256" x14ac:dyDescent="0.25">
      <c r="A37" s="97"/>
      <c r="B37" s="294" t="s">
        <v>38</v>
      </c>
      <c r="C37" s="294"/>
      <c r="D37" s="152">
        <f>'Realizada 2019.2020'!S43</f>
        <v>136.4366666666667</v>
      </c>
      <c r="E37" s="194">
        <v>150</v>
      </c>
      <c r="F37" s="153">
        <f t="shared" si="29"/>
        <v>150</v>
      </c>
      <c r="G37" s="153">
        <f t="shared" si="34"/>
        <v>150</v>
      </c>
      <c r="H37" s="153">
        <f t="shared" si="34"/>
        <v>150</v>
      </c>
      <c r="I37" s="153">
        <f t="shared" si="34"/>
        <v>150</v>
      </c>
      <c r="J37" s="153">
        <f t="shared" si="34"/>
        <v>150</v>
      </c>
      <c r="K37" s="153">
        <f t="shared" si="34"/>
        <v>150</v>
      </c>
      <c r="L37" s="153">
        <f t="shared" si="34"/>
        <v>150</v>
      </c>
      <c r="M37" s="153">
        <f t="shared" si="34"/>
        <v>150</v>
      </c>
      <c r="N37" s="153">
        <f t="shared" si="34"/>
        <v>150</v>
      </c>
      <c r="O37" s="153">
        <f t="shared" si="34"/>
        <v>150</v>
      </c>
      <c r="P37" s="153">
        <f t="shared" si="34"/>
        <v>150</v>
      </c>
      <c r="Q37" s="153">
        <f t="shared" si="34"/>
        <v>150</v>
      </c>
      <c r="S37" s="186" t="e">
        <f>SUM(#REF!)</f>
        <v>#REF!</v>
      </c>
      <c r="T37" s="172">
        <f>AVERAGE(F37:Q37)</f>
        <v>150</v>
      </c>
      <c r="U37" s="173">
        <f>T37/T46</f>
        <v>2.3696258406822987E-3</v>
      </c>
      <c r="V37" s="102"/>
      <c r="W37" s="102"/>
      <c r="X37" s="99"/>
    </row>
    <row r="38" spans="1:256" x14ac:dyDescent="0.25">
      <c r="A38" s="97"/>
      <c r="B38" s="298" t="s">
        <v>39</v>
      </c>
      <c r="C38" s="298"/>
      <c r="D38" s="152">
        <f>'Realizada 2019.2020'!S44</f>
        <v>533.4666666666667</v>
      </c>
      <c r="E38" s="194">
        <v>1000</v>
      </c>
      <c r="F38" s="195">
        <f t="shared" si="29"/>
        <v>1000</v>
      </c>
      <c r="G38" s="195">
        <f t="shared" ref="G38:Q38" si="35">F38</f>
        <v>1000</v>
      </c>
      <c r="H38" s="195">
        <f t="shared" si="35"/>
        <v>1000</v>
      </c>
      <c r="I38" s="195">
        <f t="shared" si="35"/>
        <v>1000</v>
      </c>
      <c r="J38" s="195">
        <f t="shared" si="35"/>
        <v>1000</v>
      </c>
      <c r="K38" s="195">
        <f t="shared" si="35"/>
        <v>1000</v>
      </c>
      <c r="L38" s="195">
        <f t="shared" si="35"/>
        <v>1000</v>
      </c>
      <c r="M38" s="195">
        <f t="shared" si="35"/>
        <v>1000</v>
      </c>
      <c r="N38" s="195">
        <f t="shared" si="35"/>
        <v>1000</v>
      </c>
      <c r="O38" s="195">
        <f t="shared" si="35"/>
        <v>1000</v>
      </c>
      <c r="P38" s="195">
        <f t="shared" si="35"/>
        <v>1000</v>
      </c>
      <c r="Q38" s="195">
        <f t="shared" si="35"/>
        <v>1000</v>
      </c>
      <c r="S38" s="186" t="e">
        <f>SUM(#REF!)</f>
        <v>#REF!</v>
      </c>
      <c r="T38" s="172">
        <f t="shared" ref="T38:T45" si="36">AVERAGE(F38:Q38)</f>
        <v>1000</v>
      </c>
      <c r="U38" s="173">
        <f>T38/T46</f>
        <v>1.5797505604548658E-2</v>
      </c>
      <c r="V38" s="103"/>
      <c r="W38" s="103"/>
      <c r="X38" s="99"/>
    </row>
    <row r="39" spans="1:256" x14ac:dyDescent="0.25">
      <c r="A39" s="97"/>
      <c r="B39" s="294" t="s">
        <v>41</v>
      </c>
      <c r="C39" s="294"/>
      <c r="D39" s="152">
        <f>'Realizada 2019.2020'!S45</f>
        <v>110.75749999999999</v>
      </c>
      <c r="E39" s="196">
        <v>100</v>
      </c>
      <c r="F39" s="195">
        <f t="shared" si="29"/>
        <v>100</v>
      </c>
      <c r="G39" s="195">
        <f t="shared" ref="G39:Q39" si="37">F39</f>
        <v>100</v>
      </c>
      <c r="H39" s="195">
        <f t="shared" si="37"/>
        <v>100</v>
      </c>
      <c r="I39" s="195">
        <f t="shared" si="37"/>
        <v>100</v>
      </c>
      <c r="J39" s="195">
        <f t="shared" si="37"/>
        <v>100</v>
      </c>
      <c r="K39" s="195">
        <f t="shared" si="37"/>
        <v>100</v>
      </c>
      <c r="L39" s="195">
        <f t="shared" si="37"/>
        <v>100</v>
      </c>
      <c r="M39" s="195">
        <f t="shared" si="37"/>
        <v>100</v>
      </c>
      <c r="N39" s="195">
        <f t="shared" si="37"/>
        <v>100</v>
      </c>
      <c r="O39" s="195">
        <f t="shared" si="37"/>
        <v>100</v>
      </c>
      <c r="P39" s="195">
        <f t="shared" si="37"/>
        <v>100</v>
      </c>
      <c r="Q39" s="195">
        <f t="shared" si="37"/>
        <v>100</v>
      </c>
      <c r="S39" s="186" t="e">
        <f>SUM(#REF!)</f>
        <v>#REF!</v>
      </c>
      <c r="T39" s="172">
        <f t="shared" si="36"/>
        <v>100</v>
      </c>
      <c r="U39" s="173">
        <f>T39/T46</f>
        <v>1.5797505604548659E-3</v>
      </c>
      <c r="V39" s="103"/>
      <c r="W39" s="103"/>
      <c r="X39" s="99"/>
    </row>
    <row r="40" spans="1:256" x14ac:dyDescent="0.25">
      <c r="A40" s="97"/>
      <c r="B40" s="294" t="s">
        <v>42</v>
      </c>
      <c r="C40" s="294"/>
      <c r="D40" s="152">
        <f>'Realizada 2019.2020'!S46</f>
        <v>1417.1274999999998</v>
      </c>
      <c r="E40" s="194">
        <v>1400</v>
      </c>
      <c r="F40" s="195">
        <f t="shared" si="29"/>
        <v>1400</v>
      </c>
      <c r="G40" s="195">
        <f t="shared" ref="G40:Q40" si="38">F40</f>
        <v>1400</v>
      </c>
      <c r="H40" s="195">
        <f t="shared" si="38"/>
        <v>1400</v>
      </c>
      <c r="I40" s="195">
        <f t="shared" si="38"/>
        <v>1400</v>
      </c>
      <c r="J40" s="195">
        <f t="shared" si="38"/>
        <v>1400</v>
      </c>
      <c r="K40" s="195">
        <f t="shared" si="38"/>
        <v>1400</v>
      </c>
      <c r="L40" s="195">
        <f t="shared" si="38"/>
        <v>1400</v>
      </c>
      <c r="M40" s="195">
        <f t="shared" si="38"/>
        <v>1400</v>
      </c>
      <c r="N40" s="195">
        <f t="shared" si="38"/>
        <v>1400</v>
      </c>
      <c r="O40" s="195">
        <f t="shared" si="38"/>
        <v>1400</v>
      </c>
      <c r="P40" s="195">
        <f t="shared" si="38"/>
        <v>1400</v>
      </c>
      <c r="Q40" s="195">
        <f t="shared" si="38"/>
        <v>1400</v>
      </c>
      <c r="S40" s="186" t="e">
        <f>SUM(#REF!)</f>
        <v>#REF!</v>
      </c>
      <c r="T40" s="172">
        <f t="shared" si="36"/>
        <v>1400</v>
      </c>
      <c r="U40" s="173">
        <f>T40/T46</f>
        <v>2.2116507846368122E-2</v>
      </c>
      <c r="V40" s="103"/>
      <c r="W40" s="103"/>
      <c r="X40" s="99"/>
    </row>
    <row r="41" spans="1:256" x14ac:dyDescent="0.25">
      <c r="A41" s="97"/>
      <c r="B41" s="294" t="s">
        <v>43</v>
      </c>
      <c r="C41" s="294"/>
      <c r="D41" s="152">
        <f>'Realizada 2019.2020'!S47</f>
        <v>1982.4624999999999</v>
      </c>
      <c r="E41" s="196">
        <v>2000</v>
      </c>
      <c r="F41" s="153">
        <f t="shared" si="29"/>
        <v>2000</v>
      </c>
      <c r="G41" s="153">
        <f t="shared" ref="G41:Q41" si="39">F41</f>
        <v>2000</v>
      </c>
      <c r="H41" s="153">
        <f t="shared" si="39"/>
        <v>2000</v>
      </c>
      <c r="I41" s="153">
        <f t="shared" si="39"/>
        <v>2000</v>
      </c>
      <c r="J41" s="153">
        <f t="shared" si="39"/>
        <v>2000</v>
      </c>
      <c r="K41" s="153">
        <f t="shared" si="39"/>
        <v>2000</v>
      </c>
      <c r="L41" s="153">
        <f t="shared" si="39"/>
        <v>2000</v>
      </c>
      <c r="M41" s="153">
        <f t="shared" si="39"/>
        <v>2000</v>
      </c>
      <c r="N41" s="153">
        <f t="shared" si="39"/>
        <v>2000</v>
      </c>
      <c r="O41" s="153">
        <f t="shared" si="39"/>
        <v>2000</v>
      </c>
      <c r="P41" s="153">
        <f t="shared" si="39"/>
        <v>2000</v>
      </c>
      <c r="Q41" s="153">
        <f t="shared" si="39"/>
        <v>2000</v>
      </c>
      <c r="S41" s="186" t="e">
        <f>SUM(#REF!)</f>
        <v>#REF!</v>
      </c>
      <c r="T41" s="172">
        <f t="shared" si="36"/>
        <v>2000</v>
      </c>
      <c r="U41" s="173">
        <f>T41/T46</f>
        <v>3.1595011209097315E-2</v>
      </c>
      <c r="V41" s="103"/>
      <c r="W41" s="103"/>
      <c r="X41" s="99"/>
    </row>
    <row r="42" spans="1:256" x14ac:dyDescent="0.25">
      <c r="A42" s="97"/>
      <c r="B42" s="294" t="s">
        <v>44</v>
      </c>
      <c r="C42" s="294"/>
      <c r="D42" s="152">
        <f>'Realizada 2019.2020'!S48</f>
        <v>379.21416666666664</v>
      </c>
      <c r="E42" s="196">
        <v>450</v>
      </c>
      <c r="F42" s="195">
        <f t="shared" si="29"/>
        <v>450</v>
      </c>
      <c r="G42" s="195">
        <f t="shared" ref="G42:R42" si="40">F42</f>
        <v>450</v>
      </c>
      <c r="H42" s="195">
        <f t="shared" si="40"/>
        <v>450</v>
      </c>
      <c r="I42" s="195">
        <f t="shared" si="40"/>
        <v>450</v>
      </c>
      <c r="J42" s="195">
        <f t="shared" si="40"/>
        <v>450</v>
      </c>
      <c r="K42" s="195">
        <f t="shared" si="40"/>
        <v>450</v>
      </c>
      <c r="L42" s="195">
        <f t="shared" si="40"/>
        <v>450</v>
      </c>
      <c r="M42" s="195">
        <f t="shared" si="40"/>
        <v>450</v>
      </c>
      <c r="N42" s="195">
        <f t="shared" si="40"/>
        <v>450</v>
      </c>
      <c r="O42" s="195">
        <f t="shared" si="40"/>
        <v>450</v>
      </c>
      <c r="P42" s="195">
        <f t="shared" si="40"/>
        <v>450</v>
      </c>
      <c r="Q42" s="195">
        <f t="shared" si="40"/>
        <v>450</v>
      </c>
      <c r="R42" s="195">
        <f t="shared" si="40"/>
        <v>450</v>
      </c>
      <c r="S42" s="186" t="e">
        <f>SUM(#REF!)</f>
        <v>#REF!</v>
      </c>
      <c r="T42" s="172">
        <f t="shared" si="36"/>
        <v>450</v>
      </c>
      <c r="U42" s="173">
        <f>T42/T46</f>
        <v>7.1088775220468966E-3</v>
      </c>
      <c r="V42" s="103"/>
      <c r="W42" s="103"/>
      <c r="X42" s="99"/>
    </row>
    <row r="43" spans="1:256" ht="18.75" customHeight="1" x14ac:dyDescent="0.25">
      <c r="A43" s="97"/>
      <c r="B43" s="294" t="s">
        <v>45</v>
      </c>
      <c r="C43" s="294"/>
      <c r="D43" s="152">
        <f>'Realizada 2019.2020'!S49</f>
        <v>431.84416666666669</v>
      </c>
      <c r="E43" s="196">
        <v>800</v>
      </c>
      <c r="F43" s="195">
        <f t="shared" si="29"/>
        <v>800</v>
      </c>
      <c r="G43" s="195">
        <f t="shared" ref="G43:Q43" si="41">F43</f>
        <v>800</v>
      </c>
      <c r="H43" s="195">
        <f t="shared" si="41"/>
        <v>800</v>
      </c>
      <c r="I43" s="195">
        <f t="shared" si="41"/>
        <v>800</v>
      </c>
      <c r="J43" s="195">
        <f t="shared" si="41"/>
        <v>800</v>
      </c>
      <c r="K43" s="195">
        <f t="shared" si="41"/>
        <v>800</v>
      </c>
      <c r="L43" s="195">
        <f t="shared" si="41"/>
        <v>800</v>
      </c>
      <c r="M43" s="195">
        <f t="shared" si="41"/>
        <v>800</v>
      </c>
      <c r="N43" s="195">
        <f t="shared" si="41"/>
        <v>800</v>
      </c>
      <c r="O43" s="195">
        <f t="shared" si="41"/>
        <v>800</v>
      </c>
      <c r="P43" s="195">
        <f t="shared" si="41"/>
        <v>800</v>
      </c>
      <c r="Q43" s="195">
        <f t="shared" si="41"/>
        <v>800</v>
      </c>
      <c r="S43" s="186" t="e">
        <f>SUM(#REF!)</f>
        <v>#REF!</v>
      </c>
      <c r="T43" s="172">
        <f t="shared" si="36"/>
        <v>800</v>
      </c>
      <c r="U43" s="173">
        <f>T43/T46</f>
        <v>1.2638004483638927E-2</v>
      </c>
      <c r="V43" s="103"/>
      <c r="W43" s="103"/>
      <c r="X43" s="99"/>
    </row>
    <row r="44" spans="1:256" x14ac:dyDescent="0.25">
      <c r="A44" s="97"/>
      <c r="B44" s="297" t="s">
        <v>46</v>
      </c>
      <c r="C44" s="297"/>
      <c r="D44" s="152">
        <f>'Realizada 2019.2020'!S50</f>
        <v>1616.6225000000002</v>
      </c>
      <c r="E44" s="153">
        <v>1700</v>
      </c>
      <c r="F44" s="153">
        <f t="shared" si="29"/>
        <v>1700</v>
      </c>
      <c r="G44" s="153">
        <f t="shared" ref="G44:Q44" si="42">F44</f>
        <v>1700</v>
      </c>
      <c r="H44" s="153">
        <f t="shared" si="42"/>
        <v>1700</v>
      </c>
      <c r="I44" s="153">
        <f t="shared" si="42"/>
        <v>1700</v>
      </c>
      <c r="J44" s="153">
        <f t="shared" si="42"/>
        <v>1700</v>
      </c>
      <c r="K44" s="153">
        <f t="shared" si="42"/>
        <v>1700</v>
      </c>
      <c r="L44" s="153">
        <f t="shared" si="42"/>
        <v>1700</v>
      </c>
      <c r="M44" s="153">
        <f t="shared" si="42"/>
        <v>1700</v>
      </c>
      <c r="N44" s="153">
        <f t="shared" si="42"/>
        <v>1700</v>
      </c>
      <c r="O44" s="153">
        <f t="shared" si="42"/>
        <v>1700</v>
      </c>
      <c r="P44" s="153">
        <f t="shared" si="42"/>
        <v>1700</v>
      </c>
      <c r="Q44" s="153">
        <f t="shared" si="42"/>
        <v>1700</v>
      </c>
      <c r="S44" s="186" t="e">
        <f>SUM(#REF!)</f>
        <v>#REF!</v>
      </c>
      <c r="T44" s="172">
        <f t="shared" si="36"/>
        <v>1700</v>
      </c>
      <c r="U44" s="173">
        <f>T44/T46</f>
        <v>2.6855759527732719E-2</v>
      </c>
      <c r="V44" s="102"/>
      <c r="W44" s="102"/>
      <c r="X44" s="99"/>
    </row>
    <row r="45" spans="1:256" x14ac:dyDescent="0.25">
      <c r="A45" s="97"/>
      <c r="B45" s="298" t="s">
        <v>47</v>
      </c>
      <c r="C45" s="298"/>
      <c r="D45" s="152">
        <f>'Realizada 2019.2020'!S51</f>
        <v>455.74499999999995</v>
      </c>
      <c r="E45" s="196">
        <v>500</v>
      </c>
      <c r="F45" s="153">
        <f t="shared" si="29"/>
        <v>500</v>
      </c>
      <c r="G45" s="153">
        <f t="shared" ref="G45:S45" si="43">F45</f>
        <v>500</v>
      </c>
      <c r="H45" s="153">
        <f t="shared" si="43"/>
        <v>500</v>
      </c>
      <c r="I45" s="153">
        <f t="shared" si="43"/>
        <v>500</v>
      </c>
      <c r="J45" s="153">
        <f t="shared" si="43"/>
        <v>500</v>
      </c>
      <c r="K45" s="153">
        <f t="shared" si="43"/>
        <v>500</v>
      </c>
      <c r="L45" s="153">
        <f t="shared" si="43"/>
        <v>500</v>
      </c>
      <c r="M45" s="153">
        <f t="shared" si="43"/>
        <v>500</v>
      </c>
      <c r="N45" s="153">
        <f t="shared" si="43"/>
        <v>500</v>
      </c>
      <c r="O45" s="153">
        <f t="shared" si="43"/>
        <v>500</v>
      </c>
      <c r="P45" s="153">
        <f t="shared" si="43"/>
        <v>500</v>
      </c>
      <c r="Q45" s="153">
        <f t="shared" si="43"/>
        <v>500</v>
      </c>
      <c r="R45" s="153">
        <f t="shared" si="43"/>
        <v>500</v>
      </c>
      <c r="S45" s="153">
        <f t="shared" si="43"/>
        <v>500</v>
      </c>
      <c r="T45" s="172">
        <f t="shared" si="36"/>
        <v>500</v>
      </c>
      <c r="U45" s="173">
        <f>T45/T46</f>
        <v>7.8987528022743288E-3</v>
      </c>
      <c r="V45" s="102"/>
      <c r="W45" s="102"/>
      <c r="X45" s="99"/>
    </row>
    <row r="46" spans="1:256" x14ac:dyDescent="0.25">
      <c r="A46" s="97"/>
      <c r="B46" s="301" t="s">
        <v>48</v>
      </c>
      <c r="C46" s="301"/>
      <c r="D46" s="152">
        <f>'Realizada 2019.2020'!S52</f>
        <v>73489.992499999993</v>
      </c>
      <c r="E46" s="197">
        <f>E4+E8+E13+E17+E20+E23+E26+E37+E38+E39+E40+E41+E42+E43+E44+E45</f>
        <v>77476.956000000006</v>
      </c>
      <c r="F46" s="197">
        <f>F4+F8+F13+F17+F20+F23+F26+F37+F38+F39+F40+F41+F42+F43+F44+F45</f>
        <v>62547.876000000004</v>
      </c>
      <c r="G46" s="197">
        <f t="shared" ref="G46:Q46" si="44">G4+G8+G13+G17+G20+G23+G26+G37+G38+G39+G40+G41+G42+G43+G44+G45</f>
        <v>62547.876000000004</v>
      </c>
      <c r="H46" s="197">
        <f t="shared" si="44"/>
        <v>62547.876000000004</v>
      </c>
      <c r="I46" s="197">
        <f t="shared" si="44"/>
        <v>62547.876000000004</v>
      </c>
      <c r="J46" s="197">
        <f t="shared" si="44"/>
        <v>62547.876000000004</v>
      </c>
      <c r="K46" s="197">
        <f t="shared" si="44"/>
        <v>62905.141000000003</v>
      </c>
      <c r="L46" s="197">
        <f t="shared" si="44"/>
        <v>62905.141000000003</v>
      </c>
      <c r="M46" s="197">
        <f t="shared" si="44"/>
        <v>62905.141000000003</v>
      </c>
      <c r="N46" s="197">
        <f t="shared" si="44"/>
        <v>64422.123</v>
      </c>
      <c r="O46" s="197">
        <f t="shared" si="44"/>
        <v>64422.123</v>
      </c>
      <c r="P46" s="197">
        <f t="shared" si="44"/>
        <v>64422.123</v>
      </c>
      <c r="Q46" s="197">
        <f t="shared" si="44"/>
        <v>64422.123</v>
      </c>
      <c r="S46" s="198" t="e">
        <f>S45+S44+S43+S42+S41+S40+S39+S38+S37+S26+S23+S20+S13+S8+S4</f>
        <v>#REF!</v>
      </c>
      <c r="T46" s="174">
        <f>T4+T8+T13+T17+T20+T23+T26+T37+T38+T39+T40+T41+T42+T43+T44+T45</f>
        <v>63301.132788461538</v>
      </c>
      <c r="U46" s="175">
        <f>U4+U8+U13+U20+U23+U26+U37+U38+U39+U40+U41+U42+U43+U44+U45+U17</f>
        <v>1</v>
      </c>
      <c r="V46" s="104"/>
      <c r="W46" s="104"/>
      <c r="X46" s="99"/>
    </row>
    <row r="47" spans="1:256" ht="20" thickBot="1" x14ac:dyDescent="0.3">
      <c r="A47" s="97"/>
      <c r="E47" s="199"/>
      <c r="F47" s="199"/>
      <c r="G47" s="199"/>
      <c r="H47" s="199"/>
      <c r="I47" s="199"/>
      <c r="J47" s="199"/>
      <c r="K47" s="200"/>
      <c r="L47" s="200"/>
      <c r="M47" s="200"/>
      <c r="N47" s="200"/>
      <c r="O47" s="200"/>
      <c r="P47" s="200"/>
      <c r="Q47" s="200"/>
      <c r="X47" s="99"/>
      <c r="IV47" s="94"/>
    </row>
    <row r="48" spans="1:256" ht="25.5" customHeight="1" thickBot="1" x14ac:dyDescent="0.3">
      <c r="A48" s="97"/>
      <c r="B48" s="162" t="s">
        <v>49</v>
      </c>
      <c r="C48" s="163"/>
      <c r="D48" s="164"/>
      <c r="E48" s="151" t="s">
        <v>7</v>
      </c>
      <c r="F48" s="151" t="s">
        <v>8</v>
      </c>
      <c r="G48" s="151" t="s">
        <v>9</v>
      </c>
      <c r="H48" s="151" t="s">
        <v>10</v>
      </c>
      <c r="I48" s="151" t="s">
        <v>11</v>
      </c>
      <c r="J48" s="151" t="s">
        <v>12</v>
      </c>
      <c r="K48" s="151" t="s">
        <v>13</v>
      </c>
      <c r="L48" s="151" t="s">
        <v>14</v>
      </c>
      <c r="M48" s="151" t="s">
        <v>15</v>
      </c>
      <c r="N48" s="151" t="s">
        <v>16</v>
      </c>
      <c r="O48" s="151" t="s">
        <v>17</v>
      </c>
      <c r="P48" s="151" t="s">
        <v>125</v>
      </c>
      <c r="Q48" s="151" t="s">
        <v>126</v>
      </c>
      <c r="R48" s="201"/>
      <c r="S48" s="202"/>
      <c r="T48" s="177" t="s">
        <v>50</v>
      </c>
      <c r="U48" s="178" t="s">
        <v>4</v>
      </c>
      <c r="V48" s="105"/>
      <c r="W48" s="105"/>
      <c r="X48" s="99"/>
      <c r="IV48" s="94"/>
    </row>
    <row r="49" spans="1:1024" ht="17.5" customHeight="1" x14ac:dyDescent="0.25">
      <c r="A49" s="97"/>
      <c r="B49" s="253" t="s">
        <v>51</v>
      </c>
      <c r="C49" s="253"/>
      <c r="D49" s="253"/>
      <c r="E49" s="203">
        <v>67600.009999999995</v>
      </c>
      <c r="F49" s="242">
        <f>T46</f>
        <v>63301.132788461538</v>
      </c>
      <c r="G49" s="128">
        <f t="shared" ref="G49:O49" si="45">F49</f>
        <v>63301.132788461538</v>
      </c>
      <c r="H49" s="128">
        <f t="shared" si="45"/>
        <v>63301.132788461538</v>
      </c>
      <c r="I49" s="128">
        <f t="shared" si="45"/>
        <v>63301.132788461538</v>
      </c>
      <c r="J49" s="128">
        <f t="shared" si="45"/>
        <v>63301.132788461538</v>
      </c>
      <c r="K49" s="128">
        <f t="shared" si="45"/>
        <v>63301.132788461538</v>
      </c>
      <c r="L49" s="128">
        <f t="shared" si="45"/>
        <v>63301.132788461538</v>
      </c>
      <c r="M49" s="128">
        <f t="shared" si="45"/>
        <v>63301.132788461538</v>
      </c>
      <c r="N49" s="128">
        <f t="shared" si="45"/>
        <v>63301.132788461538</v>
      </c>
      <c r="O49" s="128">
        <f t="shared" si="45"/>
        <v>63301.132788461538</v>
      </c>
      <c r="P49" s="128">
        <f t="shared" ref="P49:Q50" si="46">N49</f>
        <v>63301.132788461538</v>
      </c>
      <c r="Q49" s="128">
        <f t="shared" si="46"/>
        <v>63301.132788461538</v>
      </c>
      <c r="S49" s="204"/>
      <c r="T49" s="179">
        <f>AVERAGE(F49:Q49)</f>
        <v>63301.132788461524</v>
      </c>
      <c r="U49" s="295">
        <f>T46/E49-1</f>
        <v>-6.359284875162674E-2</v>
      </c>
      <c r="V49" s="106"/>
      <c r="W49" s="106"/>
      <c r="X49" s="99"/>
      <c r="IV49" s="94"/>
    </row>
    <row r="50" spans="1:1024" ht="17.5" customHeight="1" x14ac:dyDescent="0.25">
      <c r="A50" s="97"/>
      <c r="B50" s="299" t="s">
        <v>52</v>
      </c>
      <c r="C50" s="299"/>
      <c r="D50" s="299"/>
      <c r="E50" s="205">
        <f>'Realizada 2019.2020'!M56</f>
        <v>0</v>
      </c>
      <c r="F50" s="136">
        <f t="shared" ref="F50:M51" si="47">E50</f>
        <v>0</v>
      </c>
      <c r="G50" s="136">
        <f t="shared" si="47"/>
        <v>0</v>
      </c>
      <c r="H50" s="136">
        <f t="shared" si="47"/>
        <v>0</v>
      </c>
      <c r="I50" s="136">
        <f t="shared" si="47"/>
        <v>0</v>
      </c>
      <c r="J50" s="136">
        <f t="shared" si="47"/>
        <v>0</v>
      </c>
      <c r="K50" s="136">
        <f t="shared" si="47"/>
        <v>0</v>
      </c>
      <c r="L50" s="136">
        <f t="shared" si="47"/>
        <v>0</v>
      </c>
      <c r="M50" s="136">
        <f t="shared" si="47"/>
        <v>0</v>
      </c>
      <c r="N50" s="136">
        <v>0</v>
      </c>
      <c r="O50" s="136">
        <f>N50</f>
        <v>0</v>
      </c>
      <c r="P50" s="136">
        <f t="shared" si="46"/>
        <v>0</v>
      </c>
      <c r="Q50" s="136">
        <f t="shared" si="46"/>
        <v>0</v>
      </c>
      <c r="S50" s="204"/>
      <c r="T50" s="179">
        <f>AVERAGE(E50:Q50)</f>
        <v>0</v>
      </c>
      <c r="U50" s="295"/>
      <c r="V50" s="106"/>
      <c r="W50" s="106"/>
      <c r="X50" s="99"/>
      <c r="IV50" s="94"/>
    </row>
    <row r="51" spans="1:1024" ht="17.5" customHeight="1" x14ac:dyDescent="0.25">
      <c r="A51" s="97"/>
      <c r="B51" s="253" t="s">
        <v>128</v>
      </c>
      <c r="C51" s="253"/>
      <c r="D51" s="253"/>
      <c r="E51" s="146"/>
      <c r="F51" s="212">
        <v>-1283.55</v>
      </c>
      <c r="G51" s="212">
        <f>F51</f>
        <v>-1283.55</v>
      </c>
      <c r="H51" s="212">
        <f t="shared" si="47"/>
        <v>-1283.55</v>
      </c>
      <c r="I51" s="212">
        <f t="shared" si="47"/>
        <v>-1283.55</v>
      </c>
      <c r="J51" s="212">
        <f t="shared" si="47"/>
        <v>-1283.55</v>
      </c>
      <c r="K51" s="212">
        <f t="shared" si="47"/>
        <v>-1283.55</v>
      </c>
      <c r="L51" s="212">
        <f t="shared" si="47"/>
        <v>-1283.55</v>
      </c>
      <c r="M51" s="212">
        <f t="shared" si="47"/>
        <v>-1283.55</v>
      </c>
      <c r="N51" s="212">
        <f t="shared" ref="N51:Q51" si="48">M51</f>
        <v>-1283.55</v>
      </c>
      <c r="O51" s="212">
        <f t="shared" si="48"/>
        <v>-1283.55</v>
      </c>
      <c r="P51" s="212">
        <f t="shared" si="48"/>
        <v>-1283.55</v>
      </c>
      <c r="Q51" s="212">
        <f t="shared" si="48"/>
        <v>-1283.55</v>
      </c>
      <c r="S51" s="204"/>
      <c r="T51" s="179">
        <f>AVERAGE(F51:Q51)</f>
        <v>-1283.5499999999997</v>
      </c>
      <c r="U51" s="295"/>
      <c r="V51" s="106"/>
      <c r="W51" s="106"/>
      <c r="X51" s="99"/>
      <c r="Z51" s="107"/>
      <c r="IV51" s="94"/>
    </row>
    <row r="52" spans="1:1024" ht="17.5" customHeight="1" x14ac:dyDescent="0.25">
      <c r="A52" s="97"/>
      <c r="B52" s="299" t="s">
        <v>54</v>
      </c>
      <c r="C52" s="299"/>
      <c r="D52" s="299"/>
      <c r="E52" s="206">
        <v>0</v>
      </c>
      <c r="F52" s="207">
        <v>0</v>
      </c>
      <c r="G52" s="207">
        <v>0</v>
      </c>
      <c r="H52" s="207">
        <v>0</v>
      </c>
      <c r="I52" s="207">
        <v>0</v>
      </c>
      <c r="J52" s="207">
        <v>0</v>
      </c>
      <c r="K52" s="207">
        <v>0</v>
      </c>
      <c r="L52" s="207">
        <v>0</v>
      </c>
      <c r="M52" s="207">
        <v>0</v>
      </c>
      <c r="N52" s="207">
        <v>0</v>
      </c>
      <c r="O52" s="207">
        <v>0</v>
      </c>
      <c r="P52" s="207">
        <v>0</v>
      </c>
      <c r="Q52" s="207">
        <v>0</v>
      </c>
      <c r="S52" s="204"/>
      <c r="T52" s="180">
        <v>0</v>
      </c>
      <c r="U52" s="295"/>
      <c r="V52" s="106"/>
      <c r="W52" s="106"/>
      <c r="X52" s="99"/>
      <c r="Z52" s="241"/>
      <c r="IV52" s="94"/>
    </row>
    <row r="53" spans="1:1024" ht="17.5" customHeight="1" thickBot="1" x14ac:dyDescent="0.3">
      <c r="A53" s="97"/>
      <c r="B53" s="300" t="s">
        <v>55</v>
      </c>
      <c r="C53" s="300"/>
      <c r="D53" s="300"/>
      <c r="E53" s="208">
        <f t="shared" ref="E53:Q53" si="49">SUM(E49:E52)</f>
        <v>67600.009999999995</v>
      </c>
      <c r="F53" s="209">
        <f t="shared" si="49"/>
        <v>62017.582788461536</v>
      </c>
      <c r="G53" s="209">
        <f t="shared" si="49"/>
        <v>62017.582788461536</v>
      </c>
      <c r="H53" s="209">
        <f t="shared" si="49"/>
        <v>62017.582788461536</v>
      </c>
      <c r="I53" s="209">
        <f t="shared" si="49"/>
        <v>62017.582788461536</v>
      </c>
      <c r="J53" s="209">
        <f t="shared" si="49"/>
        <v>62017.582788461536</v>
      </c>
      <c r="K53" s="209">
        <f t="shared" si="49"/>
        <v>62017.582788461536</v>
      </c>
      <c r="L53" s="209">
        <f t="shared" si="49"/>
        <v>62017.582788461536</v>
      </c>
      <c r="M53" s="209">
        <f t="shared" si="49"/>
        <v>62017.582788461536</v>
      </c>
      <c r="N53" s="209">
        <f t="shared" si="49"/>
        <v>62017.582788461536</v>
      </c>
      <c r="O53" s="209">
        <f t="shared" si="49"/>
        <v>62017.582788461536</v>
      </c>
      <c r="P53" s="209">
        <f t="shared" si="49"/>
        <v>62017.582788461536</v>
      </c>
      <c r="Q53" s="209">
        <f t="shared" si="49"/>
        <v>62017.582788461536</v>
      </c>
      <c r="S53" s="210"/>
      <c r="T53" s="181">
        <f>SUM(T49:T52)</f>
        <v>62017.582788461521</v>
      </c>
      <c r="U53" s="296"/>
      <c r="V53" s="106"/>
      <c r="W53" s="106"/>
      <c r="X53" s="99"/>
      <c r="IV53" s="94"/>
    </row>
    <row r="54" spans="1:1024" x14ac:dyDescent="0.25">
      <c r="A54" s="97"/>
      <c r="E54" s="199"/>
      <c r="F54" s="199"/>
      <c r="G54" s="199"/>
      <c r="H54" s="199"/>
      <c r="I54" s="199"/>
      <c r="J54" s="199"/>
      <c r="K54" s="200"/>
      <c r="L54" s="200"/>
      <c r="M54" s="200"/>
      <c r="N54" s="200"/>
      <c r="O54" s="200"/>
      <c r="P54" s="200"/>
      <c r="Q54" s="200"/>
      <c r="X54" s="99"/>
      <c r="IV54" s="94"/>
    </row>
    <row r="55" spans="1:1024" x14ac:dyDescent="0.25">
      <c r="A55" s="97"/>
      <c r="B55" s="290" t="s">
        <v>140</v>
      </c>
      <c r="C55" s="290"/>
      <c r="D55" s="290"/>
      <c r="E55" s="151" t="s">
        <v>7</v>
      </c>
      <c r="F55" s="151" t="s">
        <v>8</v>
      </c>
      <c r="G55" s="151" t="s">
        <v>9</v>
      </c>
      <c r="H55" s="151" t="s">
        <v>10</v>
      </c>
      <c r="I55" s="151" t="s">
        <v>11</v>
      </c>
      <c r="J55" s="151" t="s">
        <v>12</v>
      </c>
      <c r="K55" s="151" t="s">
        <v>13</v>
      </c>
      <c r="L55" s="151" t="s">
        <v>14</v>
      </c>
      <c r="M55" s="151" t="s">
        <v>15</v>
      </c>
      <c r="N55" s="151" t="s">
        <v>16</v>
      </c>
      <c r="O55" s="151" t="s">
        <v>17</v>
      </c>
      <c r="P55" s="151" t="s">
        <v>125</v>
      </c>
      <c r="Q55" s="151" t="s">
        <v>126</v>
      </c>
      <c r="T55" s="293" t="s">
        <v>139</v>
      </c>
      <c r="U55" s="293"/>
      <c r="V55" s="291"/>
      <c r="W55" s="291"/>
      <c r="X55" s="108"/>
      <c r="Y55" s="109"/>
      <c r="Z55" s="107"/>
    </row>
    <row r="56" spans="1:1024" x14ac:dyDescent="0.25">
      <c r="A56" s="97"/>
      <c r="B56" s="253" t="s">
        <v>57</v>
      </c>
      <c r="C56" s="253"/>
      <c r="D56" s="253"/>
      <c r="E56" s="126">
        <f>'Realizada 2019.2020'!P70</f>
        <v>-36769.010000000024</v>
      </c>
      <c r="F56" s="132">
        <f t="shared" ref="F56:O56" si="50">E60</f>
        <v>-46645.956000000035</v>
      </c>
      <c r="G56" s="132">
        <f t="shared" si="50"/>
        <v>-47176.249211538503</v>
      </c>
      <c r="H56" s="132">
        <f t="shared" si="50"/>
        <v>-47706.542423076971</v>
      </c>
      <c r="I56" s="132">
        <f t="shared" si="50"/>
        <v>-48236.83563461544</v>
      </c>
      <c r="J56" s="132">
        <f t="shared" si="50"/>
        <v>-48767.128846153908</v>
      </c>
      <c r="K56" s="132">
        <f t="shared" si="50"/>
        <v>-49297.422057692376</v>
      </c>
      <c r="L56" s="132">
        <f t="shared" si="50"/>
        <v>-50184.980269230844</v>
      </c>
      <c r="M56" s="132">
        <f t="shared" si="50"/>
        <v>-51072.538480769312</v>
      </c>
      <c r="N56" s="132">
        <f t="shared" si="50"/>
        <v>-51960.096692307779</v>
      </c>
      <c r="O56" s="132">
        <f t="shared" si="50"/>
        <v>-54364.636903846244</v>
      </c>
      <c r="P56" s="132">
        <f>N60</f>
        <v>-54364.636903846244</v>
      </c>
      <c r="Q56" s="132">
        <f>O60</f>
        <v>-56769.177115384708</v>
      </c>
      <c r="T56" s="292">
        <f>T51/T46*1</f>
        <v>-2.0276888318718427E-2</v>
      </c>
      <c r="U56" s="292"/>
      <c r="X56" s="99"/>
    </row>
    <row r="57" spans="1:1024" ht="17.5" customHeight="1" x14ac:dyDescent="0.25">
      <c r="A57" s="97"/>
      <c r="B57" s="253" t="s">
        <v>58</v>
      </c>
      <c r="C57" s="253"/>
      <c r="D57" s="253"/>
      <c r="E57" s="211">
        <f>E53</f>
        <v>67600.009999999995</v>
      </c>
      <c r="F57" s="211">
        <f t="shared" ref="F57:Q57" si="51">F53</f>
        <v>62017.582788461536</v>
      </c>
      <c r="G57" s="211">
        <f t="shared" si="51"/>
        <v>62017.582788461536</v>
      </c>
      <c r="H57" s="211">
        <f t="shared" si="51"/>
        <v>62017.582788461536</v>
      </c>
      <c r="I57" s="211">
        <f t="shared" si="51"/>
        <v>62017.582788461536</v>
      </c>
      <c r="J57" s="211">
        <f t="shared" si="51"/>
        <v>62017.582788461536</v>
      </c>
      <c r="K57" s="211">
        <f t="shared" si="51"/>
        <v>62017.582788461536</v>
      </c>
      <c r="L57" s="211">
        <f t="shared" si="51"/>
        <v>62017.582788461536</v>
      </c>
      <c r="M57" s="211">
        <f t="shared" si="51"/>
        <v>62017.582788461536</v>
      </c>
      <c r="N57" s="211">
        <f t="shared" si="51"/>
        <v>62017.582788461536</v>
      </c>
      <c r="O57" s="211">
        <f t="shared" si="51"/>
        <v>62017.582788461536</v>
      </c>
      <c r="P57" s="211">
        <f t="shared" ref="P57" si="52">P53</f>
        <v>62017.582788461536</v>
      </c>
      <c r="Q57" s="211">
        <f t="shared" si="51"/>
        <v>62017.582788461536</v>
      </c>
      <c r="U57" s="282"/>
      <c r="X57" s="99"/>
    </row>
    <row r="58" spans="1:1024" x14ac:dyDescent="0.25">
      <c r="A58" s="97"/>
      <c r="B58" s="253" t="s">
        <v>59</v>
      </c>
      <c r="C58" s="253"/>
      <c r="D58" s="253"/>
      <c r="E58" s="144">
        <f t="shared" ref="E58:Q58" si="53">-E46</f>
        <v>-77476.956000000006</v>
      </c>
      <c r="F58" s="212">
        <f t="shared" si="53"/>
        <v>-62547.876000000004</v>
      </c>
      <c r="G58" s="144">
        <f t="shared" si="53"/>
        <v>-62547.876000000004</v>
      </c>
      <c r="H58" s="144">
        <f t="shared" si="53"/>
        <v>-62547.876000000004</v>
      </c>
      <c r="I58" s="144">
        <f t="shared" si="53"/>
        <v>-62547.876000000004</v>
      </c>
      <c r="J58" s="144">
        <f t="shared" si="53"/>
        <v>-62547.876000000004</v>
      </c>
      <c r="K58" s="212">
        <f t="shared" si="53"/>
        <v>-62905.141000000003</v>
      </c>
      <c r="L58" s="212">
        <f t="shared" si="53"/>
        <v>-62905.141000000003</v>
      </c>
      <c r="M58" s="212">
        <f t="shared" si="53"/>
        <v>-62905.141000000003</v>
      </c>
      <c r="N58" s="144">
        <f t="shared" si="53"/>
        <v>-64422.123</v>
      </c>
      <c r="O58" s="212">
        <f t="shared" si="53"/>
        <v>-64422.123</v>
      </c>
      <c r="P58" s="212">
        <f t="shared" si="53"/>
        <v>-64422.123</v>
      </c>
      <c r="Q58" s="212">
        <f t="shared" si="53"/>
        <v>-64422.123</v>
      </c>
      <c r="U58" s="282"/>
      <c r="X58" s="99"/>
    </row>
    <row r="59" spans="1:1024" x14ac:dyDescent="0.25">
      <c r="A59" s="97"/>
      <c r="B59" s="253" t="s">
        <v>60</v>
      </c>
      <c r="C59" s="253"/>
      <c r="D59" s="253"/>
      <c r="E59" s="207">
        <v>0</v>
      </c>
      <c r="F59" s="207">
        <v>0</v>
      </c>
      <c r="G59" s="207">
        <v>0</v>
      </c>
      <c r="H59" s="207">
        <v>0</v>
      </c>
      <c r="I59" s="207">
        <v>0</v>
      </c>
      <c r="J59" s="207">
        <v>0</v>
      </c>
      <c r="K59" s="207">
        <v>0</v>
      </c>
      <c r="L59" s="207">
        <v>0</v>
      </c>
      <c r="M59" s="207">
        <v>0</v>
      </c>
      <c r="N59" s="207">
        <v>0</v>
      </c>
      <c r="O59" s="207">
        <v>0</v>
      </c>
      <c r="P59" s="207">
        <v>0</v>
      </c>
      <c r="Q59" s="207">
        <v>0</v>
      </c>
      <c r="U59" s="282"/>
      <c r="X59" s="99"/>
    </row>
    <row r="60" spans="1:1024" x14ac:dyDescent="0.25">
      <c r="A60" s="97"/>
      <c r="B60" s="280" t="s">
        <v>61</v>
      </c>
      <c r="C60" s="280"/>
      <c r="D60" s="280"/>
      <c r="E60" s="209">
        <f t="shared" ref="E60:R60" si="54">SUM(E56:E59)</f>
        <v>-46645.956000000035</v>
      </c>
      <c r="F60" s="209">
        <f>SUM(F56:F59)</f>
        <v>-47176.249211538503</v>
      </c>
      <c r="G60" s="209">
        <f t="shared" si="54"/>
        <v>-47706.542423076971</v>
      </c>
      <c r="H60" s="209">
        <f t="shared" si="54"/>
        <v>-48236.83563461544</v>
      </c>
      <c r="I60" s="209">
        <f t="shared" si="54"/>
        <v>-48767.128846153908</v>
      </c>
      <c r="J60" s="209">
        <f t="shared" si="54"/>
        <v>-49297.422057692376</v>
      </c>
      <c r="K60" s="209">
        <f t="shared" si="54"/>
        <v>-50184.980269230844</v>
      </c>
      <c r="L60" s="209">
        <f t="shared" si="54"/>
        <v>-51072.538480769312</v>
      </c>
      <c r="M60" s="209">
        <f t="shared" si="54"/>
        <v>-51960.096692307779</v>
      </c>
      <c r="N60" s="209">
        <f t="shared" si="54"/>
        <v>-54364.636903846244</v>
      </c>
      <c r="O60" s="209">
        <f t="shared" si="54"/>
        <v>-56769.177115384708</v>
      </c>
      <c r="P60" s="209">
        <f t="shared" ref="P60" si="55">SUM(P56:P59)</f>
        <v>-56769.177115384708</v>
      </c>
      <c r="Q60" s="209">
        <f t="shared" si="54"/>
        <v>-59173.717326923172</v>
      </c>
      <c r="R60" s="209">
        <f t="shared" si="54"/>
        <v>0</v>
      </c>
      <c r="T60" s="288" t="s">
        <v>138</v>
      </c>
      <c r="U60" s="289"/>
      <c r="X60" s="99"/>
    </row>
    <row r="61" spans="1:1024" ht="23.25" customHeight="1" x14ac:dyDescent="0.25">
      <c r="A61" s="97"/>
      <c r="B61" s="284"/>
      <c r="C61" s="284"/>
      <c r="D61" s="284"/>
      <c r="E61" s="228"/>
      <c r="F61" s="228"/>
      <c r="G61" s="228"/>
      <c r="H61" s="228"/>
      <c r="I61" s="228"/>
      <c r="J61" s="228"/>
      <c r="K61" s="229"/>
      <c r="L61" s="229"/>
      <c r="M61" s="229"/>
      <c r="N61" s="229"/>
      <c r="O61" s="229"/>
      <c r="P61" s="229"/>
      <c r="Q61" s="229"/>
      <c r="T61" s="283" t="s">
        <v>137</v>
      </c>
      <c r="U61" s="283"/>
      <c r="X61" s="99"/>
      <c r="IV61" s="94"/>
    </row>
    <row r="62" spans="1:1024" x14ac:dyDescent="0.25">
      <c r="A62" s="97"/>
      <c r="B62" s="285"/>
      <c r="C62" s="285"/>
      <c r="D62" s="285"/>
      <c r="E62" s="228"/>
      <c r="F62" s="228"/>
      <c r="G62" s="228"/>
      <c r="H62" s="228"/>
      <c r="I62" s="228"/>
      <c r="J62" s="228"/>
      <c r="K62" s="230"/>
      <c r="L62" s="229"/>
      <c r="M62" s="229"/>
      <c r="N62" s="229"/>
      <c r="O62" s="230"/>
      <c r="P62" s="229"/>
      <c r="Q62" s="229"/>
      <c r="T62" s="237" t="s">
        <v>134</v>
      </c>
      <c r="U62" s="239">
        <v>723.99</v>
      </c>
      <c r="V62" s="88"/>
      <c r="W62" s="94"/>
      <c r="X62" s="236"/>
      <c r="Y62" s="94"/>
      <c r="Z62" s="94"/>
      <c r="IO62" s="95"/>
      <c r="IP62" s="95"/>
      <c r="IQ62" s="95"/>
      <c r="AMG62" s="96"/>
      <c r="AMH62" s="96"/>
      <c r="AMI62" s="96"/>
      <c r="AMJ62" s="96"/>
    </row>
    <row r="63" spans="1:1024" x14ac:dyDescent="0.25">
      <c r="A63" s="97"/>
      <c r="B63" s="286"/>
      <c r="C63" s="286"/>
      <c r="D63" s="286"/>
      <c r="E63" s="231"/>
      <c r="F63" s="232"/>
      <c r="G63" s="232"/>
      <c r="H63" s="232"/>
      <c r="I63" s="233"/>
      <c r="J63" s="232"/>
      <c r="K63" s="232"/>
      <c r="L63" s="232"/>
      <c r="M63" s="232"/>
      <c r="N63" s="232"/>
      <c r="O63" s="232"/>
      <c r="P63" s="232"/>
      <c r="Q63" s="232"/>
      <c r="T63" s="237" t="s">
        <v>135</v>
      </c>
      <c r="U63" s="239">
        <v>30604.720000000001</v>
      </c>
      <c r="V63" s="88"/>
      <c r="W63" s="94"/>
      <c r="X63" s="236"/>
      <c r="Y63" s="94"/>
      <c r="Z63" s="94"/>
      <c r="IO63" s="95"/>
      <c r="IP63" s="95"/>
      <c r="IQ63" s="95"/>
      <c r="IR63" s="95"/>
      <c r="AMG63" s="96"/>
      <c r="AMH63" s="96"/>
      <c r="AMI63" s="96"/>
      <c r="AMJ63" s="96"/>
    </row>
    <row r="64" spans="1:1024" ht="19.25" customHeight="1" thickBot="1" x14ac:dyDescent="0.3">
      <c r="A64" s="110"/>
      <c r="B64" s="287"/>
      <c r="C64" s="287"/>
      <c r="D64" s="287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182"/>
      <c r="S64" s="182"/>
      <c r="T64" s="238" t="s">
        <v>136</v>
      </c>
      <c r="U64" s="239">
        <v>508.29</v>
      </c>
      <c r="V64" s="111"/>
      <c r="W64" s="111"/>
      <c r="X64" s="112"/>
    </row>
    <row r="65" spans="5:17" x14ac:dyDescent="0.25">
      <c r="E65" s="281"/>
      <c r="F65" s="281"/>
      <c r="G65" s="281"/>
      <c r="H65" s="281"/>
      <c r="I65" s="281"/>
      <c r="J65" s="281"/>
      <c r="K65" s="281"/>
      <c r="L65" s="281"/>
      <c r="M65" s="213"/>
      <c r="N65" s="213"/>
      <c r="O65" s="213"/>
      <c r="P65" s="213"/>
      <c r="Q65" s="213"/>
    </row>
    <row r="68" spans="5:17" x14ac:dyDescent="0.25">
      <c r="G68"/>
    </row>
    <row r="69" spans="5:17" x14ac:dyDescent="0.25">
      <c r="E69" s="213"/>
      <c r="G69" s="235"/>
    </row>
    <row r="70" spans="5:17" x14ac:dyDescent="0.25">
      <c r="E70" s="213"/>
    </row>
    <row r="71" spans="5:17" x14ac:dyDescent="0.25">
      <c r="E71" s="213"/>
      <c r="H71" s="214"/>
    </row>
    <row r="75" spans="5:17" ht="15.75" customHeight="1" x14ac:dyDescent="0.25"/>
  </sheetData>
  <mergeCells count="70">
    <mergeCell ref="B16:C16"/>
    <mergeCell ref="B1:C1"/>
    <mergeCell ref="E1:W1"/>
    <mergeCell ref="B2:C2"/>
    <mergeCell ref="D2:D3"/>
    <mergeCell ref="S2:S3"/>
    <mergeCell ref="T2:T3"/>
    <mergeCell ref="U2:U3"/>
    <mergeCell ref="B3:C3"/>
    <mergeCell ref="B11:C11"/>
    <mergeCell ref="B12:C12"/>
    <mergeCell ref="B13:C13"/>
    <mergeCell ref="B14:C14"/>
    <mergeCell ref="B15:C15"/>
    <mergeCell ref="B4:C4"/>
    <mergeCell ref="B5:C5"/>
    <mergeCell ref="B6:C6"/>
    <mergeCell ref="B8:C8"/>
    <mergeCell ref="B9:C9"/>
    <mergeCell ref="B37:C37"/>
    <mergeCell ref="B32:C32"/>
    <mergeCell ref="B36:C36"/>
    <mergeCell ref="B35:C35"/>
    <mergeCell ref="B29:C29"/>
    <mergeCell ref="B30:C30"/>
    <mergeCell ref="B33:C33"/>
    <mergeCell ref="B34:C34"/>
    <mergeCell ref="B17:C17"/>
    <mergeCell ref="B18:C18"/>
    <mergeCell ref="B19:C19"/>
    <mergeCell ref="B23:C23"/>
    <mergeCell ref="B24:C24"/>
    <mergeCell ref="B40:C40"/>
    <mergeCell ref="B41:C41"/>
    <mergeCell ref="B38:C38"/>
    <mergeCell ref="B39:C39"/>
    <mergeCell ref="B42:C42"/>
    <mergeCell ref="B43:C43"/>
    <mergeCell ref="U49:U53"/>
    <mergeCell ref="B44:C44"/>
    <mergeCell ref="B45:C45"/>
    <mergeCell ref="B50:D50"/>
    <mergeCell ref="B51:D51"/>
    <mergeCell ref="B52:D52"/>
    <mergeCell ref="B53:D53"/>
    <mergeCell ref="B46:C46"/>
    <mergeCell ref="B49:D49"/>
    <mergeCell ref="B55:D55"/>
    <mergeCell ref="V55:W55"/>
    <mergeCell ref="B56:D56"/>
    <mergeCell ref="B57:D57"/>
    <mergeCell ref="B58:D58"/>
    <mergeCell ref="T56:U56"/>
    <mergeCell ref="T55:U55"/>
    <mergeCell ref="B59:D59"/>
    <mergeCell ref="B60:D60"/>
    <mergeCell ref="E65:L65"/>
    <mergeCell ref="U57:U59"/>
    <mergeCell ref="T61:U61"/>
    <mergeCell ref="B61:D61"/>
    <mergeCell ref="B62:D62"/>
    <mergeCell ref="B63:D63"/>
    <mergeCell ref="B64:D64"/>
    <mergeCell ref="T60:U60"/>
    <mergeCell ref="B26:C26"/>
    <mergeCell ref="B27:C27"/>
    <mergeCell ref="B28:C28"/>
    <mergeCell ref="B20:C20"/>
    <mergeCell ref="B21:C21"/>
    <mergeCell ref="B22:C22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AE44-1E5B-483B-9D3B-8A4595F437A4}">
  <dimension ref="A1"/>
  <sheetViews>
    <sheetView workbookViewId="0"/>
  </sheetViews>
  <sheetFormatPr baseColWidth="10" defaultColWidth="8.83203125" defaultRowHeight="13" x14ac:dyDescent="0.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5C55-98BB-470E-A07B-90D5250C87E3}">
  <dimension ref="A1"/>
  <sheetViews>
    <sheetView workbookViewId="0">
      <selection activeCell="A21" sqref="A2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UTH_PUBLICACAO xmlns="33041745-5b99-44b0-bea5-624b09b86256">false</AUTH_PUBLICACAO>
    <_dlc_DocId xmlns="33041745-5b99-44b0-bea5-624b09b86256">UFZZKVN77ZY7-1526655401-1535153</_dlc_DocId>
    <_dlc_DocIdUrl xmlns="33041745-5b99-44b0-bea5-624b09b86256">
      <Url>https://grupohubert.sharepoint.com/sites/home/centraldecondominios/_layouts/15/DocIdRedir.aspx?ID=UFZZKVN77ZY7-1526655401-1535153</Url>
      <Description>UFZZKVN77ZY7-1526655401-1535153</Description>
    </_dlc_DocIdUrl>
    <db30183fd3a8449c9c406ab29551c025 xmlns="33041745-5b99-44b0-bea5-624b09b86256">
      <Terms xmlns="http://schemas.microsoft.com/office/infopath/2007/PartnerControls"/>
    </db30183fd3a8449c9c406ab29551c025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asta de trabalho do Excel" ma:contentTypeID="0x010100A14760C940A4F647B6A56283BAC4C31000EBDAB2C69E6582418B22EEC6A9137C5C" ma:contentTypeVersion="9662" ma:contentTypeDescription="" ma:contentTypeScope="" ma:versionID="69bc6992c6ab7a7b807bcfbfbb584ddf">
  <xsd:schema xmlns:xsd="http://www.w3.org/2001/XMLSchema" xmlns:xs="http://www.w3.org/2001/XMLSchema" xmlns:p="http://schemas.microsoft.com/office/2006/metadata/properties" xmlns:ns2="33041745-5b99-44b0-bea5-624b09b86256" xmlns:ns3="cb46b2f9-5b45-4a91-b6d6-038e3edb79e6" targetNamespace="http://schemas.microsoft.com/office/2006/metadata/properties" ma:root="true" ma:fieldsID="6d178e1a7c9b1d3397922a2acc3ef908" ns2:_="" ns3:_="">
    <xsd:import namespace="33041745-5b99-44b0-bea5-624b09b86256"/>
    <xsd:import namespace="cb46b2f9-5b45-4a91-b6d6-038e3edb79e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db30183fd3a8449c9c406ab29551c025" minOccurs="0"/>
                <xsd:element ref="ns2:AUTH_PUBLICACAO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41745-5b99-44b0-bea5-624b09b8625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b30183fd3a8449c9c406ab29551c025" ma:index="12" nillable="true" ma:taxonomy="true" ma:internalName="db30183fd3a8449c9c406ab29551c025" ma:taxonomyFieldName="CODIGO_CONDOMINIO" ma:displayName="Codigo Condominio" ma:default="" ma:fieldId="{db30183f-d3a8-449c-9c40-6ab29551c025}" ma:sspId="a5b0e17b-8b49-47dc-a502-171a287e4866" ma:termSetId="27d9b7b9-bf13-4df5-8179-84df5ea9ec0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UTH_PUBLICACAO" ma:index="13" nillable="true" ma:displayName="Publicar no Portal" ma:default="0" ma:description="O conteúdo pode ser publicado no portal, para consultas fora do sharepoint." ma:internalName="AUTH_PUBLICACAO">
      <xsd:simpleType>
        <xsd:restriction base="dms:Boolean"/>
      </xsd:simple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46b2f9-5b45-4a91-b6d6-038e3edb79e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626A018-3E8A-4919-A5A5-E12B6EFAC8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5A28B0-6200-48B9-85AC-E3705AFFC156}">
  <ds:schemaRefs>
    <ds:schemaRef ds:uri="http://schemas.microsoft.com/office/2006/metadata/properties"/>
    <ds:schemaRef ds:uri="http://schemas.microsoft.com/office/infopath/2007/PartnerControls"/>
    <ds:schemaRef ds:uri="33041745-5b99-44b0-bea5-624b09b86256"/>
  </ds:schemaRefs>
</ds:datastoreItem>
</file>

<file path=customXml/itemProps3.xml><?xml version="1.0" encoding="utf-8"?>
<ds:datastoreItem xmlns:ds="http://schemas.openxmlformats.org/officeDocument/2006/customXml" ds:itemID="{AA72BD3D-A368-45AB-9641-616D848FA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041745-5b99-44b0-bea5-624b09b86256"/>
    <ds:schemaRef ds:uri="cb46b2f9-5b45-4a91-b6d6-038e3edb79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6A1C35-C7BA-4D56-BBB0-2CCB417BBC2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Realizada 2019.2020</vt:lpstr>
      <vt:lpstr>Previsão </vt:lpstr>
      <vt:lpstr>Planilha1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Gouveia</dc:creator>
  <cp:keywords/>
  <dc:description/>
  <cp:lastModifiedBy>Felipe Meireles</cp:lastModifiedBy>
  <cp:revision>3</cp:revision>
  <dcterms:created xsi:type="dcterms:W3CDTF">2018-03-27T22:13:00Z</dcterms:created>
  <dcterms:modified xsi:type="dcterms:W3CDTF">2025-07-26T20:41:48Z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10752">
    <vt:lpwstr>255</vt:lpwstr>
  </property>
  <property fmtid="{D5CDD505-2E9C-101B-9397-08002B2CF9AE}" pid="4" name="AuthorIds_UIVersion_19456">
    <vt:lpwstr>255</vt:lpwstr>
  </property>
  <property fmtid="{D5CDD505-2E9C-101B-9397-08002B2CF9AE}" pid="5" name="AuthorIds_UIVersion_8704">
    <vt:lpwstr>255</vt:lpwstr>
  </property>
  <property fmtid="{D5CDD505-2E9C-101B-9397-08002B2CF9AE}" pid="6" name="CODIGO_CONDOMINIO">
    <vt:lpwstr/>
  </property>
  <property fmtid="{D5CDD505-2E9C-101B-9397-08002B2CF9AE}" pid="7" name="ContentTypeId">
    <vt:lpwstr>0x010100A14760C940A4F647B6A56283BAC4C31000EBDAB2C69E6582418B22EEC6A9137C5C</vt:lpwstr>
  </property>
  <property fmtid="{D5CDD505-2E9C-101B-9397-08002B2CF9AE}" pid="8" name="Order">
    <vt:lpwstr>714600.000000000</vt:lpwstr>
  </property>
  <property fmtid="{D5CDD505-2E9C-101B-9397-08002B2CF9AE}" pid="9" name="TaxCatchAll">
    <vt:lpwstr/>
  </property>
  <property fmtid="{D5CDD505-2E9C-101B-9397-08002B2CF9AE}" pid="10" name="_dlc_DocId">
    <vt:lpwstr>UFZZKVN77ZY7-877881712-7146</vt:lpwstr>
  </property>
  <property fmtid="{D5CDD505-2E9C-101B-9397-08002B2CF9AE}" pid="11" name="_dlc_DocIdItemGuid">
    <vt:lpwstr>46236540-0b5e-4b22-9937-c8368a175722</vt:lpwstr>
  </property>
  <property fmtid="{D5CDD505-2E9C-101B-9397-08002B2CF9AE}" pid="12" name="_dlc_DocIdUrl">
    <vt:lpwstr>https://grupohubert.sharepoint.com/sites/home/centraldecondominios/_layouts/15/DocIdRedir.aspx?ID=UFZZKVN77ZY7-877881712-7146, UFZZKVN77ZY7-877881712-7146</vt:lpwstr>
  </property>
  <property fmtid="{D5CDD505-2E9C-101B-9397-08002B2CF9AE}" pid="13" name="display_urn:schemas-microsoft-com:office:office#Author">
    <vt:lpwstr>BUILTIN\Administrators</vt:lpwstr>
  </property>
  <property fmtid="{D5CDD505-2E9C-101B-9397-08002B2CF9AE}" pid="14" name="display_urn:schemas-microsoft-com:office:office#Editor">
    <vt:lpwstr>BUILTIN\Administrators</vt:lpwstr>
  </property>
</Properties>
</file>