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ink/ink1.xml" ContentType="application/inkml+xml"/>
  <Override PartName="/xl/ink/ink2.xml" ContentType="application/inkml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Codex\2026-07-02\qu\data\"/>
    </mc:Choice>
  </mc:AlternateContent>
  <xr:revisionPtr revIDLastSave="0" documentId="13_ncr:1_{FA6E9641-BD95-4B85-9794-2805D3441625}" xr6:coauthVersionLast="47" xr6:coauthVersionMax="47" xr10:uidLastSave="{00000000-0000-0000-0000-000000000000}"/>
  <bookViews>
    <workbookView xWindow="-120" yWindow="-120" windowWidth="29040" windowHeight="15990" tabRatio="653" firstSheet="5" activeTab="7" xr2:uid="{00000000-000D-0000-FFFF-FFFF00000000}"/>
  </bookViews>
  <sheets>
    <sheet name="Instruções" sheetId="36" r:id="rId1"/>
    <sheet name="Orçamento_Final" sheetId="35" r:id="rId2"/>
    <sheet name="Orçamento_Final (2)" sheetId="38" state="hidden" r:id="rId3"/>
    <sheet name="Orçamento_Cozinhas" sheetId="19" r:id="rId4"/>
    <sheet name="Caixote_Custo" sheetId="10" state="hidden" r:id="rId5"/>
    <sheet name="Base_Fornecedores Madeiras" sheetId="34" r:id="rId6"/>
    <sheet name="Preços_Placas &amp; Seccionadora" sheetId="6" r:id="rId7"/>
    <sheet name="Preço_Orlagem" sheetId="7" r:id="rId8"/>
    <sheet name="Preço_Pintura" sheetId="17" r:id="rId9"/>
    <sheet name="Preço_Tipo de Trabalho" sheetId="9" state="hidden" r:id="rId10"/>
    <sheet name="Base_Fornecedores Extras" sheetId="11" r:id="rId11"/>
    <sheet name="Preço_Puxadores" sheetId="24" state="hidden" r:id="rId12"/>
    <sheet name="Preço_Rodapés" sheetId="25" state="hidden" r:id="rId13"/>
    <sheet name="Preço_Acessórios Cozinha" sheetId="27" r:id="rId14"/>
    <sheet name="Preço_Cestos Lixo" sheetId="26" state="hidden" r:id="rId15"/>
    <sheet name="Preço_Perfis e Fitas LED" sheetId="29" state="hidden" r:id="rId16"/>
    <sheet name="Preços_Tomadas" sheetId="31" state="hidden" r:id="rId17"/>
    <sheet name="Preços_Pés, Fixação e Organiza." sheetId="33" state="hidden" r:id="rId18"/>
    <sheet name="Preços_Gavetas" sheetId="32" state="hidden" r:id="rId19"/>
    <sheet name="Preço_Sistema Abertura Portas" sheetId="8" state="hidden" r:id="rId20"/>
    <sheet name="Preço_Acessórios Roupeiro" sheetId="28" state="hidden" r:id="rId21"/>
    <sheet name="Glossário de Apoio - Placas" sheetId="21" state="hidden" r:id="rId22"/>
    <sheet name="Informações Adicionais - Placas" sheetId="20" state="hidden" r:id="rId23"/>
    <sheet name="Informações Adicionais- Pintura" sheetId="22" state="hidden" r:id="rId24"/>
    <sheet name="Orçamento_Revenda" sheetId="54" r:id="rId25"/>
  </sheets>
  <definedNames>
    <definedName name="_xlnm._FilterDatabase" localSheetId="10" hidden="1">'Base_Fornecedores Extras'!$A$4:$C$247</definedName>
    <definedName name="_xlnm._FilterDatabase" localSheetId="3" hidden="1">Orçamento_Cozinhas!$D$123:$E$123</definedName>
    <definedName name="_xlnm._FilterDatabase" localSheetId="7" hidden="1">Preço_Orlagem!#REF!</definedName>
    <definedName name="_xlnm._FilterDatabase" localSheetId="19" hidden="1">'Preço_Sistema Abertura Portas'!$A$2:$A$7</definedName>
    <definedName name="_xlnm._FilterDatabase" localSheetId="6" hidden="1">'Preços_Placas &amp; Seccionadora'!#REF!</definedName>
    <definedName name="Lista_Madeiras">_xlfn.ANCHORARRAY('Base_Fornecedores Madeiras'!$B$14)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9" i="6" l="1"/>
  <c r="G219" i="6" s="1"/>
  <c r="E218" i="6"/>
  <c r="G218" i="6" s="1"/>
  <c r="E217" i="6"/>
  <c r="G217" i="6" s="1"/>
  <c r="E216" i="6"/>
  <c r="G216" i="6" s="1"/>
  <c r="E215" i="6"/>
  <c r="G215" i="6" s="1"/>
  <c r="E214" i="6"/>
  <c r="G214" i="6" s="1"/>
  <c r="E213" i="6"/>
  <c r="G213" i="6" s="1"/>
  <c r="E212" i="6"/>
  <c r="G212" i="6" s="1"/>
  <c r="E211" i="6"/>
  <c r="G211" i="6" s="1"/>
  <c r="E210" i="6"/>
  <c r="G210" i="6" s="1"/>
  <c r="E209" i="6"/>
  <c r="G209" i="6" s="1"/>
  <c r="E208" i="6"/>
  <c r="G208" i="6" s="1"/>
  <c r="E207" i="6"/>
  <c r="G207" i="6" s="1"/>
  <c r="E206" i="6"/>
  <c r="G206" i="6" s="1"/>
  <c r="E205" i="6"/>
  <c r="G205" i="6" s="1"/>
  <c r="E204" i="6"/>
  <c r="G204" i="6" s="1"/>
  <c r="E203" i="6"/>
  <c r="G203" i="6" s="1"/>
  <c r="E202" i="6"/>
  <c r="G202" i="6" s="1"/>
  <c r="E201" i="6"/>
  <c r="G201" i="6" s="1"/>
  <c r="E200" i="6"/>
  <c r="G200" i="6" s="1"/>
  <c r="E199" i="6"/>
  <c r="G199" i="6" s="1"/>
  <c r="E198" i="6"/>
  <c r="G198" i="6" s="1"/>
  <c r="E197" i="6"/>
  <c r="G197" i="6" s="1"/>
  <c r="E196" i="6"/>
  <c r="G196" i="6" s="1"/>
  <c r="E195" i="6"/>
  <c r="G195" i="6" s="1"/>
  <c r="E194" i="6"/>
  <c r="G194" i="6" s="1"/>
  <c r="E193" i="6"/>
  <c r="G193" i="6" s="1"/>
  <c r="E192" i="6"/>
  <c r="G192" i="6" s="1"/>
  <c r="E191" i="6"/>
  <c r="G191" i="6" s="1"/>
  <c r="E190" i="6"/>
  <c r="G190" i="6" s="1"/>
  <c r="E189" i="6"/>
  <c r="G189" i="6" s="1"/>
  <c r="E188" i="6"/>
  <c r="G188" i="6" s="1"/>
  <c r="E187" i="6"/>
  <c r="G187" i="6" s="1"/>
  <c r="E186" i="6"/>
  <c r="G186" i="6" s="1"/>
  <c r="E185" i="6"/>
  <c r="G185" i="6" s="1"/>
  <c r="E184" i="6"/>
  <c r="G184" i="6" s="1"/>
  <c r="E183" i="6"/>
  <c r="G183" i="6" s="1"/>
  <c r="E182" i="6"/>
  <c r="G182" i="6" s="1"/>
  <c r="E181" i="6"/>
  <c r="G181" i="6" s="1"/>
  <c r="E180" i="6"/>
  <c r="G180" i="6" s="1"/>
  <c r="E179" i="6"/>
  <c r="G179" i="6" s="1"/>
  <c r="E178" i="6"/>
  <c r="G178" i="6" s="1"/>
  <c r="E177" i="6"/>
  <c r="G177" i="6" s="1"/>
  <c r="E176" i="6"/>
  <c r="G176" i="6" s="1"/>
  <c r="E175" i="6"/>
  <c r="G175" i="6" s="1"/>
  <c r="E174" i="6"/>
  <c r="G174" i="6" s="1"/>
  <c r="E173" i="6"/>
  <c r="G173" i="6" s="1"/>
  <c r="E172" i="6"/>
  <c r="G172" i="6" s="1"/>
  <c r="E171" i="6"/>
  <c r="G171" i="6" s="1"/>
  <c r="E170" i="6"/>
  <c r="G170" i="6" s="1"/>
  <c r="E169" i="6"/>
  <c r="G169" i="6" s="1"/>
  <c r="E168" i="6"/>
  <c r="G168" i="6" s="1"/>
  <c r="E167" i="6"/>
  <c r="G167" i="6" s="1"/>
  <c r="E166" i="6"/>
  <c r="G166" i="6" s="1"/>
  <c r="E165" i="6"/>
  <c r="G165" i="6" s="1"/>
  <c r="E164" i="6"/>
  <c r="G164" i="6" s="1"/>
  <c r="E163" i="6"/>
  <c r="G163" i="6" s="1"/>
  <c r="E162" i="6"/>
  <c r="G162" i="6" s="1"/>
  <c r="E161" i="6"/>
  <c r="G161" i="6" s="1"/>
  <c r="E160" i="6"/>
  <c r="G160" i="6" s="1"/>
  <c r="E159" i="6"/>
  <c r="G159" i="6" s="1"/>
  <c r="E158" i="6"/>
  <c r="G158" i="6" s="1"/>
  <c r="E157" i="6"/>
  <c r="G157" i="6" s="1"/>
  <c r="E156" i="6"/>
  <c r="G156" i="6" s="1"/>
  <c r="E155" i="6"/>
  <c r="G155" i="6" s="1"/>
  <c r="E154" i="6"/>
  <c r="G154" i="6" s="1"/>
  <c r="E153" i="6"/>
  <c r="G153" i="6" s="1"/>
  <c r="E152" i="6"/>
  <c r="G152" i="6" s="1"/>
  <c r="E151" i="6"/>
  <c r="G151" i="6" s="1"/>
  <c r="E150" i="6"/>
  <c r="G150" i="6" s="1"/>
  <c r="E149" i="6"/>
  <c r="G149" i="6" s="1"/>
  <c r="E148" i="6"/>
  <c r="G148" i="6" s="1"/>
  <c r="E147" i="6"/>
  <c r="G147" i="6" s="1"/>
  <c r="E146" i="6"/>
  <c r="G146" i="6" s="1"/>
  <c r="E145" i="6"/>
  <c r="G145" i="6" s="1"/>
  <c r="E144" i="6"/>
  <c r="G144" i="6" s="1"/>
  <c r="E143" i="6"/>
  <c r="G143" i="6" s="1"/>
  <c r="E142" i="6"/>
  <c r="G142" i="6" s="1"/>
  <c r="E141" i="6"/>
  <c r="G141" i="6" s="1"/>
  <c r="E140" i="6"/>
  <c r="G140" i="6" s="1"/>
  <c r="E139" i="6"/>
  <c r="G139" i="6" s="1"/>
  <c r="E138" i="6"/>
  <c r="G138" i="6" s="1"/>
  <c r="E137" i="6"/>
  <c r="G137" i="6" s="1"/>
  <c r="E136" i="6"/>
  <c r="G136" i="6" s="1"/>
  <c r="E135" i="6"/>
  <c r="G135" i="6" s="1"/>
  <c r="E134" i="6"/>
  <c r="G134" i="6" s="1"/>
  <c r="E133" i="6"/>
  <c r="G133" i="6" s="1"/>
  <c r="E132" i="6"/>
  <c r="G132" i="6" s="1"/>
  <c r="E131" i="6"/>
  <c r="G131" i="6" s="1"/>
  <c r="E130" i="6"/>
  <c r="G130" i="6" s="1"/>
  <c r="E129" i="6"/>
  <c r="G129" i="6" s="1"/>
  <c r="E128" i="6"/>
  <c r="G128" i="6" s="1"/>
  <c r="E127" i="6"/>
  <c r="G127" i="6" s="1"/>
  <c r="E126" i="6"/>
  <c r="G126" i="6" s="1"/>
  <c r="E125" i="6"/>
  <c r="G125" i="6" s="1"/>
  <c r="E124" i="6"/>
  <c r="F124" i="6" s="1"/>
  <c r="E123" i="6"/>
  <c r="G123" i="6" s="1"/>
  <c r="E122" i="6"/>
  <c r="G122" i="6" s="1"/>
  <c r="E121" i="6"/>
  <c r="G121" i="6" s="1"/>
  <c r="E120" i="6"/>
  <c r="G120" i="6" s="1"/>
  <c r="E119" i="6"/>
  <c r="G119" i="6" s="1"/>
  <c r="E118" i="6"/>
  <c r="G118" i="6" s="1"/>
  <c r="E117" i="6"/>
  <c r="G117" i="6" s="1"/>
  <c r="E116" i="6"/>
  <c r="G116" i="6" s="1"/>
  <c r="E115" i="6"/>
  <c r="G115" i="6" s="1"/>
  <c r="E114" i="6"/>
  <c r="G114" i="6" s="1"/>
  <c r="E113" i="6"/>
  <c r="G113" i="6" s="1"/>
  <c r="E112" i="6"/>
  <c r="G112" i="6" s="1"/>
  <c r="E111" i="6"/>
  <c r="G111" i="6" s="1"/>
  <c r="E110" i="6"/>
  <c r="G110" i="6" s="1"/>
  <c r="E109" i="6"/>
  <c r="G109" i="6" s="1"/>
  <c r="E108" i="6"/>
  <c r="G108" i="6" s="1"/>
  <c r="E107" i="6"/>
  <c r="G107" i="6" s="1"/>
  <c r="E106" i="6"/>
  <c r="G106" i="6" s="1"/>
  <c r="E105" i="6"/>
  <c r="G105" i="6" s="1"/>
  <c r="E104" i="6"/>
  <c r="G104" i="6" s="1"/>
  <c r="E103" i="6"/>
  <c r="G103" i="6" s="1"/>
  <c r="E102" i="6"/>
  <c r="G102" i="6" s="1"/>
  <c r="E101" i="6"/>
  <c r="G101" i="6" s="1"/>
  <c r="E100" i="6"/>
  <c r="G100" i="6" s="1"/>
  <c r="E99" i="6"/>
  <c r="G99" i="6" s="1"/>
  <c r="C11" i="7"/>
  <c r="E19" i="7"/>
  <c r="E20" i="7"/>
  <c r="E21" i="7"/>
  <c r="E22" i="7"/>
  <c r="E23" i="7"/>
  <c r="E24" i="7"/>
  <c r="E25" i="7"/>
  <c r="E18" i="7"/>
  <c r="A19" i="7"/>
  <c r="A20" i="7"/>
  <c r="A21" i="7"/>
  <c r="A22" i="7"/>
  <c r="A23" i="7"/>
  <c r="A24" i="7"/>
  <c r="A25" i="7"/>
  <c r="A18" i="7"/>
  <c r="C5" i="7"/>
  <c r="E8" i="27"/>
  <c r="E9" i="27"/>
  <c r="E10" i="27"/>
  <c r="F10" i="27" s="1"/>
  <c r="G10" i="27" s="1"/>
  <c r="E11" i="27"/>
  <c r="E12" i="27"/>
  <c r="E13" i="27"/>
  <c r="E14" i="27"/>
  <c r="E7" i="27"/>
  <c r="E6" i="27"/>
  <c r="Q24" i="10"/>
  <c r="Q99" i="10" s="1"/>
  <c r="J145" i="6"/>
  <c r="G61" i="38"/>
  <c r="H61" i="38" s="1"/>
  <c r="E61" i="38"/>
  <c r="F61" i="38" s="1"/>
  <c r="G60" i="38"/>
  <c r="H60" i="38" s="1"/>
  <c r="E60" i="38"/>
  <c r="F60" i="38" s="1"/>
  <c r="G59" i="38"/>
  <c r="H59" i="38" s="1"/>
  <c r="E59" i="38"/>
  <c r="F59" i="38" s="1"/>
  <c r="G58" i="38"/>
  <c r="H58" i="38" s="1"/>
  <c r="E58" i="38"/>
  <c r="F58" i="38" s="1"/>
  <c r="G57" i="38"/>
  <c r="H57" i="38" s="1"/>
  <c r="E57" i="38"/>
  <c r="F57" i="38" s="1"/>
  <c r="G56" i="38"/>
  <c r="H56" i="38" s="1"/>
  <c r="E56" i="38"/>
  <c r="F56" i="38" s="1"/>
  <c r="G55" i="38"/>
  <c r="H55" i="38" s="1"/>
  <c r="E55" i="38"/>
  <c r="F55" i="38" s="1"/>
  <c r="G54" i="38"/>
  <c r="H54" i="38" s="1"/>
  <c r="E54" i="38"/>
  <c r="F54" i="38" s="1"/>
  <c r="G53" i="38"/>
  <c r="H53" i="38" s="1"/>
  <c r="E53" i="38"/>
  <c r="F53" i="38" s="1"/>
  <c r="G52" i="38"/>
  <c r="H52" i="38" s="1"/>
  <c r="E52" i="38"/>
  <c r="F52" i="38" s="1"/>
  <c r="G51" i="38"/>
  <c r="H51" i="38" s="1"/>
  <c r="E51" i="38"/>
  <c r="F51" i="38" s="1"/>
  <c r="G50" i="38"/>
  <c r="H50" i="38" s="1"/>
  <c r="E50" i="38"/>
  <c r="F50" i="38" s="1"/>
  <c r="G49" i="38"/>
  <c r="H49" i="38" s="1"/>
  <c r="E49" i="38"/>
  <c r="F49" i="38" s="1"/>
  <c r="G48" i="38"/>
  <c r="H48" i="38" s="1"/>
  <c r="E48" i="38"/>
  <c r="F48" i="38" s="1"/>
  <c r="G47" i="38"/>
  <c r="H47" i="38" s="1"/>
  <c r="E47" i="38"/>
  <c r="F47" i="38" s="1"/>
  <c r="G46" i="38"/>
  <c r="H46" i="38" s="1"/>
  <c r="E46" i="38"/>
  <c r="F46" i="38" s="1"/>
  <c r="G45" i="38"/>
  <c r="H45" i="38" s="1"/>
  <c r="E45" i="38"/>
  <c r="F45" i="38" s="1"/>
  <c r="G44" i="38"/>
  <c r="H44" i="38" s="1"/>
  <c r="E44" i="38"/>
  <c r="F44" i="38" s="1"/>
  <c r="G43" i="38"/>
  <c r="H43" i="38" s="1"/>
  <c r="E43" i="38"/>
  <c r="F43" i="38" s="1"/>
  <c r="G42" i="38"/>
  <c r="H42" i="38" s="1"/>
  <c r="E42" i="38"/>
  <c r="F42" i="38" s="1"/>
  <c r="G41" i="38"/>
  <c r="H41" i="38" s="1"/>
  <c r="E41" i="38"/>
  <c r="F41" i="38" s="1"/>
  <c r="G40" i="38"/>
  <c r="H40" i="38" s="1"/>
  <c r="E40" i="38"/>
  <c r="F40" i="38" s="1"/>
  <c r="G39" i="38"/>
  <c r="H39" i="38" s="1"/>
  <c r="E39" i="38"/>
  <c r="F39" i="38" s="1"/>
  <c r="G38" i="38"/>
  <c r="H38" i="38" s="1"/>
  <c r="E38" i="38"/>
  <c r="F38" i="38" s="1"/>
  <c r="G37" i="38"/>
  <c r="H37" i="38" s="1"/>
  <c r="E37" i="38"/>
  <c r="F37" i="38" s="1"/>
  <c r="G36" i="38"/>
  <c r="H36" i="38" s="1"/>
  <c r="E36" i="38"/>
  <c r="F36" i="38" s="1"/>
  <c r="G35" i="38"/>
  <c r="H35" i="38" s="1"/>
  <c r="E35" i="38"/>
  <c r="F35" i="38" s="1"/>
  <c r="G34" i="38"/>
  <c r="H34" i="38" s="1"/>
  <c r="E34" i="38"/>
  <c r="F34" i="38" s="1"/>
  <c r="G33" i="38"/>
  <c r="H33" i="38" s="1"/>
  <c r="E33" i="38"/>
  <c r="F33" i="38" s="1"/>
  <c r="G32" i="38"/>
  <c r="H32" i="38" s="1"/>
  <c r="E32" i="38"/>
  <c r="F32" i="38" s="1"/>
  <c r="G31" i="38"/>
  <c r="H31" i="38" s="1"/>
  <c r="E31" i="38"/>
  <c r="F31" i="38" s="1"/>
  <c r="G30" i="38"/>
  <c r="H30" i="38" s="1"/>
  <c r="E30" i="38"/>
  <c r="F30" i="38" s="1"/>
  <c r="G29" i="38"/>
  <c r="H29" i="38" s="1"/>
  <c r="E29" i="38"/>
  <c r="F29" i="38" s="1"/>
  <c r="G28" i="38"/>
  <c r="H28" i="38" s="1"/>
  <c r="E28" i="38"/>
  <c r="F28" i="38" s="1"/>
  <c r="G27" i="38"/>
  <c r="H27" i="38" s="1"/>
  <c r="E27" i="38"/>
  <c r="F27" i="38" s="1"/>
  <c r="G26" i="38"/>
  <c r="H26" i="38" s="1"/>
  <c r="E26" i="38"/>
  <c r="F26" i="38" s="1"/>
  <c r="G25" i="38"/>
  <c r="H25" i="38" s="1"/>
  <c r="E25" i="38"/>
  <c r="F25" i="38" s="1"/>
  <c r="G24" i="38"/>
  <c r="H24" i="38" s="1"/>
  <c r="E24" i="38"/>
  <c r="F24" i="38" s="1"/>
  <c r="G23" i="38"/>
  <c r="H23" i="38" s="1"/>
  <c r="E23" i="38"/>
  <c r="F23" i="38" s="1"/>
  <c r="G22" i="38"/>
  <c r="H22" i="38" s="1"/>
  <c r="E22" i="38"/>
  <c r="F22" i="38" s="1"/>
  <c r="G21" i="38"/>
  <c r="H21" i="38" s="1"/>
  <c r="E21" i="38"/>
  <c r="F21" i="38" s="1"/>
  <c r="G20" i="38"/>
  <c r="H20" i="38" s="1"/>
  <c r="E20" i="38"/>
  <c r="F20" i="38" s="1"/>
  <c r="G62" i="35"/>
  <c r="H62" i="35" s="1"/>
  <c r="G61" i="35"/>
  <c r="H61" i="35" s="1"/>
  <c r="G51" i="35"/>
  <c r="H51" i="35" s="1"/>
  <c r="E62" i="35"/>
  <c r="F62" i="35" s="1"/>
  <c r="E61" i="35"/>
  <c r="F61" i="35" s="1"/>
  <c r="E52" i="35"/>
  <c r="F52" i="35" s="1"/>
  <c r="E51" i="35"/>
  <c r="F51" i="35" s="1"/>
  <c r="N1" i="31" a="1"/>
  <c r="N1" i="31" s="1"/>
  <c r="M1" i="31" a="1"/>
  <c r="M1" i="31" s="1"/>
  <c r="P1" i="29" a="1"/>
  <c r="P1" i="29" s="1"/>
  <c r="G52" i="35"/>
  <c r="H52" i="35" s="1"/>
  <c r="G53" i="35"/>
  <c r="H53" i="35" s="1"/>
  <c r="G54" i="35"/>
  <c r="H54" i="35" s="1"/>
  <c r="G55" i="35"/>
  <c r="H55" i="35" s="1"/>
  <c r="G56" i="35"/>
  <c r="H56" i="35" s="1"/>
  <c r="G57" i="35"/>
  <c r="H57" i="35" s="1"/>
  <c r="G58" i="35"/>
  <c r="H58" i="35" s="1"/>
  <c r="G59" i="35"/>
  <c r="H59" i="35" s="1"/>
  <c r="G60" i="35"/>
  <c r="H60" i="35" s="1"/>
  <c r="G46" i="35"/>
  <c r="H46" i="35" s="1"/>
  <c r="G49" i="35"/>
  <c r="H49" i="35" s="1"/>
  <c r="E53" i="35"/>
  <c r="F53" i="35" s="1"/>
  <c r="E54" i="35"/>
  <c r="F54" i="35" s="1"/>
  <c r="E55" i="35"/>
  <c r="F55" i="35" s="1"/>
  <c r="E56" i="35"/>
  <c r="F56" i="35" s="1"/>
  <c r="E57" i="35"/>
  <c r="F57" i="35" s="1"/>
  <c r="E58" i="35"/>
  <c r="F58" i="35" s="1"/>
  <c r="E59" i="35"/>
  <c r="F59" i="35" s="1"/>
  <c r="E60" i="35"/>
  <c r="F60" i="35" s="1"/>
  <c r="E46" i="35"/>
  <c r="F46" i="35" s="1"/>
  <c r="Y1" i="29" a="1"/>
  <c r="Y1" i="29" s="1"/>
  <c r="X1" i="29" a="1"/>
  <c r="X1" i="29" s="1"/>
  <c r="W1" i="29" a="1"/>
  <c r="W1" i="29" s="1"/>
  <c r="V1" i="29" a="1"/>
  <c r="V1" i="29" s="1"/>
  <c r="U1" i="29" a="1"/>
  <c r="U1" i="29" s="1"/>
  <c r="T1" i="29" a="1"/>
  <c r="T1" i="29" s="1"/>
  <c r="S1" i="29" a="1"/>
  <c r="S1" i="29" s="1"/>
  <c r="R1" i="29" a="1"/>
  <c r="R1" i="29" s="1"/>
  <c r="Q1" i="29" a="1"/>
  <c r="Q1" i="29" s="1"/>
  <c r="E33" i="29"/>
  <c r="E32" i="29"/>
  <c r="Q65" i="10"/>
  <c r="Q66" i="10"/>
  <c r="Q67" i="10"/>
  <c r="Q68" i="10"/>
  <c r="Q69" i="10"/>
  <c r="Q70" i="10"/>
  <c r="Q145" i="10" s="1"/>
  <c r="Q71" i="10"/>
  <c r="Q146" i="10" s="1"/>
  <c r="S71" i="10"/>
  <c r="L71" i="10"/>
  <c r="J60" i="10"/>
  <c r="J135" i="10" s="1"/>
  <c r="J61" i="10"/>
  <c r="J136" i="10" s="1"/>
  <c r="J62" i="10"/>
  <c r="J137" i="10" s="1"/>
  <c r="J63" i="10"/>
  <c r="J138" i="10" s="1"/>
  <c r="J64" i="10"/>
  <c r="J139" i="10" s="1"/>
  <c r="J65" i="10"/>
  <c r="J140" i="10" s="1"/>
  <c r="J66" i="10"/>
  <c r="J141" i="10" s="1"/>
  <c r="J67" i="10"/>
  <c r="J142" i="10" s="1"/>
  <c r="J68" i="10"/>
  <c r="J143" i="10" s="1"/>
  <c r="J69" i="10"/>
  <c r="J144" i="10" s="1"/>
  <c r="J70" i="10"/>
  <c r="J145" i="10" s="1"/>
  <c r="J71" i="10"/>
  <c r="J59" i="10"/>
  <c r="J134" i="10" s="1"/>
  <c r="E71" i="10"/>
  <c r="F71" i="10" s="1"/>
  <c r="C65" i="10"/>
  <c r="C66" i="10"/>
  <c r="C141" i="10" s="1"/>
  <c r="C67" i="10"/>
  <c r="C142" i="10" s="1"/>
  <c r="C68" i="10"/>
  <c r="C69" i="10"/>
  <c r="C70" i="10"/>
  <c r="C145" i="10" s="1"/>
  <c r="C60" i="10"/>
  <c r="Q62" i="32"/>
  <c r="R62" i="32" s="1"/>
  <c r="Q63" i="32"/>
  <c r="R63" i="32" s="1"/>
  <c r="Q64" i="32"/>
  <c r="R64" i="32" s="1"/>
  <c r="Q65" i="32"/>
  <c r="R65" i="32" s="1"/>
  <c r="Q61" i="32"/>
  <c r="R61" i="32" s="1"/>
  <c r="Q50" i="32"/>
  <c r="R50" i="32" s="1"/>
  <c r="O62" i="32"/>
  <c r="O63" i="32"/>
  <c r="O64" i="32"/>
  <c r="O65" i="32"/>
  <c r="O61" i="32"/>
  <c r="O51" i="32"/>
  <c r="O50" i="32"/>
  <c r="Q51" i="32"/>
  <c r="R51" i="32" s="1"/>
  <c r="Q52" i="32"/>
  <c r="R52" i="32" s="1"/>
  <c r="Q53" i="32"/>
  <c r="R53" i="32" s="1"/>
  <c r="K70" i="32"/>
  <c r="L70" i="32" s="1"/>
  <c r="O52" i="32"/>
  <c r="O53" i="32"/>
  <c r="I70" i="32"/>
  <c r="K71" i="32"/>
  <c r="L71" i="32" s="1"/>
  <c r="K72" i="32"/>
  <c r="L72" i="32" s="1"/>
  <c r="K73" i="32"/>
  <c r="L73" i="32" s="1"/>
  <c r="K74" i="32"/>
  <c r="L74" i="32" s="1"/>
  <c r="K75" i="32"/>
  <c r="L75" i="32" s="1"/>
  <c r="K76" i="32"/>
  <c r="L76" i="32" s="1"/>
  <c r="K56" i="32"/>
  <c r="L56" i="32" s="1"/>
  <c r="I71" i="32"/>
  <c r="I72" i="32"/>
  <c r="I73" i="32"/>
  <c r="I74" i="32"/>
  <c r="I75" i="32"/>
  <c r="I76" i="32"/>
  <c r="I56" i="32"/>
  <c r="K57" i="32"/>
  <c r="L57" i="32" s="1"/>
  <c r="K58" i="32"/>
  <c r="L58" i="32" s="1"/>
  <c r="K59" i="32"/>
  <c r="L59" i="32" s="1"/>
  <c r="K60" i="32"/>
  <c r="L60" i="32" s="1"/>
  <c r="K61" i="32"/>
  <c r="L61" i="32" s="1"/>
  <c r="K42" i="32"/>
  <c r="I57" i="32"/>
  <c r="I58" i="32"/>
  <c r="I59" i="32"/>
  <c r="I60" i="32"/>
  <c r="I61" i="32"/>
  <c r="I42" i="32"/>
  <c r="E82" i="32"/>
  <c r="F82" i="32" s="1"/>
  <c r="E83" i="32"/>
  <c r="F83" i="32" s="1"/>
  <c r="E84" i="32"/>
  <c r="F84" i="32" s="1"/>
  <c r="E85" i="32"/>
  <c r="F85" i="32" s="1"/>
  <c r="E86" i="32"/>
  <c r="F86" i="32" s="1"/>
  <c r="E87" i="32"/>
  <c r="F87" i="32" s="1"/>
  <c r="E88" i="32"/>
  <c r="F88" i="32" s="1"/>
  <c r="E89" i="32"/>
  <c r="F89" i="32" s="1"/>
  <c r="E90" i="32"/>
  <c r="F90" i="32" s="1"/>
  <c r="E81" i="32"/>
  <c r="F81" i="32" s="1"/>
  <c r="E65" i="32"/>
  <c r="F65" i="32" s="1"/>
  <c r="C82" i="32"/>
  <c r="C83" i="32"/>
  <c r="C84" i="32"/>
  <c r="C85" i="32"/>
  <c r="C86" i="32"/>
  <c r="C87" i="32"/>
  <c r="C88" i="32"/>
  <c r="C89" i="32"/>
  <c r="C90" i="32"/>
  <c r="C81" i="32"/>
  <c r="C65" i="32"/>
  <c r="E66" i="32"/>
  <c r="F66" i="32" s="1"/>
  <c r="E67" i="32"/>
  <c r="F67" i="32" s="1"/>
  <c r="E68" i="32"/>
  <c r="F68" i="32" s="1"/>
  <c r="E69" i="32"/>
  <c r="F69" i="32" s="1"/>
  <c r="E70" i="32"/>
  <c r="F70" i="32" s="1"/>
  <c r="E71" i="32"/>
  <c r="F71" i="32" s="1"/>
  <c r="E72" i="32"/>
  <c r="F72" i="32" s="1"/>
  <c r="E73" i="32"/>
  <c r="F73" i="32" s="1"/>
  <c r="E49" i="32"/>
  <c r="C66" i="32"/>
  <c r="C67" i="32"/>
  <c r="C68" i="32"/>
  <c r="C69" i="32"/>
  <c r="C70" i="32"/>
  <c r="C71" i="32"/>
  <c r="C72" i="32"/>
  <c r="C73" i="32"/>
  <c r="C49" i="32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" i="24"/>
  <c r="E6" i="25"/>
  <c r="E7" i="25"/>
  <c r="E8" i="25"/>
  <c r="E9" i="25"/>
  <c r="E10" i="25"/>
  <c r="E11" i="25"/>
  <c r="E5" i="25"/>
  <c r="E10" i="29"/>
  <c r="E11" i="29"/>
  <c r="E12" i="29"/>
  <c r="E13" i="29"/>
  <c r="E14" i="29"/>
  <c r="E15" i="29"/>
  <c r="E16" i="29"/>
  <c r="E17" i="29"/>
  <c r="E18" i="29"/>
  <c r="E9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F30" i="29" s="1"/>
  <c r="G30" i="29" s="1"/>
  <c r="E31" i="29"/>
  <c r="C31" i="29"/>
  <c r="C30" i="29"/>
  <c r="C29" i="29"/>
  <c r="C28" i="29"/>
  <c r="C27" i="29"/>
  <c r="C26" i="29"/>
  <c r="C25" i="29"/>
  <c r="C24" i="29"/>
  <c r="C23" i="29"/>
  <c r="C22" i="29"/>
  <c r="C21" i="29"/>
  <c r="C20" i="29"/>
  <c r="C19" i="29"/>
  <c r="G47" i="35"/>
  <c r="H47" i="35" s="1"/>
  <c r="G48" i="35"/>
  <c r="H48" i="35" s="1"/>
  <c r="G50" i="35"/>
  <c r="H50" i="35" s="1"/>
  <c r="E50" i="35"/>
  <c r="F50" i="35" s="1"/>
  <c r="E47" i="35"/>
  <c r="F47" i="35" s="1"/>
  <c r="E48" i="35"/>
  <c r="F48" i="35" s="1"/>
  <c r="E49" i="35"/>
  <c r="F49" i="35" s="1"/>
  <c r="E36" i="35"/>
  <c r="F36" i="35" s="1"/>
  <c r="Q1" i="26" a="1"/>
  <c r="Q1" i="26" s="1"/>
  <c r="P1" i="26" a="1"/>
  <c r="P1" i="26" s="1"/>
  <c r="O1" i="26" a="1"/>
  <c r="O1" i="26" s="1"/>
  <c r="N1" i="26" a="1"/>
  <c r="N1" i="26" s="1"/>
  <c r="M1" i="26" a="1"/>
  <c r="M1" i="26" s="1"/>
  <c r="G37" i="35"/>
  <c r="H37" i="35" s="1"/>
  <c r="G38" i="35"/>
  <c r="H38" i="35" s="1"/>
  <c r="G39" i="35"/>
  <c r="H39" i="35" s="1"/>
  <c r="G40" i="35"/>
  <c r="H40" i="35" s="1"/>
  <c r="G41" i="35"/>
  <c r="H41" i="35" s="1"/>
  <c r="G42" i="35"/>
  <c r="H42" i="35" s="1"/>
  <c r="G43" i="35"/>
  <c r="H43" i="35" s="1"/>
  <c r="G44" i="35"/>
  <c r="H44" i="35" s="1"/>
  <c r="G45" i="35"/>
  <c r="H45" i="35" s="1"/>
  <c r="G36" i="35"/>
  <c r="H36" i="35" s="1"/>
  <c r="G32" i="35"/>
  <c r="H32" i="35" s="1"/>
  <c r="G33" i="35"/>
  <c r="H33" i="35" s="1"/>
  <c r="G34" i="35"/>
  <c r="H34" i="35" s="1"/>
  <c r="G35" i="35"/>
  <c r="H35" i="35" s="1"/>
  <c r="G31" i="35"/>
  <c r="H31" i="35" s="1"/>
  <c r="E37" i="35"/>
  <c r="F37" i="35" s="1"/>
  <c r="E38" i="35"/>
  <c r="F38" i="35" s="1"/>
  <c r="E39" i="35"/>
  <c r="F39" i="35" s="1"/>
  <c r="E40" i="35"/>
  <c r="F40" i="35" s="1"/>
  <c r="E41" i="35"/>
  <c r="F41" i="35" s="1"/>
  <c r="E42" i="35"/>
  <c r="F42" i="35" s="1"/>
  <c r="E43" i="35"/>
  <c r="F43" i="35" s="1"/>
  <c r="E44" i="35"/>
  <c r="F44" i="35" s="1"/>
  <c r="E45" i="35"/>
  <c r="F45" i="35" s="1"/>
  <c r="E32" i="35"/>
  <c r="F32" i="35" s="1"/>
  <c r="E33" i="35"/>
  <c r="F33" i="35" s="1"/>
  <c r="E34" i="35"/>
  <c r="F34" i="35" s="1"/>
  <c r="E35" i="35"/>
  <c r="F35" i="35" s="1"/>
  <c r="E31" i="35"/>
  <c r="F31" i="35" s="1"/>
  <c r="C6" i="27"/>
  <c r="Y1" i="27" a="1"/>
  <c r="Y1" i="27" s="1"/>
  <c r="X1" i="27" a="1"/>
  <c r="X1" i="27" s="1"/>
  <c r="W1" i="27" a="1"/>
  <c r="W1" i="27" s="1"/>
  <c r="V1" i="27" a="1"/>
  <c r="V1" i="27" s="1"/>
  <c r="U1" i="27" a="1"/>
  <c r="U1" i="27" s="1"/>
  <c r="T1" i="27" a="1"/>
  <c r="T1" i="27" s="1"/>
  <c r="S1" i="27" a="1"/>
  <c r="S1" i="27" s="1"/>
  <c r="R1" i="27" a="1"/>
  <c r="R1" i="27" s="1"/>
  <c r="Q1" i="27" a="1"/>
  <c r="Q1" i="27" s="1"/>
  <c r="P1" i="27" a="1"/>
  <c r="P1" i="27" s="1"/>
  <c r="E21" i="35"/>
  <c r="F21" i="35" s="1"/>
  <c r="Y1" i="25" a="1"/>
  <c r="Y1" i="25" s="1"/>
  <c r="X1" i="25" a="1"/>
  <c r="X1" i="25" s="1"/>
  <c r="W1" i="25" a="1"/>
  <c r="W1" i="25" s="1"/>
  <c r="V1" i="25" a="1"/>
  <c r="V1" i="25" s="1"/>
  <c r="U1" i="25" a="1"/>
  <c r="U1" i="2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21" i="35"/>
  <c r="H21" i="35" s="1"/>
  <c r="E22" i="35"/>
  <c r="F22" i="35" s="1"/>
  <c r="E23" i="35"/>
  <c r="F23" i="35" s="1"/>
  <c r="E24" i="35"/>
  <c r="F24" i="35" s="1"/>
  <c r="E25" i="35"/>
  <c r="F25" i="35" s="1"/>
  <c r="E26" i="35"/>
  <c r="F26" i="35" s="1"/>
  <c r="E27" i="35"/>
  <c r="F27" i="35" s="1"/>
  <c r="E28" i="35"/>
  <c r="F28" i="35" s="1"/>
  <c r="E29" i="35"/>
  <c r="F29" i="35" s="1"/>
  <c r="E30" i="35"/>
  <c r="F30" i="35" s="1"/>
  <c r="AI1" i="24" a="1"/>
  <c r="AI1" i="24" s="1"/>
  <c r="AH1" i="24" a="1"/>
  <c r="AH1" i="24" s="1"/>
  <c r="AG1" i="24" a="1"/>
  <c r="AG1" i="24" s="1"/>
  <c r="AF1" i="24" a="1"/>
  <c r="AF1" i="24" s="1"/>
  <c r="AE1" i="24" a="1"/>
  <c r="AE1" i="24" s="1"/>
  <c r="AD1" i="24" a="1"/>
  <c r="AD1" i="24" s="1"/>
  <c r="AC1" i="24" a="1"/>
  <c r="AC1" i="24" s="1"/>
  <c r="AB1" i="24" a="1"/>
  <c r="AB1" i="24" s="1"/>
  <c r="AA1" i="24" a="1"/>
  <c r="AA1" i="24" s="1"/>
  <c r="Z1" i="24" a="1"/>
  <c r="Z1" i="24" s="1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60" i="6"/>
  <c r="D14" i="10"/>
  <c r="D89" i="10" s="1"/>
  <c r="Q22" i="10"/>
  <c r="Q21" i="10"/>
  <c r="Q20" i="10"/>
  <c r="R14" i="10"/>
  <c r="R46" i="10"/>
  <c r="R121" i="10" s="1"/>
  <c r="J22" i="10"/>
  <c r="J21" i="10"/>
  <c r="J20" i="10"/>
  <c r="K14" i="10"/>
  <c r="K46" i="10"/>
  <c r="K121" i="10" s="1"/>
  <c r="C22" i="10"/>
  <c r="C21" i="10"/>
  <c r="C20" i="10"/>
  <c r="D46" i="10"/>
  <c r="D121" i="10" s="1"/>
  <c r="A7" i="6" a="1"/>
  <c r="E94" i="6" s="1"/>
  <c r="F94" i="6" s="1"/>
  <c r="N260" i="6" s="1"/>
  <c r="H46" i="34"/>
  <c r="J46" i="34" s="1"/>
  <c r="H44" i="34"/>
  <c r="J44" i="34" s="1"/>
  <c r="I15" i="34"/>
  <c r="J15" i="34" s="1"/>
  <c r="I16" i="34"/>
  <c r="I17" i="34"/>
  <c r="J17" i="34" s="1"/>
  <c r="I18" i="34"/>
  <c r="J18" i="34" s="1"/>
  <c r="I19" i="34"/>
  <c r="I20" i="34"/>
  <c r="I21" i="34"/>
  <c r="I22" i="34"/>
  <c r="I23" i="34"/>
  <c r="I24" i="34"/>
  <c r="I25" i="34"/>
  <c r="I26" i="34"/>
  <c r="I27" i="34"/>
  <c r="J27" i="34" s="1"/>
  <c r="I28" i="34"/>
  <c r="J28" i="34" s="1"/>
  <c r="I29" i="34"/>
  <c r="I30" i="34"/>
  <c r="I31" i="34"/>
  <c r="I32" i="34"/>
  <c r="I33" i="34"/>
  <c r="I34" i="34"/>
  <c r="I35" i="34"/>
  <c r="I36" i="34"/>
  <c r="I37" i="34"/>
  <c r="I38" i="34"/>
  <c r="I39" i="34"/>
  <c r="I40" i="34"/>
  <c r="I41" i="34"/>
  <c r="I42" i="34"/>
  <c r="I43" i="34"/>
  <c r="I44" i="34"/>
  <c r="I45" i="34"/>
  <c r="I46" i="34"/>
  <c r="I47" i="34"/>
  <c r="I48" i="34"/>
  <c r="I49" i="34"/>
  <c r="I50" i="34"/>
  <c r="I51" i="34"/>
  <c r="I52" i="34"/>
  <c r="I53" i="34"/>
  <c r="J53" i="34" s="1"/>
  <c r="I54" i="34"/>
  <c r="J54" i="34" s="1"/>
  <c r="I55" i="34"/>
  <c r="J55" i="34" s="1"/>
  <c r="I56" i="34"/>
  <c r="J56" i="34" s="1"/>
  <c r="I57" i="34"/>
  <c r="J57" i="34" s="1"/>
  <c r="I58" i="34"/>
  <c r="I59" i="34"/>
  <c r="J59" i="34" s="1"/>
  <c r="I60" i="34"/>
  <c r="J60" i="34" s="1"/>
  <c r="I61" i="34"/>
  <c r="J61" i="34" s="1"/>
  <c r="I62" i="34"/>
  <c r="I63" i="34"/>
  <c r="J63" i="34" s="1"/>
  <c r="I64" i="34"/>
  <c r="J64" i="34" s="1"/>
  <c r="I65" i="34"/>
  <c r="J65" i="34" s="1"/>
  <c r="I66" i="34"/>
  <c r="I67" i="34"/>
  <c r="J67" i="34" s="1"/>
  <c r="I68" i="34"/>
  <c r="J68" i="34" s="1"/>
  <c r="I69" i="34"/>
  <c r="J69" i="34" s="1"/>
  <c r="I70" i="34"/>
  <c r="I71" i="34"/>
  <c r="I72" i="34"/>
  <c r="J72" i="34" s="1"/>
  <c r="I73" i="34"/>
  <c r="J73" i="34" s="1"/>
  <c r="I74" i="34"/>
  <c r="J74" i="34" s="1"/>
  <c r="I75" i="34"/>
  <c r="J75" i="34" s="1"/>
  <c r="I76" i="34"/>
  <c r="J76" i="34" s="1"/>
  <c r="I77" i="34"/>
  <c r="J77" i="34" s="1"/>
  <c r="I78" i="34"/>
  <c r="J78" i="34" s="1"/>
  <c r="I79" i="34"/>
  <c r="J79" i="34" s="1"/>
  <c r="I80" i="34"/>
  <c r="J80" i="34" s="1"/>
  <c r="I81" i="34"/>
  <c r="J81" i="34" s="1"/>
  <c r="I82" i="34"/>
  <c r="J82" i="34" s="1"/>
  <c r="I83" i="34"/>
  <c r="J83" i="34" s="1"/>
  <c r="I84" i="34"/>
  <c r="J84" i="34" s="1"/>
  <c r="I85" i="34"/>
  <c r="J85" i="34" s="1"/>
  <c r="I86" i="34"/>
  <c r="J86" i="34" s="1"/>
  <c r="I87" i="34"/>
  <c r="J87" i="34" s="1"/>
  <c r="I88" i="34"/>
  <c r="J88" i="34" s="1"/>
  <c r="I89" i="34"/>
  <c r="I90" i="34"/>
  <c r="J90" i="34" s="1"/>
  <c r="I91" i="34"/>
  <c r="J91" i="34" s="1"/>
  <c r="I92" i="34"/>
  <c r="J92" i="34" s="1"/>
  <c r="I93" i="34"/>
  <c r="I94" i="34"/>
  <c r="J94" i="34" s="1"/>
  <c r="I95" i="34"/>
  <c r="J95" i="34" s="1"/>
  <c r="I96" i="34"/>
  <c r="J96" i="34" s="1"/>
  <c r="I97" i="34"/>
  <c r="I98" i="34"/>
  <c r="J98" i="34" s="1"/>
  <c r="I99" i="34"/>
  <c r="J99" i="34" s="1"/>
  <c r="I100" i="34"/>
  <c r="J100" i="34" s="1"/>
  <c r="I101" i="34"/>
  <c r="I102" i="34"/>
  <c r="J102" i="34" s="1"/>
  <c r="I103" i="34"/>
  <c r="J103" i="34" s="1"/>
  <c r="I104" i="34"/>
  <c r="J104" i="34" s="1"/>
  <c r="I105" i="34"/>
  <c r="I106" i="34"/>
  <c r="J106" i="34" s="1"/>
  <c r="I107" i="34"/>
  <c r="J107" i="34" s="1"/>
  <c r="I108" i="34"/>
  <c r="J108" i="34" s="1"/>
  <c r="I109" i="34"/>
  <c r="I110" i="34"/>
  <c r="J110" i="34" s="1"/>
  <c r="I111" i="34"/>
  <c r="J111" i="34" s="1"/>
  <c r="I112" i="34"/>
  <c r="I113" i="34"/>
  <c r="J113" i="34" s="1"/>
  <c r="I114" i="34"/>
  <c r="J114" i="34" s="1"/>
  <c r="I115" i="34"/>
  <c r="J115" i="34" s="1"/>
  <c r="I116" i="34"/>
  <c r="J116" i="34" s="1"/>
  <c r="I117" i="34"/>
  <c r="J117" i="34" s="1"/>
  <c r="I118" i="34"/>
  <c r="J118" i="34" s="1"/>
  <c r="I119" i="34"/>
  <c r="J119" i="34" s="1"/>
  <c r="I120" i="34"/>
  <c r="J120" i="34" s="1"/>
  <c r="I121" i="34"/>
  <c r="J121" i="34" s="1"/>
  <c r="I122" i="34"/>
  <c r="J122" i="34" s="1"/>
  <c r="I123" i="34"/>
  <c r="J123" i="34" s="1"/>
  <c r="I124" i="34"/>
  <c r="J124" i="34" s="1"/>
  <c r="I125" i="34"/>
  <c r="J125" i="34" s="1"/>
  <c r="I126" i="34"/>
  <c r="J126" i="34" s="1"/>
  <c r="I127" i="34"/>
  <c r="I128" i="34"/>
  <c r="I129" i="34"/>
  <c r="I130" i="34"/>
  <c r="I131" i="34"/>
  <c r="I132" i="34"/>
  <c r="I133" i="34"/>
  <c r="I134" i="34"/>
  <c r="I135" i="34"/>
  <c r="I136" i="34"/>
  <c r="I137" i="34"/>
  <c r="I138" i="34"/>
  <c r="I139" i="34"/>
  <c r="I140" i="34"/>
  <c r="I141" i="34"/>
  <c r="I142" i="34"/>
  <c r="I143" i="34"/>
  <c r="I144" i="34"/>
  <c r="I14" i="34"/>
  <c r="J14" i="34" s="1"/>
  <c r="G43" i="34"/>
  <c r="G42" i="34"/>
  <c r="G41" i="34"/>
  <c r="G40" i="34"/>
  <c r="G39" i="34"/>
  <c r="J112" i="34"/>
  <c r="J16" i="34"/>
  <c r="J19" i="34"/>
  <c r="J20" i="34"/>
  <c r="J21" i="34"/>
  <c r="J22" i="34"/>
  <c r="J23" i="34"/>
  <c r="J24" i="34"/>
  <c r="J25" i="34"/>
  <c r="J26" i="34"/>
  <c r="J29" i="34"/>
  <c r="J30" i="34"/>
  <c r="J31" i="34"/>
  <c r="J32" i="34"/>
  <c r="J33" i="34"/>
  <c r="J34" i="34"/>
  <c r="J35" i="34"/>
  <c r="J36" i="34"/>
  <c r="J37" i="34"/>
  <c r="J38" i="34"/>
  <c r="J45" i="34"/>
  <c r="J47" i="34"/>
  <c r="J48" i="34"/>
  <c r="J49" i="34"/>
  <c r="J50" i="34"/>
  <c r="J51" i="34"/>
  <c r="J52" i="34"/>
  <c r="S8" i="10"/>
  <c r="K44" i="10"/>
  <c r="C146" i="10"/>
  <c r="B135" i="10"/>
  <c r="E135" i="10" s="1"/>
  <c r="B136" i="10"/>
  <c r="E136" i="10" s="1"/>
  <c r="B137" i="10"/>
  <c r="E137" i="10" s="1"/>
  <c r="B138" i="10"/>
  <c r="E138" i="10" s="1"/>
  <c r="B139" i="10"/>
  <c r="E139" i="10" s="1"/>
  <c r="B140" i="10"/>
  <c r="E140" i="10" s="1"/>
  <c r="B141" i="10"/>
  <c r="E141" i="10" s="1"/>
  <c r="B142" i="10"/>
  <c r="E142" i="10" s="1"/>
  <c r="B143" i="10"/>
  <c r="E143" i="10" s="1"/>
  <c r="B144" i="10"/>
  <c r="E144" i="10" s="1"/>
  <c r="B145" i="10"/>
  <c r="E145" i="10" s="1"/>
  <c r="B146" i="10"/>
  <c r="E146" i="10" s="1"/>
  <c r="I140" i="10"/>
  <c r="L140" i="10" s="1"/>
  <c r="C102" i="10"/>
  <c r="B94" i="10"/>
  <c r="B95" i="10"/>
  <c r="B96" i="10"/>
  <c r="B97" i="10"/>
  <c r="B98" i="10"/>
  <c r="B99" i="10"/>
  <c r="B100" i="10"/>
  <c r="B101" i="10"/>
  <c r="B102" i="10"/>
  <c r="B93" i="10"/>
  <c r="B134" i="10"/>
  <c r="E134" i="10" s="1"/>
  <c r="I134" i="10"/>
  <c r="L134" i="10" s="1"/>
  <c r="C63" i="10"/>
  <c r="C64" i="10"/>
  <c r="C139" i="10" s="1"/>
  <c r="C59" i="10"/>
  <c r="C134" i="10" s="1"/>
  <c r="C61" i="10"/>
  <c r="C136" i="10" s="1"/>
  <c r="C62" i="10"/>
  <c r="B4" i="10"/>
  <c r="I4" i="10"/>
  <c r="P4" i="10"/>
  <c r="C26" i="10"/>
  <c r="C101" i="10" s="1"/>
  <c r="J26" i="10"/>
  <c r="C25" i="10"/>
  <c r="C100" i="10" s="1"/>
  <c r="J25" i="10"/>
  <c r="J100" i="10" s="1"/>
  <c r="C24" i="10"/>
  <c r="C99" i="10" s="1"/>
  <c r="J24" i="10"/>
  <c r="J99" i="10" s="1"/>
  <c r="I135" i="10"/>
  <c r="L135" i="10" s="1"/>
  <c r="I136" i="10"/>
  <c r="L136" i="10" s="1"/>
  <c r="I137" i="10"/>
  <c r="L137" i="10" s="1"/>
  <c r="I138" i="10"/>
  <c r="L138" i="10" s="1"/>
  <c r="I139" i="10"/>
  <c r="L139" i="10" s="1"/>
  <c r="I141" i="10"/>
  <c r="L141" i="10" s="1"/>
  <c r="I142" i="10"/>
  <c r="L142" i="10" s="1"/>
  <c r="I143" i="10"/>
  <c r="L143" i="10" s="1"/>
  <c r="I144" i="10"/>
  <c r="L144" i="10" s="1"/>
  <c r="I145" i="10"/>
  <c r="L145" i="10" s="1"/>
  <c r="I146" i="10"/>
  <c r="L146" i="10" s="1"/>
  <c r="K102" i="10"/>
  <c r="J102" i="10"/>
  <c r="I100" i="10"/>
  <c r="I101" i="10"/>
  <c r="I102" i="10"/>
  <c r="I99" i="10"/>
  <c r="Q59" i="10"/>
  <c r="Q134" i="10" s="1"/>
  <c r="Q26" i="10"/>
  <c r="Q101" i="10" s="1"/>
  <c r="Q25" i="10"/>
  <c r="Q100" i="10" s="1"/>
  <c r="P102" i="10"/>
  <c r="Q102" i="10"/>
  <c r="Q62" i="10"/>
  <c r="Q137" i="10" s="1"/>
  <c r="Q61" i="10"/>
  <c r="Q136" i="10" s="1"/>
  <c r="Q60" i="10"/>
  <c r="Q135" i="10" s="1"/>
  <c r="P135" i="10"/>
  <c r="S135" i="10" s="1"/>
  <c r="P136" i="10"/>
  <c r="S136" i="10" s="1"/>
  <c r="P137" i="10"/>
  <c r="S137" i="10" s="1"/>
  <c r="P138" i="10"/>
  <c r="S138" i="10" s="1"/>
  <c r="P139" i="10"/>
  <c r="S139" i="10" s="1"/>
  <c r="P140" i="10"/>
  <c r="S140" i="10" s="1"/>
  <c r="P141" i="10"/>
  <c r="S141" i="10" s="1"/>
  <c r="P142" i="10"/>
  <c r="S142" i="10" s="1"/>
  <c r="P143" i="10"/>
  <c r="S143" i="10" s="1"/>
  <c r="P144" i="10"/>
  <c r="S144" i="10" s="1"/>
  <c r="P145" i="10"/>
  <c r="S145" i="10" s="1"/>
  <c r="P146" i="10"/>
  <c r="S146" i="10" s="1"/>
  <c r="P134" i="10"/>
  <c r="S134" i="10" s="1"/>
  <c r="Q63" i="10"/>
  <c r="Q138" i="10" s="1"/>
  <c r="Q64" i="10"/>
  <c r="Q139" i="10" s="1"/>
  <c r="P101" i="10"/>
  <c r="P100" i="10"/>
  <c r="P99" i="10"/>
  <c r="Z1" i="19" a="1"/>
  <c r="Z1" i="19" s="1"/>
  <c r="H53" i="8"/>
  <c r="H50" i="8"/>
  <c r="Y23" i="8"/>
  <c r="W23" i="8"/>
  <c r="F219" i="6" l="1"/>
  <c r="F218" i="6"/>
  <c r="F217" i="6"/>
  <c r="F216" i="6"/>
  <c r="F215" i="6"/>
  <c r="F197" i="6"/>
  <c r="F213" i="6"/>
  <c r="F207" i="6"/>
  <c r="F184" i="6"/>
  <c r="F198" i="6"/>
  <c r="F201" i="6"/>
  <c r="F214" i="6"/>
  <c r="F212" i="6"/>
  <c r="F211" i="6"/>
  <c r="F210" i="6"/>
  <c r="F209" i="6"/>
  <c r="F208" i="6"/>
  <c r="F206" i="6"/>
  <c r="F205" i="6"/>
  <c r="F204" i="6"/>
  <c r="F203" i="6"/>
  <c r="F202" i="6"/>
  <c r="F200" i="6"/>
  <c r="F199" i="6"/>
  <c r="F196" i="6"/>
  <c r="F195" i="6"/>
  <c r="F194" i="6"/>
  <c r="F193" i="6"/>
  <c r="F185" i="6"/>
  <c r="F192" i="6"/>
  <c r="F191" i="6"/>
  <c r="F190" i="6"/>
  <c r="F189" i="6"/>
  <c r="F188" i="6"/>
  <c r="F187" i="6"/>
  <c r="F186" i="6"/>
  <c r="F183" i="6"/>
  <c r="F182" i="6"/>
  <c r="F181" i="6"/>
  <c r="F180" i="6"/>
  <c r="F179" i="6"/>
  <c r="F178" i="6"/>
  <c r="F145" i="6"/>
  <c r="F173" i="6"/>
  <c r="F139" i="6"/>
  <c r="F153" i="6"/>
  <c r="F160" i="6"/>
  <c r="F172" i="6"/>
  <c r="F177" i="6"/>
  <c r="F176" i="6"/>
  <c r="F175" i="6"/>
  <c r="F174" i="6"/>
  <c r="F171" i="6"/>
  <c r="F170" i="6"/>
  <c r="F169" i="6"/>
  <c r="F168" i="6"/>
  <c r="F167" i="6"/>
  <c r="F166" i="6"/>
  <c r="F165" i="6"/>
  <c r="F164" i="6"/>
  <c r="F163" i="6"/>
  <c r="F162" i="6"/>
  <c r="F161" i="6"/>
  <c r="F159" i="6"/>
  <c r="F158" i="6"/>
  <c r="F138" i="6"/>
  <c r="F141" i="6"/>
  <c r="F144" i="6"/>
  <c r="F146" i="6"/>
  <c r="F149" i="6"/>
  <c r="F152" i="6"/>
  <c r="F154" i="6"/>
  <c r="F157" i="6"/>
  <c r="F156" i="6"/>
  <c r="F155" i="6"/>
  <c r="F151" i="6"/>
  <c r="F150" i="6"/>
  <c r="F148" i="6"/>
  <c r="F147" i="6"/>
  <c r="F143" i="6"/>
  <c r="F142" i="6"/>
  <c r="F140" i="6"/>
  <c r="F137" i="6"/>
  <c r="F136" i="6"/>
  <c r="F135" i="6"/>
  <c r="F134" i="6"/>
  <c r="F133" i="6"/>
  <c r="F132" i="6"/>
  <c r="F131" i="6"/>
  <c r="F130" i="6"/>
  <c r="F129" i="6"/>
  <c r="F128" i="6"/>
  <c r="F127" i="6"/>
  <c r="G124" i="6"/>
  <c r="F126" i="6"/>
  <c r="F125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46" i="10"/>
  <c r="F109" i="6"/>
  <c r="F108" i="6"/>
  <c r="F107" i="6"/>
  <c r="F106" i="6"/>
  <c r="F105" i="6"/>
  <c r="F104" i="6"/>
  <c r="F103" i="6"/>
  <c r="F102" i="6"/>
  <c r="F101" i="6"/>
  <c r="N267" i="6" s="1"/>
  <c r="F100" i="6"/>
  <c r="F99" i="6"/>
  <c r="N265" i="6" s="1"/>
  <c r="R66" i="32"/>
  <c r="R68" i="32" s="1"/>
  <c r="F108" i="32" s="1"/>
  <c r="M145" i="10"/>
  <c r="T145" i="10"/>
  <c r="M144" i="10"/>
  <c r="M142" i="10"/>
  <c r="T71" i="10"/>
  <c r="F145" i="10"/>
  <c r="F141" i="10"/>
  <c r="M141" i="10"/>
  <c r="M143" i="10"/>
  <c r="T146" i="10"/>
  <c r="M140" i="10"/>
  <c r="G94" i="6"/>
  <c r="N160" i="6"/>
  <c r="E98" i="6"/>
  <c r="E97" i="6"/>
  <c r="E96" i="6"/>
  <c r="E95" i="6"/>
  <c r="E26" i="6"/>
  <c r="E28" i="6"/>
  <c r="E27" i="6"/>
  <c r="Q141" i="10"/>
  <c r="T141" i="10" s="1"/>
  <c r="Q142" i="10"/>
  <c r="T142" i="10" s="1"/>
  <c r="Q143" i="10"/>
  <c r="T143" i="10" s="1"/>
  <c r="D64" i="38"/>
  <c r="Q144" i="10"/>
  <c r="T144" i="10" s="1"/>
  <c r="Q140" i="10"/>
  <c r="T140" i="10" s="1"/>
  <c r="D65" i="35"/>
  <c r="M71" i="10"/>
  <c r="J146" i="10"/>
  <c r="M146" i="10" s="1"/>
  <c r="F142" i="10"/>
  <c r="C144" i="10"/>
  <c r="F144" i="10" s="1"/>
  <c r="C140" i="10"/>
  <c r="F140" i="10" s="1"/>
  <c r="C143" i="10"/>
  <c r="F143" i="10" s="1"/>
  <c r="F136" i="10"/>
  <c r="R54" i="32"/>
  <c r="R56" i="32" s="1"/>
  <c r="F105" i="32" s="1"/>
  <c r="F74" i="32"/>
  <c r="F76" i="32" s="1"/>
  <c r="F103" i="32" s="1"/>
  <c r="L77" i="32"/>
  <c r="L79" i="32" s="1"/>
  <c r="F107" i="32" s="1"/>
  <c r="F91" i="32"/>
  <c r="F93" i="32" s="1"/>
  <c r="F106" i="32" s="1"/>
  <c r="L62" i="32"/>
  <c r="L64" i="32" s="1"/>
  <c r="F104" i="32" s="1"/>
  <c r="F134" i="10"/>
  <c r="F139" i="10"/>
  <c r="T138" i="10"/>
  <c r="F27" i="29"/>
  <c r="G27" i="29" s="1"/>
  <c r="F31" i="29"/>
  <c r="G31" i="29" s="1"/>
  <c r="F21" i="29"/>
  <c r="G21" i="29" s="1"/>
  <c r="F25" i="29"/>
  <c r="G25" i="29" s="1"/>
  <c r="F23" i="29"/>
  <c r="G23" i="29" s="1"/>
  <c r="F24" i="29"/>
  <c r="G24" i="29" s="1"/>
  <c r="F29" i="29"/>
  <c r="G29" i="29" s="1"/>
  <c r="F22" i="29"/>
  <c r="G22" i="29" s="1"/>
  <c r="F28" i="29"/>
  <c r="G28" i="29" s="1"/>
  <c r="F19" i="29"/>
  <c r="G19" i="29" s="1"/>
  <c r="F20" i="29"/>
  <c r="G20" i="29" s="1"/>
  <c r="F26" i="29"/>
  <c r="G26" i="29" s="1"/>
  <c r="A7" i="6"/>
  <c r="D14" i="54" s="1"/>
  <c r="E14" i="54" s="1"/>
  <c r="E8" i="6"/>
  <c r="E12" i="6"/>
  <c r="E20" i="6"/>
  <c r="E24" i="6"/>
  <c r="E32" i="6"/>
  <c r="E36" i="6"/>
  <c r="E40" i="6"/>
  <c r="E44" i="6"/>
  <c r="E48" i="6"/>
  <c r="E52" i="6"/>
  <c r="E56" i="6"/>
  <c r="E60" i="6"/>
  <c r="E64" i="6"/>
  <c r="E68" i="6"/>
  <c r="E72" i="6"/>
  <c r="E76" i="6"/>
  <c r="E84" i="6"/>
  <c r="E88" i="6"/>
  <c r="E92" i="6"/>
  <c r="E9" i="6"/>
  <c r="E13" i="6"/>
  <c r="E17" i="6"/>
  <c r="E21" i="6"/>
  <c r="E33" i="6"/>
  <c r="E37" i="6"/>
  <c r="E41" i="6"/>
  <c r="E45" i="6"/>
  <c r="E49" i="6"/>
  <c r="E53" i="6"/>
  <c r="E57" i="6"/>
  <c r="E61" i="6"/>
  <c r="E65" i="6"/>
  <c r="E69" i="6"/>
  <c r="E89" i="6"/>
  <c r="E86" i="6"/>
  <c r="E78" i="6"/>
  <c r="E62" i="6"/>
  <c r="E54" i="6"/>
  <c r="E46" i="6"/>
  <c r="E38" i="6"/>
  <c r="E30" i="6"/>
  <c r="E22" i="6"/>
  <c r="E14" i="6"/>
  <c r="E91" i="6"/>
  <c r="E83" i="6"/>
  <c r="E75" i="6"/>
  <c r="E59" i="6"/>
  <c r="E51" i="6"/>
  <c r="E35" i="6"/>
  <c r="E19" i="6"/>
  <c r="E11" i="6"/>
  <c r="E90" i="6"/>
  <c r="E82" i="6"/>
  <c r="E74" i="6"/>
  <c r="E66" i="6"/>
  <c r="E58" i="6"/>
  <c r="E50" i="6"/>
  <c r="E42" i="6"/>
  <c r="E34" i="6"/>
  <c r="E10" i="6"/>
  <c r="E87" i="6"/>
  <c r="E79" i="6"/>
  <c r="E71" i="6"/>
  <c r="E63" i="6"/>
  <c r="E55" i="6"/>
  <c r="E31" i="6"/>
  <c r="E23" i="6"/>
  <c r="E15" i="6"/>
  <c r="J41" i="34"/>
  <c r="J39" i="34"/>
  <c r="J43" i="34"/>
  <c r="E25" i="6" s="1"/>
  <c r="J109" i="34"/>
  <c r="E85" i="6" s="1"/>
  <c r="J105" i="34"/>
  <c r="E81" i="6" s="1"/>
  <c r="J101" i="34"/>
  <c r="E77" i="6" s="1"/>
  <c r="J97" i="34"/>
  <c r="E73" i="6" s="1"/>
  <c r="J93" i="34"/>
  <c r="E70" i="6" s="1"/>
  <c r="J89" i="34"/>
  <c r="E67" i="6" s="1"/>
  <c r="J70" i="34"/>
  <c r="J66" i="34"/>
  <c r="E47" i="6" s="1"/>
  <c r="J62" i="34"/>
  <c r="J58" i="34"/>
  <c r="J42" i="34"/>
  <c r="J40" i="34"/>
  <c r="C138" i="10"/>
  <c r="F138" i="10" s="1"/>
  <c r="C137" i="10"/>
  <c r="F137" i="10" s="1"/>
  <c r="C135" i="10"/>
  <c r="F135" i="10" s="1"/>
  <c r="T136" i="10"/>
  <c r="T137" i="10"/>
  <c r="T135" i="10"/>
  <c r="T134" i="10"/>
  <c r="M134" i="10"/>
  <c r="M136" i="10"/>
  <c r="M139" i="10"/>
  <c r="M135" i="10"/>
  <c r="M138" i="10"/>
  <c r="M137" i="10"/>
  <c r="J101" i="10"/>
  <c r="T139" i="10"/>
  <c r="Z23" i="8"/>
  <c r="E49" i="8" s="1"/>
  <c r="R44" i="10"/>
  <c r="H43" i="8"/>
  <c r="H44" i="8"/>
  <c r="H46" i="8"/>
  <c r="H47" i="8"/>
  <c r="H48" i="8"/>
  <c r="H42" i="8"/>
  <c r="D123" i="10" s="1"/>
  <c r="D27" i="54" l="1"/>
  <c r="E27" i="54" s="1"/>
  <c r="D26" i="54"/>
  <c r="E26" i="54" s="1"/>
  <c r="D28" i="54"/>
  <c r="E28" i="54" s="1"/>
  <c r="D33" i="54"/>
  <c r="E33" i="54" s="1"/>
  <c r="D34" i="54"/>
  <c r="E34" i="54" s="1"/>
  <c r="D35" i="54"/>
  <c r="E35" i="54" s="1"/>
  <c r="D36" i="54"/>
  <c r="E36" i="54" s="1"/>
  <c r="D37" i="54"/>
  <c r="E37" i="54" s="1"/>
  <c r="D11" i="54"/>
  <c r="E11" i="54" s="1"/>
  <c r="D12" i="54"/>
  <c r="E12" i="54" s="1"/>
  <c r="D13" i="54"/>
  <c r="E13" i="54" s="1"/>
  <c r="D9" i="54"/>
  <c r="E9" i="54" s="1"/>
  <c r="D18" i="54"/>
  <c r="E18" i="54" s="1"/>
  <c r="D19" i="54"/>
  <c r="E19" i="54" s="1"/>
  <c r="D20" i="54"/>
  <c r="E20" i="54" s="1"/>
  <c r="D10" i="54"/>
  <c r="E10" i="54" s="1"/>
  <c r="L66" i="10"/>
  <c r="M66" i="10" s="1"/>
  <c r="S66" i="10"/>
  <c r="T66" i="10" s="1"/>
  <c r="E66" i="10"/>
  <c r="F66" i="10" s="1"/>
  <c r="S68" i="10"/>
  <c r="T68" i="10" s="1"/>
  <c r="E68" i="10"/>
  <c r="F68" i="10" s="1"/>
  <c r="L68" i="10"/>
  <c r="M68" i="10" s="1"/>
  <c r="D30" i="54"/>
  <c r="E30" i="54" s="1"/>
  <c r="D15" i="54"/>
  <c r="E15" i="54" s="1"/>
  <c r="D31" i="54"/>
  <c r="E31" i="54" s="1"/>
  <c r="D16" i="54"/>
  <c r="E16" i="54" s="1"/>
  <c r="D32" i="54"/>
  <c r="E32" i="54" s="1"/>
  <c r="D29" i="54"/>
  <c r="E29" i="54" s="1"/>
  <c r="D21" i="54"/>
  <c r="E21" i="54" s="1"/>
  <c r="D25" i="54"/>
  <c r="E25" i="54" s="1"/>
  <c r="L65" i="10"/>
  <c r="M65" i="10" s="1"/>
  <c r="S65" i="10"/>
  <c r="T65" i="10" s="1"/>
  <c r="E65" i="10"/>
  <c r="F65" i="10" s="1"/>
  <c r="R123" i="10"/>
  <c r="E67" i="10"/>
  <c r="F67" i="10" s="1"/>
  <c r="L67" i="10"/>
  <c r="M67" i="10" s="1"/>
  <c r="S67" i="10"/>
  <c r="T67" i="10" s="1"/>
  <c r="L69" i="10"/>
  <c r="M69" i="10" s="1"/>
  <c r="S69" i="10"/>
  <c r="T69" i="10" s="1"/>
  <c r="E69" i="10"/>
  <c r="F69" i="10" s="1"/>
  <c r="N266" i="6"/>
  <c r="D22" i="54"/>
  <c r="E22" i="54" s="1"/>
  <c r="D38" i="54"/>
  <c r="E38" i="54" s="1"/>
  <c r="D23" i="54"/>
  <c r="E23" i="54" s="1"/>
  <c r="D39" i="54"/>
  <c r="E39" i="54" s="1"/>
  <c r="D24" i="54"/>
  <c r="E24" i="54" s="1"/>
  <c r="D40" i="54"/>
  <c r="E40" i="54" s="1"/>
  <c r="D17" i="54"/>
  <c r="E17" i="54" s="1"/>
  <c r="K123" i="10"/>
  <c r="L70" i="10"/>
  <c r="M70" i="10" s="1"/>
  <c r="S70" i="10"/>
  <c r="T70" i="10" s="1"/>
  <c r="E70" i="10"/>
  <c r="F70" i="10" s="1"/>
  <c r="N164" i="6"/>
  <c r="F98" i="6"/>
  <c r="N264" i="6" s="1"/>
  <c r="G98" i="6"/>
  <c r="N163" i="6"/>
  <c r="G97" i="6"/>
  <c r="F97" i="6"/>
  <c r="N263" i="6" s="1"/>
  <c r="N162" i="6"/>
  <c r="G96" i="6"/>
  <c r="F96" i="6"/>
  <c r="N262" i="6" s="1"/>
  <c r="N161" i="6"/>
  <c r="F95" i="6"/>
  <c r="N261" i="6" s="1"/>
  <c r="G95" i="6"/>
  <c r="N158" i="6"/>
  <c r="G92" i="6"/>
  <c r="F92" i="6"/>
  <c r="N258" i="6" s="1"/>
  <c r="N157" i="6"/>
  <c r="F91" i="6"/>
  <c r="N257" i="6" s="1"/>
  <c r="G91" i="6"/>
  <c r="N156" i="6"/>
  <c r="F90" i="6"/>
  <c r="N256" i="6" s="1"/>
  <c r="G90" i="6"/>
  <c r="N155" i="6"/>
  <c r="G89" i="6"/>
  <c r="F89" i="6"/>
  <c r="N255" i="6" s="1"/>
  <c r="N154" i="6"/>
  <c r="G88" i="6"/>
  <c r="F88" i="6"/>
  <c r="N254" i="6" s="1"/>
  <c r="N153" i="6"/>
  <c r="F87" i="6"/>
  <c r="N253" i="6" s="1"/>
  <c r="G87" i="6"/>
  <c r="N152" i="6"/>
  <c r="F86" i="6"/>
  <c r="N252" i="6" s="1"/>
  <c r="G86" i="6"/>
  <c r="N151" i="6"/>
  <c r="G85" i="6"/>
  <c r="F85" i="6"/>
  <c r="N251" i="6" s="1"/>
  <c r="N150" i="6"/>
  <c r="F84" i="6"/>
  <c r="N250" i="6" s="1"/>
  <c r="G84" i="6"/>
  <c r="N149" i="6"/>
  <c r="F83" i="6"/>
  <c r="N249" i="6" s="1"/>
  <c r="G83" i="6"/>
  <c r="N148" i="6"/>
  <c r="F82" i="6"/>
  <c r="N248" i="6" s="1"/>
  <c r="G82" i="6"/>
  <c r="N147" i="6"/>
  <c r="G81" i="6"/>
  <c r="F81" i="6"/>
  <c r="N247" i="6" s="1"/>
  <c r="N145" i="6"/>
  <c r="F79" i="6"/>
  <c r="N245" i="6" s="1"/>
  <c r="G79" i="6"/>
  <c r="N144" i="6"/>
  <c r="F78" i="6"/>
  <c r="N244" i="6" s="1"/>
  <c r="G78" i="6"/>
  <c r="N143" i="6"/>
  <c r="G77" i="6"/>
  <c r="F77" i="6"/>
  <c r="N243" i="6" s="1"/>
  <c r="N142" i="6"/>
  <c r="G76" i="6"/>
  <c r="F76" i="6"/>
  <c r="N242" i="6" s="1"/>
  <c r="N141" i="6"/>
  <c r="F75" i="6"/>
  <c r="N241" i="6" s="1"/>
  <c r="G75" i="6"/>
  <c r="N140" i="6"/>
  <c r="F74" i="6"/>
  <c r="N240" i="6" s="1"/>
  <c r="G74" i="6"/>
  <c r="N139" i="6"/>
  <c r="G73" i="6"/>
  <c r="F73" i="6"/>
  <c r="N239" i="6" s="1"/>
  <c r="N138" i="6"/>
  <c r="G72" i="6"/>
  <c r="F72" i="6"/>
  <c r="N238" i="6" s="1"/>
  <c r="N137" i="6"/>
  <c r="F71" i="6"/>
  <c r="N237" i="6" s="1"/>
  <c r="G71" i="6"/>
  <c r="N136" i="6"/>
  <c r="F70" i="6"/>
  <c r="N236" i="6" s="1"/>
  <c r="G70" i="6"/>
  <c r="N135" i="6"/>
  <c r="G69" i="6"/>
  <c r="F69" i="6"/>
  <c r="N235" i="6" s="1"/>
  <c r="N134" i="6"/>
  <c r="G68" i="6"/>
  <c r="F68" i="6"/>
  <c r="N234" i="6" s="1"/>
  <c r="N133" i="6"/>
  <c r="F67" i="6"/>
  <c r="N233" i="6" s="1"/>
  <c r="G67" i="6"/>
  <c r="N132" i="6"/>
  <c r="F66" i="6"/>
  <c r="N232" i="6" s="1"/>
  <c r="G66" i="6"/>
  <c r="N131" i="6"/>
  <c r="G65" i="6"/>
  <c r="F65" i="6"/>
  <c r="N231" i="6" s="1"/>
  <c r="N130" i="6"/>
  <c r="G64" i="6"/>
  <c r="F64" i="6"/>
  <c r="N230" i="6" s="1"/>
  <c r="N129" i="6"/>
  <c r="F63" i="6"/>
  <c r="N229" i="6" s="1"/>
  <c r="G63" i="6"/>
  <c r="N128" i="6"/>
  <c r="F62" i="6"/>
  <c r="N228" i="6" s="1"/>
  <c r="G62" i="6"/>
  <c r="N127" i="6"/>
  <c r="G61" i="6"/>
  <c r="F61" i="6"/>
  <c r="N227" i="6" s="1"/>
  <c r="N126" i="6"/>
  <c r="G60" i="6"/>
  <c r="F60" i="6"/>
  <c r="N226" i="6" s="1"/>
  <c r="N125" i="6"/>
  <c r="F59" i="6"/>
  <c r="N225" i="6" s="1"/>
  <c r="G59" i="6"/>
  <c r="N124" i="6"/>
  <c r="F58" i="6"/>
  <c r="N224" i="6" s="1"/>
  <c r="G58" i="6"/>
  <c r="N123" i="6"/>
  <c r="G57" i="6"/>
  <c r="F57" i="6"/>
  <c r="N223" i="6" s="1"/>
  <c r="N122" i="6"/>
  <c r="G56" i="6"/>
  <c r="F56" i="6"/>
  <c r="N222" i="6" s="1"/>
  <c r="N121" i="6"/>
  <c r="F55" i="6"/>
  <c r="N221" i="6" s="1"/>
  <c r="G55" i="6"/>
  <c r="N120" i="6"/>
  <c r="F54" i="6"/>
  <c r="N220" i="6" s="1"/>
  <c r="G54" i="6"/>
  <c r="N119" i="6"/>
  <c r="G53" i="6"/>
  <c r="F53" i="6"/>
  <c r="N219" i="6" s="1"/>
  <c r="N118" i="6"/>
  <c r="G52" i="6"/>
  <c r="F52" i="6"/>
  <c r="N218" i="6" s="1"/>
  <c r="N117" i="6"/>
  <c r="G51" i="6"/>
  <c r="F51" i="6"/>
  <c r="N217" i="6" s="1"/>
  <c r="N116" i="6"/>
  <c r="F50" i="6"/>
  <c r="N216" i="6" s="1"/>
  <c r="G50" i="6"/>
  <c r="N115" i="6"/>
  <c r="G49" i="6"/>
  <c r="F49" i="6"/>
  <c r="N215" i="6" s="1"/>
  <c r="N114" i="6"/>
  <c r="G48" i="6"/>
  <c r="F48" i="6"/>
  <c r="N214" i="6" s="1"/>
  <c r="N113" i="6"/>
  <c r="W122" i="6" s="1"/>
  <c r="F47" i="6"/>
  <c r="N213" i="6" s="1"/>
  <c r="G47" i="6"/>
  <c r="N112" i="6"/>
  <c r="F46" i="6"/>
  <c r="N212" i="6" s="1"/>
  <c r="G46" i="6"/>
  <c r="N111" i="6"/>
  <c r="G45" i="6"/>
  <c r="F45" i="6"/>
  <c r="N211" i="6" s="1"/>
  <c r="N110" i="6"/>
  <c r="F44" i="6"/>
  <c r="N210" i="6" s="1"/>
  <c r="G44" i="6"/>
  <c r="N108" i="6"/>
  <c r="F42" i="6"/>
  <c r="N208" i="6" s="1"/>
  <c r="G42" i="6"/>
  <c r="N107" i="6"/>
  <c r="G41" i="6"/>
  <c r="F41" i="6"/>
  <c r="N207" i="6" s="1"/>
  <c r="N106" i="6"/>
  <c r="G40" i="6"/>
  <c r="F40" i="6"/>
  <c r="N206" i="6" s="1"/>
  <c r="N104" i="6"/>
  <c r="F38" i="6"/>
  <c r="N204" i="6" s="1"/>
  <c r="G38" i="6"/>
  <c r="N103" i="6"/>
  <c r="G37" i="6"/>
  <c r="F37" i="6"/>
  <c r="N203" i="6" s="1"/>
  <c r="N102" i="6"/>
  <c r="G36" i="6"/>
  <c r="F36" i="6"/>
  <c r="N202" i="6" s="1"/>
  <c r="N101" i="6"/>
  <c r="F35" i="6"/>
  <c r="N201" i="6" s="1"/>
  <c r="G35" i="6"/>
  <c r="N100" i="6"/>
  <c r="F34" i="6"/>
  <c r="N200" i="6" s="1"/>
  <c r="G34" i="6"/>
  <c r="N99" i="6"/>
  <c r="G33" i="6"/>
  <c r="F33" i="6"/>
  <c r="N199" i="6" s="1"/>
  <c r="N98" i="6"/>
  <c r="G32" i="6"/>
  <c r="F32" i="6"/>
  <c r="N198" i="6" s="1"/>
  <c r="N97" i="6"/>
  <c r="F31" i="6"/>
  <c r="N197" i="6" s="1"/>
  <c r="G31" i="6"/>
  <c r="N96" i="6"/>
  <c r="F30" i="6"/>
  <c r="N196" i="6" s="1"/>
  <c r="G30" i="6"/>
  <c r="N94" i="6"/>
  <c r="F28" i="6"/>
  <c r="N194" i="6" s="1"/>
  <c r="G28" i="6"/>
  <c r="N93" i="6"/>
  <c r="F27" i="6"/>
  <c r="N193" i="6" s="1"/>
  <c r="G27" i="6"/>
  <c r="N92" i="6"/>
  <c r="F26" i="6"/>
  <c r="N192" i="6" s="1"/>
  <c r="G26" i="6"/>
  <c r="N91" i="6"/>
  <c r="F25" i="6"/>
  <c r="N191" i="6" s="1"/>
  <c r="G25" i="6"/>
  <c r="N90" i="6"/>
  <c r="G24" i="6"/>
  <c r="F24" i="6"/>
  <c r="N190" i="6" s="1"/>
  <c r="N89" i="6"/>
  <c r="F23" i="6"/>
  <c r="N189" i="6" s="1"/>
  <c r="G23" i="6"/>
  <c r="N88" i="6"/>
  <c r="F22" i="6"/>
  <c r="N188" i="6" s="1"/>
  <c r="G22" i="6"/>
  <c r="N87" i="6"/>
  <c r="G21" i="6"/>
  <c r="F21" i="6"/>
  <c r="N187" i="6" s="1"/>
  <c r="N86" i="6"/>
  <c r="G20" i="6"/>
  <c r="F20" i="6"/>
  <c r="N186" i="6" s="1"/>
  <c r="N85" i="6"/>
  <c r="F19" i="6"/>
  <c r="N185" i="6" s="1"/>
  <c r="G19" i="6"/>
  <c r="N83" i="6"/>
  <c r="G17" i="6"/>
  <c r="F17" i="6"/>
  <c r="N183" i="6" s="1"/>
  <c r="N81" i="6"/>
  <c r="F15" i="6"/>
  <c r="N181" i="6" s="1"/>
  <c r="G15" i="6"/>
  <c r="N80" i="6"/>
  <c r="F14" i="6"/>
  <c r="N180" i="6" s="1"/>
  <c r="G14" i="6"/>
  <c r="N79" i="6"/>
  <c r="G13" i="6"/>
  <c r="F13" i="6"/>
  <c r="N179" i="6" s="1"/>
  <c r="N78" i="6"/>
  <c r="G12" i="6"/>
  <c r="F12" i="6"/>
  <c r="N178" i="6" s="1"/>
  <c r="N77" i="6"/>
  <c r="F11" i="6"/>
  <c r="N177" i="6" s="1"/>
  <c r="G11" i="6"/>
  <c r="N76" i="6"/>
  <c r="F10" i="6"/>
  <c r="N176" i="6" s="1"/>
  <c r="G10" i="6"/>
  <c r="N75" i="6"/>
  <c r="G9" i="6"/>
  <c r="F9" i="6"/>
  <c r="N175" i="6" s="1"/>
  <c r="N74" i="6"/>
  <c r="G8" i="6"/>
  <c r="F8" i="6"/>
  <c r="N174" i="6" s="1"/>
  <c r="N165" i="6"/>
  <c r="E18" i="6"/>
  <c r="E43" i="6"/>
  <c r="E29" i="6"/>
  <c r="E93" i="6"/>
  <c r="AC1" i="6" a="1"/>
  <c r="AC1" i="6" s="1"/>
  <c r="AB1" i="6" a="1"/>
  <c r="AB1" i="6" s="1"/>
  <c r="AE1" i="6" a="1"/>
  <c r="AE1" i="6" s="1"/>
  <c r="AA1" i="6" a="1"/>
  <c r="AA1" i="6" s="1"/>
  <c r="Z1" i="6" a="1"/>
  <c r="Z1" i="6" s="1"/>
  <c r="AD1" i="6" a="1"/>
  <c r="AD1" i="6" s="1"/>
  <c r="E16" i="6"/>
  <c r="E80" i="6"/>
  <c r="E39" i="6"/>
  <c r="E7" i="6"/>
  <c r="D12" i="10"/>
  <c r="K42" i="10"/>
  <c r="K119" i="10"/>
  <c r="K120" i="10" s="1"/>
  <c r="K12" i="10"/>
  <c r="K87" i="10" s="1"/>
  <c r="R12" i="10"/>
  <c r="D44" i="10"/>
  <c r="R119" i="10"/>
  <c r="R120" i="10" s="1"/>
  <c r="B387" i="11"/>
  <c r="B386" i="11"/>
  <c r="AH12" i="8"/>
  <c r="AH13" i="8"/>
  <c r="AH14" i="8"/>
  <c r="AH15" i="8"/>
  <c r="AH16" i="8"/>
  <c r="AH17" i="8"/>
  <c r="AH18" i="8"/>
  <c r="AH11" i="8"/>
  <c r="AG12" i="8"/>
  <c r="AI12" i="8" s="1"/>
  <c r="AG13" i="8"/>
  <c r="AI13" i="8" s="1"/>
  <c r="AG14" i="8"/>
  <c r="AI14" i="8" s="1"/>
  <c r="AG15" i="8"/>
  <c r="AI15" i="8" s="1"/>
  <c r="AG16" i="8"/>
  <c r="AI16" i="8" s="1"/>
  <c r="AG17" i="8"/>
  <c r="AI17" i="8" s="1"/>
  <c r="AG18" i="8"/>
  <c r="AI18" i="8" s="1"/>
  <c r="AG11" i="8"/>
  <c r="AF11" i="8"/>
  <c r="AF17" i="8"/>
  <c r="AF12" i="8"/>
  <c r="AF13" i="8"/>
  <c r="AF14" i="8"/>
  <c r="AF15" i="8"/>
  <c r="AF16" i="8"/>
  <c r="AF18" i="8"/>
  <c r="W11" i="8"/>
  <c r="Y12" i="8"/>
  <c r="Y13" i="8"/>
  <c r="Y14" i="8"/>
  <c r="Y15" i="8"/>
  <c r="Z15" i="8" s="1"/>
  <c r="Y16" i="8"/>
  <c r="Y17" i="8"/>
  <c r="Y18" i="8"/>
  <c r="Y19" i="8"/>
  <c r="Z19" i="8" s="1"/>
  <c r="Y20" i="8"/>
  <c r="Y21" i="8"/>
  <c r="Y22" i="8"/>
  <c r="Y11" i="8"/>
  <c r="W12" i="8"/>
  <c r="W13" i="8"/>
  <c r="W14" i="8"/>
  <c r="W15" i="8"/>
  <c r="W16" i="8"/>
  <c r="W17" i="8"/>
  <c r="W18" i="8"/>
  <c r="W19" i="8"/>
  <c r="W20" i="8"/>
  <c r="W21" i="8"/>
  <c r="W22" i="8"/>
  <c r="N11" i="8"/>
  <c r="P12" i="8"/>
  <c r="P13" i="8"/>
  <c r="P14" i="8"/>
  <c r="P15" i="8"/>
  <c r="P16" i="8"/>
  <c r="P17" i="8"/>
  <c r="P18" i="8"/>
  <c r="P19" i="8"/>
  <c r="P20" i="8"/>
  <c r="P21" i="8"/>
  <c r="P22" i="8"/>
  <c r="P23" i="8"/>
  <c r="P11" i="8"/>
  <c r="G11" i="8"/>
  <c r="N12" i="8"/>
  <c r="N13" i="8"/>
  <c r="N14" i="8"/>
  <c r="N15" i="8"/>
  <c r="N16" i="8"/>
  <c r="N17" i="8"/>
  <c r="N18" i="8"/>
  <c r="N19" i="8"/>
  <c r="N20" i="8"/>
  <c r="N21" i="8"/>
  <c r="N22" i="8"/>
  <c r="N23" i="8"/>
  <c r="E11" i="8"/>
  <c r="G12" i="8"/>
  <c r="H12" i="8" s="1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E7" i="31"/>
  <c r="D12" i="32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C12" i="32"/>
  <c r="C13" i="32"/>
  <c r="AI11" i="8" l="1"/>
  <c r="E42" i="54"/>
  <c r="N159" i="6"/>
  <c r="G93" i="6"/>
  <c r="F93" i="6"/>
  <c r="N259" i="6" s="1"/>
  <c r="N146" i="6"/>
  <c r="G80" i="6"/>
  <c r="F80" i="6"/>
  <c r="N246" i="6" s="1"/>
  <c r="F43" i="6"/>
  <c r="N209" i="6" s="1"/>
  <c r="G43" i="6"/>
  <c r="N105" i="6"/>
  <c r="F39" i="6"/>
  <c r="N205" i="6" s="1"/>
  <c r="G39" i="6"/>
  <c r="G29" i="6"/>
  <c r="F29" i="6"/>
  <c r="N195" i="6" s="1"/>
  <c r="N84" i="6"/>
  <c r="F18" i="6"/>
  <c r="N184" i="6" s="1"/>
  <c r="G18" i="6"/>
  <c r="N82" i="6"/>
  <c r="F16" i="6"/>
  <c r="N182" i="6" s="1"/>
  <c r="G16" i="6"/>
  <c r="F7" i="6"/>
  <c r="N173" i="6" s="1"/>
  <c r="G7" i="6"/>
  <c r="N109" i="6"/>
  <c r="N95" i="6"/>
  <c r="N73" i="6"/>
  <c r="W75" i="6" s="1"/>
  <c r="D45" i="10"/>
  <c r="Z22" i="8"/>
  <c r="Z18" i="8"/>
  <c r="Z14" i="8"/>
  <c r="Z21" i="8"/>
  <c r="Z13" i="8"/>
  <c r="Z11" i="8"/>
  <c r="H14" i="8"/>
  <c r="H23" i="8"/>
  <c r="D87" i="10"/>
  <c r="H13" i="8"/>
  <c r="H32" i="8"/>
  <c r="H28" i="8"/>
  <c r="H24" i="8"/>
  <c r="H20" i="8"/>
  <c r="H16" i="8"/>
  <c r="Q21" i="8"/>
  <c r="Q17" i="8"/>
  <c r="Q13" i="8"/>
  <c r="Q20" i="8"/>
  <c r="Q16" i="8"/>
  <c r="Q12" i="8"/>
  <c r="Z20" i="8"/>
  <c r="Z16" i="8"/>
  <c r="Z12" i="8"/>
  <c r="D119" i="10"/>
  <c r="R87" i="10"/>
  <c r="Q22" i="8"/>
  <c r="Q18" i="8"/>
  <c r="Q14" i="8"/>
  <c r="Z17" i="8"/>
  <c r="H31" i="8"/>
  <c r="H27" i="8"/>
  <c r="H19" i="8"/>
  <c r="H15" i="8"/>
  <c r="H30" i="8"/>
  <c r="H26" i="8"/>
  <c r="H22" i="8"/>
  <c r="H18" i="8"/>
  <c r="Q23" i="8"/>
  <c r="Q19" i="8"/>
  <c r="Q15" i="8"/>
  <c r="Q11" i="8"/>
  <c r="E46" i="8" s="1"/>
  <c r="H11" i="8"/>
  <c r="H29" i="8"/>
  <c r="H25" i="8"/>
  <c r="E43" i="8" s="1"/>
  <c r="H21" i="8"/>
  <c r="H17" i="8"/>
  <c r="K45" i="10" l="1"/>
  <c r="R45" i="10"/>
  <c r="D120" i="10"/>
  <c r="E48" i="8"/>
  <c r="E42" i="8"/>
  <c r="E44" i="8"/>
  <c r="E47" i="8"/>
  <c r="Q39" i="32"/>
  <c r="R39" i="32" s="1"/>
  <c r="Q40" i="32"/>
  <c r="R40" i="32" s="1"/>
  <c r="Q41" i="32"/>
  <c r="R41" i="32" s="1"/>
  <c r="Q42" i="32"/>
  <c r="R42" i="32" s="1"/>
  <c r="Q38" i="32"/>
  <c r="R38" i="32" s="1"/>
  <c r="O38" i="32"/>
  <c r="O39" i="32"/>
  <c r="O40" i="32"/>
  <c r="O41" i="32"/>
  <c r="O42" i="32"/>
  <c r="O26" i="32"/>
  <c r="Q27" i="32"/>
  <c r="R27" i="32" s="1"/>
  <c r="Q28" i="32"/>
  <c r="R28" i="32" s="1"/>
  <c r="Q29" i="32"/>
  <c r="R29" i="32" s="1"/>
  <c r="Q26" i="32"/>
  <c r="R26" i="32" s="1"/>
  <c r="O27" i="32"/>
  <c r="O28" i="32"/>
  <c r="O29" i="32"/>
  <c r="O17" i="32"/>
  <c r="K43" i="32"/>
  <c r="L43" i="32" s="1"/>
  <c r="K44" i="32"/>
  <c r="L44" i="32" s="1"/>
  <c r="K45" i="32"/>
  <c r="L45" i="32" s="1"/>
  <c r="K46" i="32"/>
  <c r="L46" i="32" s="1"/>
  <c r="K47" i="32"/>
  <c r="L47" i="32" s="1"/>
  <c r="L42" i="32"/>
  <c r="I43" i="32"/>
  <c r="I44" i="32"/>
  <c r="I45" i="32"/>
  <c r="I46" i="32"/>
  <c r="I47" i="32"/>
  <c r="I29" i="32"/>
  <c r="K30" i="32"/>
  <c r="L30" i="32" s="1"/>
  <c r="K31" i="32"/>
  <c r="L31" i="32" s="1"/>
  <c r="K32" i="32"/>
  <c r="L32" i="32" s="1"/>
  <c r="K33" i="32"/>
  <c r="L33" i="32" s="1"/>
  <c r="K29" i="32"/>
  <c r="L29" i="32" s="1"/>
  <c r="J24" i="32"/>
  <c r="I24" i="32"/>
  <c r="I30" i="32"/>
  <c r="I31" i="32"/>
  <c r="I32" i="32"/>
  <c r="I33" i="32"/>
  <c r="I21" i="32"/>
  <c r="E56" i="32"/>
  <c r="F56" i="32" s="1"/>
  <c r="C56" i="32"/>
  <c r="E50" i="32"/>
  <c r="F50" i="32" s="1"/>
  <c r="E51" i="32"/>
  <c r="F51" i="32" s="1"/>
  <c r="E52" i="32"/>
  <c r="F52" i="32" s="1"/>
  <c r="E53" i="32"/>
  <c r="F53" i="32" s="1"/>
  <c r="E54" i="32"/>
  <c r="F54" i="32" s="1"/>
  <c r="E55" i="32"/>
  <c r="F55" i="32" s="1"/>
  <c r="F49" i="32"/>
  <c r="C50" i="32"/>
  <c r="C51" i="32"/>
  <c r="C52" i="32"/>
  <c r="C53" i="32"/>
  <c r="C54" i="32"/>
  <c r="C55" i="32"/>
  <c r="C34" i="32"/>
  <c r="E35" i="32"/>
  <c r="F35" i="32" s="1"/>
  <c r="E36" i="32"/>
  <c r="F36" i="32" s="1"/>
  <c r="E37" i="32"/>
  <c r="F37" i="32" s="1"/>
  <c r="E38" i="32"/>
  <c r="F38" i="32" s="1"/>
  <c r="E39" i="32"/>
  <c r="F39" i="32" s="1"/>
  <c r="E40" i="32"/>
  <c r="F40" i="32" s="1"/>
  <c r="E34" i="32"/>
  <c r="F34" i="32" s="1"/>
  <c r="C35" i="32"/>
  <c r="C36" i="32"/>
  <c r="C37" i="32"/>
  <c r="C38" i="32"/>
  <c r="C39" i="32"/>
  <c r="C40" i="32"/>
  <c r="C24" i="32"/>
  <c r="E17" i="33"/>
  <c r="E16" i="33"/>
  <c r="C16" i="33"/>
  <c r="E8" i="33"/>
  <c r="E9" i="33"/>
  <c r="E10" i="33"/>
  <c r="E11" i="33"/>
  <c r="E12" i="33"/>
  <c r="E13" i="33"/>
  <c r="E14" i="33"/>
  <c r="E15" i="33"/>
  <c r="E18" i="33"/>
  <c r="E19" i="33"/>
  <c r="E20" i="33"/>
  <c r="E21" i="33"/>
  <c r="C7" i="33"/>
  <c r="C8" i="33"/>
  <c r="C9" i="33"/>
  <c r="C10" i="33"/>
  <c r="C11" i="33"/>
  <c r="C12" i="33"/>
  <c r="C13" i="33"/>
  <c r="C14" i="33"/>
  <c r="C15" i="33"/>
  <c r="C17" i="33"/>
  <c r="C18" i="33"/>
  <c r="C19" i="33"/>
  <c r="C20" i="33"/>
  <c r="C21" i="33"/>
  <c r="P13" i="32"/>
  <c r="P14" i="32"/>
  <c r="P15" i="32"/>
  <c r="P16" i="32"/>
  <c r="P17" i="32"/>
  <c r="P18" i="32"/>
  <c r="P19" i="32"/>
  <c r="P20" i="32"/>
  <c r="P12" i="32"/>
  <c r="O13" i="32"/>
  <c r="O14" i="32"/>
  <c r="O15" i="32"/>
  <c r="O16" i="32"/>
  <c r="O18" i="32"/>
  <c r="O19" i="32"/>
  <c r="O20" i="32"/>
  <c r="O12" i="32"/>
  <c r="J13" i="32"/>
  <c r="J14" i="32"/>
  <c r="J15" i="32"/>
  <c r="J16" i="32"/>
  <c r="J17" i="32"/>
  <c r="J18" i="32"/>
  <c r="J19" i="32"/>
  <c r="J20" i="32"/>
  <c r="J21" i="32"/>
  <c r="J22" i="32"/>
  <c r="J23" i="32"/>
  <c r="J12" i="32"/>
  <c r="I12" i="32"/>
  <c r="I13" i="32"/>
  <c r="I14" i="32"/>
  <c r="I15" i="32"/>
  <c r="I16" i="32"/>
  <c r="I17" i="32"/>
  <c r="I18" i="32"/>
  <c r="I19" i="32"/>
  <c r="I20" i="32"/>
  <c r="I22" i="32"/>
  <c r="I23" i="32"/>
  <c r="C14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C15" i="32"/>
  <c r="C16" i="32"/>
  <c r="C17" i="32"/>
  <c r="C18" i="32"/>
  <c r="C19" i="32"/>
  <c r="C20" i="32"/>
  <c r="C21" i="32"/>
  <c r="C22" i="32"/>
  <c r="C23" i="32"/>
  <c r="C25" i="32"/>
  <c r="C26" i="32"/>
  <c r="C27" i="32"/>
  <c r="C28" i="32"/>
  <c r="C7" i="31"/>
  <c r="E8" i="31"/>
  <c r="E9" i="31"/>
  <c r="F7" i="31"/>
  <c r="G7" i="31" s="1"/>
  <c r="C8" i="31"/>
  <c r="C9" i="31"/>
  <c r="C10" i="29"/>
  <c r="F18" i="29"/>
  <c r="G18" i="29" s="1"/>
  <c r="C11" i="29"/>
  <c r="C12" i="29"/>
  <c r="C13" i="29"/>
  <c r="C14" i="29"/>
  <c r="C15" i="29"/>
  <c r="C16" i="29"/>
  <c r="C17" i="29"/>
  <c r="C18" i="29"/>
  <c r="C9" i="29"/>
  <c r="C8" i="28"/>
  <c r="F14" i="29"/>
  <c r="G14" i="29" s="1"/>
  <c r="F12" i="29"/>
  <c r="F11" i="29"/>
  <c r="F15" i="29"/>
  <c r="G15" i="29" s="1"/>
  <c r="F9" i="29"/>
  <c r="G9" i="29" s="1"/>
  <c r="E8" i="28"/>
  <c r="E9" i="28"/>
  <c r="E10" i="28"/>
  <c r="E11" i="28"/>
  <c r="E7" i="28"/>
  <c r="D8" i="28"/>
  <c r="D9" i="28"/>
  <c r="D10" i="28"/>
  <c r="D11" i="28"/>
  <c r="C9" i="28"/>
  <c r="C10" i="28"/>
  <c r="C11" i="28"/>
  <c r="D7" i="28"/>
  <c r="F7" i="28" s="1"/>
  <c r="G7" i="28" s="1"/>
  <c r="C7" i="28"/>
  <c r="C3" i="27"/>
  <c r="E4" i="27"/>
  <c r="F4" i="27" s="1"/>
  <c r="G4" i="27" s="1"/>
  <c r="E5" i="27"/>
  <c r="F5" i="27" s="1"/>
  <c r="G5" i="27" s="1"/>
  <c r="E3" i="27"/>
  <c r="F3" i="27" s="1"/>
  <c r="G3" i="27" s="1"/>
  <c r="E6" i="26"/>
  <c r="E7" i="26"/>
  <c r="F7" i="26" s="1"/>
  <c r="G7" i="26" s="1"/>
  <c r="F6" i="27"/>
  <c r="G6" i="27" s="1"/>
  <c r="F7" i="27"/>
  <c r="G7" i="27" s="1"/>
  <c r="F8" i="27"/>
  <c r="G8" i="27" s="1"/>
  <c r="F9" i="27"/>
  <c r="G9" i="27" s="1"/>
  <c r="F11" i="27"/>
  <c r="G11" i="27" s="1"/>
  <c r="F12" i="27"/>
  <c r="G12" i="27" s="1"/>
  <c r="F13" i="27"/>
  <c r="G13" i="27" s="1"/>
  <c r="F14" i="27"/>
  <c r="G14" i="27" s="1"/>
  <c r="C4" i="27"/>
  <c r="C5" i="27"/>
  <c r="C7" i="27"/>
  <c r="C8" i="27"/>
  <c r="C9" i="27"/>
  <c r="C10" i="27"/>
  <c r="C11" i="27"/>
  <c r="C12" i="27"/>
  <c r="C13" i="27"/>
  <c r="C14" i="27"/>
  <c r="C6" i="26"/>
  <c r="E8" i="26"/>
  <c r="E9" i="26"/>
  <c r="F9" i="26" s="1"/>
  <c r="G9" i="26" s="1"/>
  <c r="C7" i="26"/>
  <c r="C8" i="26"/>
  <c r="C9" i="26"/>
  <c r="C6" i="25"/>
  <c r="C37" i="24"/>
  <c r="C34" i="24"/>
  <c r="C35" i="24"/>
  <c r="C36" i="24"/>
  <c r="F6" i="25"/>
  <c r="G8" i="25"/>
  <c r="G5" i="25"/>
  <c r="C7" i="25"/>
  <c r="C8" i="25"/>
  <c r="C9" i="25"/>
  <c r="C10" i="25"/>
  <c r="C11" i="25"/>
  <c r="C5" i="25"/>
  <c r="C4" i="24"/>
  <c r="F10" i="28" l="1"/>
  <c r="G10" i="28" s="1"/>
  <c r="F8" i="28"/>
  <c r="G8" i="28" s="1"/>
  <c r="F11" i="28"/>
  <c r="G11" i="28" s="1"/>
  <c r="F9" i="28"/>
  <c r="G9" i="28" s="1"/>
  <c r="G12" i="29"/>
  <c r="G11" i="29"/>
  <c r="F10" i="25"/>
  <c r="G10" i="25"/>
  <c r="F9" i="25"/>
  <c r="G9" i="25"/>
  <c r="F7" i="25"/>
  <c r="G7" i="25"/>
  <c r="F8" i="26"/>
  <c r="G8" i="26" s="1"/>
  <c r="F17" i="29"/>
  <c r="G17" i="29" s="1"/>
  <c r="F16" i="29"/>
  <c r="G16" i="29" s="1"/>
  <c r="F13" i="29"/>
  <c r="G13" i="29" s="1"/>
  <c r="F10" i="29"/>
  <c r="G10" i="29" s="1"/>
  <c r="K48" i="10"/>
  <c r="R48" i="10"/>
  <c r="D48" i="10"/>
  <c r="E7" i="33"/>
  <c r="C26" i="33"/>
  <c r="C25" i="33"/>
  <c r="C30" i="33" s="1"/>
  <c r="R43" i="32"/>
  <c r="R45" i="32" s="1"/>
  <c r="F57" i="32"/>
  <c r="F59" i="32" s="1"/>
  <c r="L34" i="32"/>
  <c r="L36" i="32" s="1"/>
  <c r="R30" i="32"/>
  <c r="R32" i="32" s="1"/>
  <c r="L48" i="32"/>
  <c r="L50" i="32" s="1"/>
  <c r="F41" i="32"/>
  <c r="F43" i="32" s="1"/>
  <c r="F97" i="32" s="1"/>
  <c r="F8" i="31"/>
  <c r="G8" i="31" s="1"/>
  <c r="F9" i="31"/>
  <c r="G9" i="31" s="1"/>
  <c r="F6" i="26"/>
  <c r="G6" i="26" s="1"/>
  <c r="F36" i="24"/>
  <c r="G36" i="24" s="1"/>
  <c r="F37" i="24"/>
  <c r="G37" i="24" s="1"/>
  <c r="F35" i="24"/>
  <c r="G35" i="24" s="1"/>
  <c r="F34" i="24"/>
  <c r="G34" i="24" s="1"/>
  <c r="H34" i="24" s="1"/>
  <c r="F8" i="25"/>
  <c r="F5" i="25"/>
  <c r="F11" i="25"/>
  <c r="W81" i="6"/>
  <c r="F28" i="24"/>
  <c r="G28" i="24" s="1"/>
  <c r="F29" i="24"/>
  <c r="G29" i="24" s="1"/>
  <c r="F30" i="24"/>
  <c r="G30" i="24" s="1"/>
  <c r="F32" i="24"/>
  <c r="G32" i="24" s="1"/>
  <c r="F33" i="24"/>
  <c r="G33" i="24" s="1"/>
  <c r="C28" i="24"/>
  <c r="C29" i="24"/>
  <c r="C30" i="24"/>
  <c r="C31" i="24"/>
  <c r="C32" i="24"/>
  <c r="C33" i="24"/>
  <c r="C27" i="24"/>
  <c r="F21" i="24"/>
  <c r="G21" i="24" s="1"/>
  <c r="F22" i="24"/>
  <c r="G22" i="24" s="1"/>
  <c r="F24" i="24"/>
  <c r="G24" i="24" s="1"/>
  <c r="F25" i="24"/>
  <c r="G25" i="24" s="1"/>
  <c r="F26" i="24"/>
  <c r="G26" i="24" s="1"/>
  <c r="C25" i="24"/>
  <c r="C26" i="24"/>
  <c r="C21" i="24"/>
  <c r="C22" i="24"/>
  <c r="C23" i="24"/>
  <c r="C24" i="24"/>
  <c r="C20" i="24"/>
  <c r="F16" i="24"/>
  <c r="G16" i="24" s="1"/>
  <c r="F17" i="24"/>
  <c r="G17" i="24" s="1"/>
  <c r="F18" i="24"/>
  <c r="G18" i="24" s="1"/>
  <c r="F20" i="24"/>
  <c r="G20" i="24" s="1"/>
  <c r="C16" i="24"/>
  <c r="C17" i="24"/>
  <c r="C18" i="24"/>
  <c r="C19" i="24"/>
  <c r="F12" i="24"/>
  <c r="G12" i="24" s="1"/>
  <c r="F13" i="24"/>
  <c r="G13" i="24" s="1"/>
  <c r="F14" i="24"/>
  <c r="G14" i="24" s="1"/>
  <c r="C12" i="24"/>
  <c r="C13" i="24"/>
  <c r="C14" i="24"/>
  <c r="C15" i="24"/>
  <c r="C5" i="24"/>
  <c r="C6" i="24"/>
  <c r="C7" i="24"/>
  <c r="C8" i="24"/>
  <c r="C9" i="24"/>
  <c r="C10" i="24"/>
  <c r="C11" i="24"/>
  <c r="C3" i="24"/>
  <c r="F4" i="24"/>
  <c r="G4" i="24" s="1"/>
  <c r="F6" i="24"/>
  <c r="G6" i="24" s="1"/>
  <c r="F5" i="24"/>
  <c r="G5" i="24" s="1"/>
  <c r="F8" i="24"/>
  <c r="G8" i="24" s="1"/>
  <c r="F9" i="24"/>
  <c r="G9" i="24" s="1"/>
  <c r="F10" i="24"/>
  <c r="G10" i="24" s="1"/>
  <c r="F3" i="24"/>
  <c r="G3" i="24" s="1"/>
  <c r="E18" i="17"/>
  <c r="F18" i="17" s="1"/>
  <c r="W90" i="6"/>
  <c r="W89" i="6"/>
  <c r="D42" i="10"/>
  <c r="D114" i="10"/>
  <c r="D85" i="10"/>
  <c r="D88" i="10" s="1"/>
  <c r="R42" i="10"/>
  <c r="K117" i="10"/>
  <c r="D10" i="10"/>
  <c r="R10" i="10"/>
  <c r="W78" i="6"/>
  <c r="W77" i="6"/>
  <c r="W165" i="6"/>
  <c r="W163" i="6"/>
  <c r="W161" i="6"/>
  <c r="W156" i="6"/>
  <c r="W157" i="6"/>
  <c r="W158" i="6"/>
  <c r="W159" i="6"/>
  <c r="W155" i="6"/>
  <c r="W152" i="6"/>
  <c r="W153" i="6"/>
  <c r="W151" i="6"/>
  <c r="W149" i="6"/>
  <c r="W148" i="6"/>
  <c r="W146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32" i="6"/>
  <c r="W130" i="6"/>
  <c r="W129" i="6"/>
  <c r="W121" i="6"/>
  <c r="W123" i="6"/>
  <c r="W124" i="6"/>
  <c r="W125" i="6"/>
  <c r="W126" i="6"/>
  <c r="W127" i="6"/>
  <c r="W120" i="6"/>
  <c r="W117" i="6"/>
  <c r="W118" i="6"/>
  <c r="W116" i="6"/>
  <c r="W114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00" i="6"/>
  <c r="W97" i="6"/>
  <c r="W98" i="6"/>
  <c r="W96" i="6"/>
  <c r="W87" i="6"/>
  <c r="W88" i="6"/>
  <c r="W91" i="6"/>
  <c r="W92" i="6"/>
  <c r="W93" i="6"/>
  <c r="W94" i="6"/>
  <c r="W86" i="6"/>
  <c r="W79" i="6"/>
  <c r="W80" i="6"/>
  <c r="W82" i="6"/>
  <c r="W83" i="6"/>
  <c r="W84" i="6"/>
  <c r="K59" i="17"/>
  <c r="K58" i="17"/>
  <c r="K57" i="17"/>
  <c r="K56" i="17"/>
  <c r="K55" i="17"/>
  <c r="K54" i="17"/>
  <c r="K53" i="17"/>
  <c r="K52" i="17"/>
  <c r="K51" i="17"/>
  <c r="K50" i="17"/>
  <c r="E19" i="17"/>
  <c r="F19" i="17" s="1"/>
  <c r="E20" i="17"/>
  <c r="F20" i="17" s="1"/>
  <c r="E21" i="17"/>
  <c r="F21" i="17" s="1"/>
  <c r="E22" i="17"/>
  <c r="F22" i="17" s="1"/>
  <c r="E23" i="17"/>
  <c r="F23" i="17" s="1"/>
  <c r="E24" i="17"/>
  <c r="F24" i="17" s="1"/>
  <c r="E25" i="17"/>
  <c r="F25" i="17" s="1"/>
  <c r="E26" i="17"/>
  <c r="F26" i="17" s="1"/>
  <c r="E27" i="17"/>
  <c r="F27" i="17" s="1"/>
  <c r="E28" i="17"/>
  <c r="F28" i="17" s="1"/>
  <c r="E29" i="17"/>
  <c r="F29" i="17" s="1"/>
  <c r="H26" i="17" s="1"/>
  <c r="E30" i="17"/>
  <c r="F30" i="17" s="1"/>
  <c r="E31" i="17"/>
  <c r="F31" i="17" s="1"/>
  <c r="H28" i="17" s="1"/>
  <c r="E32" i="17"/>
  <c r="F32" i="17" s="1"/>
  <c r="E33" i="17"/>
  <c r="F33" i="17" s="1"/>
  <c r="E34" i="17"/>
  <c r="F34" i="17" s="1"/>
  <c r="E35" i="17"/>
  <c r="F35" i="17" s="1"/>
  <c r="E36" i="17"/>
  <c r="F36" i="17" s="1"/>
  <c r="E37" i="17"/>
  <c r="F37" i="17" s="1"/>
  <c r="E38" i="17"/>
  <c r="F38" i="17" s="1"/>
  <c r="E39" i="17"/>
  <c r="F39" i="17" s="1"/>
  <c r="E40" i="17"/>
  <c r="F40" i="17" s="1"/>
  <c r="E41" i="17"/>
  <c r="F41" i="17" s="1"/>
  <c r="E42" i="17"/>
  <c r="F42" i="17" s="1"/>
  <c r="E43" i="17"/>
  <c r="F43" i="17" s="1"/>
  <c r="E44" i="17"/>
  <c r="F44" i="17" s="1"/>
  <c r="E45" i="17"/>
  <c r="F45" i="17" s="1"/>
  <c r="E46" i="17"/>
  <c r="F46" i="17" s="1"/>
  <c r="E47" i="17"/>
  <c r="F47" i="17" s="1"/>
  <c r="E48" i="17"/>
  <c r="F48" i="17" s="1"/>
  <c r="E49" i="17"/>
  <c r="F49" i="17" s="1"/>
  <c r="E50" i="17"/>
  <c r="F50" i="17" s="1"/>
  <c r="E51" i="17"/>
  <c r="F51" i="17" s="1"/>
  <c r="E52" i="17"/>
  <c r="F52" i="17" s="1"/>
  <c r="E53" i="17"/>
  <c r="F53" i="17" s="1"/>
  <c r="E54" i="17"/>
  <c r="F54" i="17" s="1"/>
  <c r="E55" i="17"/>
  <c r="F55" i="17" s="1"/>
  <c r="E56" i="17"/>
  <c r="F56" i="17" s="1"/>
  <c r="E57" i="17"/>
  <c r="F57" i="17" s="1"/>
  <c r="H42" i="17" s="1"/>
  <c r="E58" i="17"/>
  <c r="F58" i="17" s="1"/>
  <c r="E59" i="17"/>
  <c r="F59" i="17" s="1"/>
  <c r="E60" i="17"/>
  <c r="F60" i="17" s="1"/>
  <c r="E61" i="17"/>
  <c r="F61" i="17" s="1"/>
  <c r="E62" i="17"/>
  <c r="F62" i="17" s="1"/>
  <c r="E63" i="17"/>
  <c r="F63" i="17" s="1"/>
  <c r="E64" i="17"/>
  <c r="F64" i="17" s="1"/>
  <c r="E65" i="17"/>
  <c r="F65" i="17" s="1"/>
  <c r="E66" i="17"/>
  <c r="F66" i="17" s="1"/>
  <c r="H34" i="17" s="1"/>
  <c r="E67" i="17"/>
  <c r="F67" i="17" s="1"/>
  <c r="E68" i="17"/>
  <c r="F68" i="17" s="1"/>
  <c r="E69" i="17"/>
  <c r="F69" i="17" s="1"/>
  <c r="E70" i="17"/>
  <c r="F70" i="17" s="1"/>
  <c r="E71" i="17"/>
  <c r="F71" i="17" s="1"/>
  <c r="E72" i="17"/>
  <c r="F72" i="17" s="1"/>
  <c r="E73" i="17"/>
  <c r="F73" i="17" s="1"/>
  <c r="Q96" i="10"/>
  <c r="Q95" i="10"/>
  <c r="Q94" i="10"/>
  <c r="Q93" i="10"/>
  <c r="J96" i="10"/>
  <c r="J95" i="10"/>
  <c r="J94" i="10"/>
  <c r="J93" i="10"/>
  <c r="C96" i="10"/>
  <c r="C95" i="10"/>
  <c r="C94" i="10"/>
  <c r="C93" i="10"/>
  <c r="S111" i="10"/>
  <c r="R89" i="10"/>
  <c r="R39" i="10"/>
  <c r="R8" i="10"/>
  <c r="R25" i="10" s="1"/>
  <c r="Q8" i="10"/>
  <c r="R24" i="10" s="1"/>
  <c r="R5" i="10"/>
  <c r="L111" i="10"/>
  <c r="K89" i="10"/>
  <c r="L8" i="10"/>
  <c r="L83" i="10" s="1"/>
  <c r="K8" i="10"/>
  <c r="J8" i="10"/>
  <c r="K39" i="10"/>
  <c r="K10" i="10"/>
  <c r="K5" i="10"/>
  <c r="E111" i="10"/>
  <c r="D39" i="10"/>
  <c r="D80" i="10"/>
  <c r="C126" i="10" s="1"/>
  <c r="E83" i="10"/>
  <c r="D83" i="10"/>
  <c r="C83" i="10"/>
  <c r="E8" i="10"/>
  <c r="D8" i="10"/>
  <c r="C8" i="10"/>
  <c r="D5" i="10"/>
  <c r="S59" i="10" l="1"/>
  <c r="L59" i="10"/>
  <c r="M59" i="10" s="1"/>
  <c r="E59" i="10"/>
  <c r="F59" i="10" s="1"/>
  <c r="F32" i="29"/>
  <c r="F33" i="29"/>
  <c r="J23" i="10"/>
  <c r="D19" i="10"/>
  <c r="Q23" i="10"/>
  <c r="F101" i="32"/>
  <c r="F99" i="32"/>
  <c r="F98" i="32"/>
  <c r="F102" i="32"/>
  <c r="F100" i="32"/>
  <c r="C23" i="10"/>
  <c r="C98" i="10" s="1"/>
  <c r="D22" i="10"/>
  <c r="S27" i="10"/>
  <c r="K18" i="10"/>
  <c r="K25" i="10"/>
  <c r="K19" i="10"/>
  <c r="K26" i="10"/>
  <c r="K21" i="10"/>
  <c r="K20" i="10"/>
  <c r="K24" i="10"/>
  <c r="J126" i="10"/>
  <c r="J29" i="10"/>
  <c r="K29" i="10" s="1"/>
  <c r="D25" i="10"/>
  <c r="D100" i="10" s="1"/>
  <c r="D18" i="10"/>
  <c r="E27" i="10"/>
  <c r="D21" i="10"/>
  <c r="D20" i="10"/>
  <c r="D26" i="10"/>
  <c r="D101" i="10" s="1"/>
  <c r="D24" i="10"/>
  <c r="C51" i="10"/>
  <c r="Q29" i="10"/>
  <c r="R29" i="10" s="1"/>
  <c r="R26" i="10"/>
  <c r="L27" i="10"/>
  <c r="T59" i="10"/>
  <c r="C31" i="33"/>
  <c r="E102" i="10" s="1"/>
  <c r="K83" i="10"/>
  <c r="K93" i="10" s="1"/>
  <c r="R22" i="10"/>
  <c r="R97" i="10" s="1"/>
  <c r="Q97" i="10"/>
  <c r="T8" i="10"/>
  <c r="R100" i="10"/>
  <c r="R11" i="10"/>
  <c r="R20" i="10"/>
  <c r="R21" i="10"/>
  <c r="D40" i="10"/>
  <c r="D11" i="10"/>
  <c r="K11" i="10"/>
  <c r="K40" i="10"/>
  <c r="K114" i="10"/>
  <c r="K118" i="10" s="1"/>
  <c r="Q51" i="10"/>
  <c r="Q36" i="10"/>
  <c r="D111" i="10"/>
  <c r="R40" i="10"/>
  <c r="S25" i="10" s="1"/>
  <c r="J36" i="10"/>
  <c r="Q126" i="10"/>
  <c r="J83" i="10"/>
  <c r="Q83" i="10"/>
  <c r="R19" i="10"/>
  <c r="R83" i="10"/>
  <c r="R111" i="10" s="1"/>
  <c r="D86" i="10"/>
  <c r="H3" i="24"/>
  <c r="H8" i="24"/>
  <c r="H4" i="24"/>
  <c r="H12" i="24"/>
  <c r="H17" i="24"/>
  <c r="H24" i="24"/>
  <c r="H32" i="24"/>
  <c r="H28" i="24"/>
  <c r="H36" i="24"/>
  <c r="H20" i="24"/>
  <c r="H16" i="24"/>
  <c r="H10" i="24"/>
  <c r="H5" i="24"/>
  <c r="H14" i="24"/>
  <c r="H26" i="24"/>
  <c r="H22" i="24"/>
  <c r="H30" i="24"/>
  <c r="H35" i="24"/>
  <c r="H9" i="24"/>
  <c r="H6" i="24"/>
  <c r="H13" i="24"/>
  <c r="H18" i="24"/>
  <c r="H25" i="24"/>
  <c r="H21" i="24"/>
  <c r="H33" i="24"/>
  <c r="H29" i="24"/>
  <c r="H37" i="24"/>
  <c r="F31" i="24"/>
  <c r="G31" i="24" s="1"/>
  <c r="F11" i="24"/>
  <c r="G11" i="24" s="1"/>
  <c r="F7" i="24"/>
  <c r="G7" i="24" s="1"/>
  <c r="F15" i="24"/>
  <c r="G15" i="24" s="1"/>
  <c r="F27" i="24"/>
  <c r="G27" i="24" s="1"/>
  <c r="F23" i="24"/>
  <c r="G23" i="24" s="1"/>
  <c r="F19" i="24"/>
  <c r="G19" i="24" s="1"/>
  <c r="H38" i="17"/>
  <c r="H22" i="17"/>
  <c r="H24" i="17" s="1"/>
  <c r="H40" i="17"/>
  <c r="H36" i="17"/>
  <c r="D115" i="10"/>
  <c r="F8" i="10"/>
  <c r="R117" i="10"/>
  <c r="D117" i="10"/>
  <c r="D118" i="10" s="1"/>
  <c r="R85" i="10"/>
  <c r="R88" i="10" s="1"/>
  <c r="H32" i="17"/>
  <c r="H18" i="17"/>
  <c r="H44" i="17"/>
  <c r="L21" i="17" s="1"/>
  <c r="H30" i="17"/>
  <c r="H46" i="17"/>
  <c r="M30" i="17" s="1"/>
  <c r="P30" i="17" s="1"/>
  <c r="H20" i="17"/>
  <c r="L22" i="17" s="1"/>
  <c r="M8" i="10"/>
  <c r="R80" i="10"/>
  <c r="R18" i="10"/>
  <c r="R36" i="10"/>
  <c r="S83" i="10"/>
  <c r="R114" i="10"/>
  <c r="K85" i="10"/>
  <c r="K88" i="10" s="1"/>
  <c r="C111" i="10"/>
  <c r="J51" i="10"/>
  <c r="K36" i="10"/>
  <c r="K80" i="10"/>
  <c r="D93" i="10"/>
  <c r="D94" i="10"/>
  <c r="D96" i="10"/>
  <c r="F83" i="10"/>
  <c r="D95" i="10"/>
  <c r="C36" i="10"/>
  <c r="S64" i="10" l="1"/>
  <c r="T64" i="10" s="1"/>
  <c r="E64" i="10"/>
  <c r="F64" i="10" s="1"/>
  <c r="L64" i="10"/>
  <c r="M64" i="10" s="1"/>
  <c r="S60" i="10"/>
  <c r="T60" i="10" s="1"/>
  <c r="E60" i="10"/>
  <c r="F60" i="10" s="1"/>
  <c r="L60" i="10"/>
  <c r="M60" i="10" s="1"/>
  <c r="L61" i="10"/>
  <c r="M61" i="10" s="1"/>
  <c r="S61" i="10"/>
  <c r="T61" i="10" s="1"/>
  <c r="E61" i="10"/>
  <c r="F61" i="10" s="1"/>
  <c r="L62" i="10"/>
  <c r="M62" i="10" s="1"/>
  <c r="S62" i="10"/>
  <c r="T62" i="10" s="1"/>
  <c r="E62" i="10"/>
  <c r="F62" i="10" s="1"/>
  <c r="E63" i="10"/>
  <c r="F63" i="10" s="1"/>
  <c r="L63" i="10"/>
  <c r="M63" i="10" s="1"/>
  <c r="S63" i="10"/>
  <c r="T63" i="10" s="1"/>
  <c r="Q30" i="17"/>
  <c r="R30" i="17" s="1"/>
  <c r="L20" i="17"/>
  <c r="M20" i="17" s="1"/>
  <c r="P20" i="17" s="1"/>
  <c r="L18" i="17"/>
  <c r="M18" i="17" s="1"/>
  <c r="P18" i="17" s="1"/>
  <c r="Q18" i="17" s="1"/>
  <c r="R18" i="17" s="1"/>
  <c r="S24" i="10"/>
  <c r="K47" i="10"/>
  <c r="K122" i="10" s="1"/>
  <c r="J53" i="10"/>
  <c r="K53" i="10" s="1"/>
  <c r="Q53" i="10"/>
  <c r="R115" i="10"/>
  <c r="S100" i="10" s="1"/>
  <c r="R118" i="10"/>
  <c r="D126" i="10"/>
  <c r="E126" i="10" s="1"/>
  <c r="F126" i="10" s="1"/>
  <c r="L24" i="10"/>
  <c r="E95" i="10"/>
  <c r="E94" i="10"/>
  <c r="E93" i="10"/>
  <c r="E101" i="10"/>
  <c r="E96" i="10"/>
  <c r="S20" i="10"/>
  <c r="E100" i="10"/>
  <c r="D99" i="10"/>
  <c r="E99" i="10" s="1"/>
  <c r="E24" i="10"/>
  <c r="R47" i="10"/>
  <c r="R122" i="10" s="1"/>
  <c r="L25" i="10"/>
  <c r="K94" i="10"/>
  <c r="L102" i="10"/>
  <c r="K22" i="10"/>
  <c r="J97" i="10"/>
  <c r="K97" i="10" s="1"/>
  <c r="C97" i="10"/>
  <c r="E26" i="10"/>
  <c r="L26" i="10"/>
  <c r="E25" i="10"/>
  <c r="L19" i="10"/>
  <c r="S26" i="10"/>
  <c r="L20" i="10"/>
  <c r="L21" i="10"/>
  <c r="L18" i="10"/>
  <c r="R99" i="10"/>
  <c r="K101" i="10"/>
  <c r="S102" i="10"/>
  <c r="K100" i="10"/>
  <c r="K99" i="10"/>
  <c r="Q111" i="10"/>
  <c r="Q127" i="10" s="1"/>
  <c r="R127" i="10" s="1"/>
  <c r="R101" i="10"/>
  <c r="K111" i="10"/>
  <c r="Q52" i="10"/>
  <c r="R52" i="10" s="1"/>
  <c r="S21" i="10"/>
  <c r="R23" i="10"/>
  <c r="Q98" i="10"/>
  <c r="J98" i="10"/>
  <c r="K86" i="10"/>
  <c r="K115" i="10"/>
  <c r="S22" i="10"/>
  <c r="R86" i="10"/>
  <c r="R95" i="10"/>
  <c r="K95" i="10"/>
  <c r="R96" i="10"/>
  <c r="K96" i="10"/>
  <c r="M83" i="10"/>
  <c r="H19" i="24"/>
  <c r="H7" i="24"/>
  <c r="H23" i="24"/>
  <c r="H11" i="24"/>
  <c r="H27" i="24"/>
  <c r="H31" i="24"/>
  <c r="H15" i="24"/>
  <c r="M21" i="17"/>
  <c r="P21" i="17" s="1"/>
  <c r="L29" i="17"/>
  <c r="M29" i="17" s="1"/>
  <c r="P29" i="17" s="1"/>
  <c r="L27" i="17"/>
  <c r="M27" i="17" s="1"/>
  <c r="P27" i="17" s="1"/>
  <c r="L24" i="17"/>
  <c r="M24" i="17" s="1"/>
  <c r="P24" i="17" s="1"/>
  <c r="L28" i="17"/>
  <c r="M28" i="17" s="1"/>
  <c r="L23" i="17"/>
  <c r="M23" i="17" s="1"/>
  <c r="L26" i="17"/>
  <c r="M26" i="17" s="1"/>
  <c r="P26" i="17" s="1"/>
  <c r="R94" i="10"/>
  <c r="R93" i="10"/>
  <c r="L19" i="17"/>
  <c r="M19" i="17" s="1"/>
  <c r="P19" i="17" s="1"/>
  <c r="L25" i="17"/>
  <c r="M25" i="17" s="1"/>
  <c r="P25" i="17" s="1"/>
  <c r="M22" i="17"/>
  <c r="P22" i="17" s="1"/>
  <c r="K51" i="10"/>
  <c r="L51" i="10" s="1"/>
  <c r="S18" i="10"/>
  <c r="J52" i="10"/>
  <c r="K52" i="10" s="1"/>
  <c r="S19" i="10"/>
  <c r="T83" i="10"/>
  <c r="Q104" i="10"/>
  <c r="R104" i="10" s="1"/>
  <c r="R126" i="10"/>
  <c r="R51" i="10"/>
  <c r="J111" i="10"/>
  <c r="Q24" i="17" l="1"/>
  <c r="R24" i="17" s="1"/>
  <c r="Q25" i="17"/>
  <c r="R25" i="17" s="1"/>
  <c r="Q26" i="17"/>
  <c r="R26" i="17" s="1"/>
  <c r="Q19" i="17"/>
  <c r="R19" i="17" s="1"/>
  <c r="K37" i="17" s="1"/>
  <c r="N37" i="17" s="1"/>
  <c r="Q29" i="17"/>
  <c r="R29" i="17" s="1"/>
  <c r="Q21" i="17"/>
  <c r="R21" i="17" s="1"/>
  <c r="K39" i="17" s="1"/>
  <c r="M39" i="17" s="1"/>
  <c r="Q20" i="17"/>
  <c r="R20" i="17" s="1"/>
  <c r="Q22" i="17"/>
  <c r="R22" i="17" s="1"/>
  <c r="Q27" i="17"/>
  <c r="R27" i="17" s="1"/>
  <c r="Q128" i="10"/>
  <c r="R128" i="10" s="1"/>
  <c r="R53" i="10"/>
  <c r="J128" i="10"/>
  <c r="K128" i="10" s="1"/>
  <c r="L128" i="10" s="1"/>
  <c r="M128" i="10" s="1"/>
  <c r="K23" i="10"/>
  <c r="K98" i="10" s="1"/>
  <c r="L98" i="10" s="1"/>
  <c r="S128" i="10"/>
  <c r="T128" i="10" s="1"/>
  <c r="S126" i="10"/>
  <c r="S99" i="10"/>
  <c r="D23" i="10"/>
  <c r="L101" i="10"/>
  <c r="L22" i="10"/>
  <c r="L95" i="10"/>
  <c r="L94" i="10"/>
  <c r="L93" i="10"/>
  <c r="L97" i="10"/>
  <c r="L96" i="10"/>
  <c r="S101" i="10"/>
  <c r="L100" i="10"/>
  <c r="L99" i="10"/>
  <c r="J127" i="10"/>
  <c r="K127" i="10" s="1"/>
  <c r="K126" i="10"/>
  <c r="L126" i="10" s="1"/>
  <c r="J104" i="10"/>
  <c r="K104" i="10" s="1"/>
  <c r="C104" i="10"/>
  <c r="D104" i="10" s="1"/>
  <c r="D97" i="10"/>
  <c r="E97" i="10" s="1"/>
  <c r="R98" i="10"/>
  <c r="S98" i="10" s="1"/>
  <c r="M51" i="10"/>
  <c r="S97" i="10"/>
  <c r="S93" i="10"/>
  <c r="S95" i="10"/>
  <c r="S51" i="10"/>
  <c r="P28" i="17"/>
  <c r="P23" i="17"/>
  <c r="K46" i="17" l="1"/>
  <c r="K13" i="10" s="1"/>
  <c r="L23" i="10" s="1"/>
  <c r="K38" i="17"/>
  <c r="K42" i="17"/>
  <c r="M42" i="17" s="1"/>
  <c r="K43" i="17"/>
  <c r="R43" i="10" s="1"/>
  <c r="S53" i="10" s="1"/>
  <c r="T53" i="10" s="1"/>
  <c r="K44" i="17"/>
  <c r="M44" i="17" s="1"/>
  <c r="Q28" i="17"/>
  <c r="R28" i="17" s="1"/>
  <c r="K45" i="17" s="1"/>
  <c r="N39" i="17"/>
  <c r="M37" i="17"/>
  <c r="Q23" i="17"/>
  <c r="R23" i="17" s="1"/>
  <c r="D13" i="10"/>
  <c r="E23" i="10" s="1"/>
  <c r="D43" i="10"/>
  <c r="K38" i="10"/>
  <c r="D98" i="10"/>
  <c r="M126" i="10"/>
  <c r="R38" i="10"/>
  <c r="T51" i="10"/>
  <c r="K113" i="10"/>
  <c r="M46" i="17" l="1"/>
  <c r="N46" i="17"/>
  <c r="M43" i="17"/>
  <c r="N42" i="17"/>
  <c r="N44" i="17"/>
  <c r="N45" i="17"/>
  <c r="M45" i="17"/>
  <c r="N43" i="17"/>
  <c r="M38" i="17"/>
  <c r="N38" i="17"/>
  <c r="K40" i="17"/>
  <c r="K41" i="17"/>
  <c r="N41" i="17" s="1"/>
  <c r="R13" i="10"/>
  <c r="S23" i="10" s="1"/>
  <c r="K43" i="10"/>
  <c r="L53" i="10" s="1"/>
  <c r="E98" i="10"/>
  <c r="M41" i="17" l="1"/>
  <c r="M40" i="17"/>
  <c r="N40" i="17"/>
  <c r="M53" i="10"/>
  <c r="C29" i="10"/>
  <c r="D29" i="10" s="1"/>
  <c r="S96" i="10" l="1"/>
  <c r="S94" i="10"/>
  <c r="T126" i="10"/>
  <c r="E18" i="10"/>
  <c r="C6" i="7" l="1"/>
  <c r="C7" i="7"/>
  <c r="C9" i="7"/>
  <c r="C4" i="7"/>
  <c r="C10" i="7"/>
  <c r="C8" i="7"/>
  <c r="C11" i="17"/>
  <c r="C10" i="17"/>
  <c r="C9" i="17"/>
  <c r="C7" i="17"/>
  <c r="C6" i="17"/>
  <c r="C5" i="17"/>
  <c r="C4" i="17"/>
  <c r="C3" i="17"/>
  <c r="E7" i="7" l="1"/>
  <c r="E4" i="7"/>
  <c r="E6" i="7"/>
  <c r="E11" i="7"/>
  <c r="F11" i="7" s="1"/>
  <c r="E10" i="7"/>
  <c r="E5" i="7"/>
  <c r="E8" i="7"/>
  <c r="E9" i="7"/>
  <c r="F9" i="7" l="1"/>
  <c r="B23" i="7" s="1"/>
  <c r="K90" i="10" s="1"/>
  <c r="F23" i="7"/>
  <c r="K15" i="10" s="1"/>
  <c r="F8" i="7"/>
  <c r="B22" i="7" s="1"/>
  <c r="F22" i="7"/>
  <c r="F6" i="7"/>
  <c r="B20" i="7" s="1"/>
  <c r="F20" i="7"/>
  <c r="F5" i="7"/>
  <c r="B19" i="7" s="1"/>
  <c r="F19" i="7"/>
  <c r="F4" i="7"/>
  <c r="F18" i="7"/>
  <c r="F10" i="7"/>
  <c r="B24" i="7" s="1"/>
  <c r="F24" i="7"/>
  <c r="F7" i="7"/>
  <c r="B21" i="7" s="1"/>
  <c r="F21" i="7"/>
  <c r="B25" i="7"/>
  <c r="F25" i="7"/>
  <c r="K116" i="10" l="1"/>
  <c r="L127" i="10" s="1"/>
  <c r="L104" i="10"/>
  <c r="L106" i="10" s="1"/>
  <c r="D90" i="10"/>
  <c r="R90" i="10"/>
  <c r="D15" i="10"/>
  <c r="R15" i="10"/>
  <c r="K41" i="10"/>
  <c r="L52" i="10" s="1"/>
  <c r="L29" i="10"/>
  <c r="L31" i="10" s="1"/>
  <c r="R116" i="10" l="1"/>
  <c r="S127" i="10" s="1"/>
  <c r="S104" i="10"/>
  <c r="S106" i="10" s="1"/>
  <c r="M52" i="10"/>
  <c r="J55" i="10"/>
  <c r="M55" i="10" s="1"/>
  <c r="L75" i="10" s="1"/>
  <c r="D116" i="10"/>
  <c r="E104" i="10"/>
  <c r="E106" i="10" s="1"/>
  <c r="R41" i="10"/>
  <c r="S52" i="10" s="1"/>
  <c r="S29" i="10"/>
  <c r="S31" i="10" s="1"/>
  <c r="D41" i="10"/>
  <c r="E29" i="10"/>
  <c r="M127" i="10"/>
  <c r="J130" i="10"/>
  <c r="M130" i="10" s="1"/>
  <c r="L150" i="10" s="1"/>
  <c r="E19" i="10"/>
  <c r="D36" i="10"/>
  <c r="E22" i="10"/>
  <c r="E21" i="10"/>
  <c r="T52" i="10" l="1"/>
  <c r="Q55" i="10"/>
  <c r="T55" i="10" s="1"/>
  <c r="S75" i="10" s="1"/>
  <c r="D108" i="19"/>
  <c r="L74" i="10"/>
  <c r="D106" i="19" s="1"/>
  <c r="L76" i="10"/>
  <c r="L77" i="10" s="1"/>
  <c r="D110" i="19" s="1"/>
  <c r="L149" i="10"/>
  <c r="F106" i="19" s="1"/>
  <c r="L151" i="10"/>
  <c r="L152" i="10" s="1"/>
  <c r="F110" i="19" s="1"/>
  <c r="F108" i="19"/>
  <c r="T127" i="10"/>
  <c r="Q130" i="10"/>
  <c r="T130" i="10" s="1"/>
  <c r="S150" i="10" s="1"/>
  <c r="C127" i="10"/>
  <c r="D127" i="10" s="1"/>
  <c r="E127" i="10" s="1"/>
  <c r="F127" i="10" s="1"/>
  <c r="D47" i="10"/>
  <c r="C53" i="10"/>
  <c r="E20" i="10"/>
  <c r="E31" i="10" s="1"/>
  <c r="D51" i="10"/>
  <c r="E51" i="10" s="1"/>
  <c r="F51" i="10" s="1"/>
  <c r="C52" i="10"/>
  <c r="D52" i="10" s="1"/>
  <c r="C128" i="10" l="1"/>
  <c r="D128" i="10" s="1"/>
  <c r="E128" i="10" s="1"/>
  <c r="F128" i="10" s="1"/>
  <c r="D53" i="10"/>
  <c r="S151" i="10"/>
  <c r="S152" i="10" s="1"/>
  <c r="F165" i="19" s="1"/>
  <c r="F163" i="19"/>
  <c r="S149" i="10"/>
  <c r="F161" i="19" s="1"/>
  <c r="D163" i="19"/>
  <c r="S76" i="10"/>
  <c r="S77" i="10" s="1"/>
  <c r="D165" i="19" s="1"/>
  <c r="S74" i="10"/>
  <c r="D161" i="19" s="1"/>
  <c r="D122" i="10"/>
  <c r="E53" i="10"/>
  <c r="R113" i="10"/>
  <c r="E52" i="10"/>
  <c r="F52" i="10" s="1"/>
  <c r="D113" i="10" l="1"/>
  <c r="C130" i="10"/>
  <c r="F130" i="10" s="1"/>
  <c r="E150" i="10" s="1"/>
  <c r="C55" i="10"/>
  <c r="F55" i="10" s="1"/>
  <c r="E75" i="10" s="1"/>
  <c r="F53" i="10"/>
  <c r="D38" i="10"/>
  <c r="F52" i="19" l="1"/>
  <c r="E151" i="10"/>
  <c r="E152" i="10" s="1"/>
  <c r="F54" i="19" s="1"/>
  <c r="F171" i="19" s="1"/>
  <c r="E149" i="10"/>
  <c r="F50" i="19" s="1"/>
  <c r="D52" i="19" l="1"/>
  <c r="E76" i="10"/>
  <c r="E77" i="10" s="1"/>
  <c r="D54" i="19" s="1"/>
  <c r="E74" i="10"/>
  <c r="D50" i="19" s="1"/>
  <c r="D171" i="19" l="1"/>
  <c r="F184" i="19" l="1"/>
  <c r="F174" i="19"/>
  <c r="F178" i="19"/>
  <c r="F180" i="19"/>
  <c r="F187" i="19"/>
  <c r="F185" i="19"/>
  <c r="F176" i="19"/>
  <c r="F181" i="19"/>
  <c r="F183" i="19"/>
  <c r="F186" i="19"/>
  <c r="F182" i="19"/>
  <c r="F188" i="19"/>
  <c r="F179" i="19"/>
  <c r="F177" i="19"/>
  <c r="F191" i="19"/>
  <c r="F189" i="19"/>
  <c r="F190" i="19"/>
  <c r="F175" i="1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<sst xmlns="http://schemas.openxmlformats.org/spreadsheetml/2006/main" count="4956" uniqueCount="1893">
  <si>
    <t>PLACA / REFERÊNCIA</t>
  </si>
  <si>
    <t>TIPO DE ORLA</t>
  </si>
  <si>
    <t>COMPONENTE FIXAÇÃO</t>
  </si>
  <si>
    <t>PREÇO VENDA UNI</t>
  </si>
  <si>
    <t>Parafusos - 4mm x 45mm</t>
  </si>
  <si>
    <t>Parafusos - 3mm x 40 mm</t>
  </si>
  <si>
    <t>Parafusos - 3.5mm x 16mm</t>
  </si>
  <si>
    <t>Parafusos - 4mm x 35mm</t>
  </si>
  <si>
    <t>Parafusos - 4mm x 30mm</t>
  </si>
  <si>
    <t>TIPO TRABALHO</t>
  </si>
  <si>
    <t>PREÇO HORA</t>
  </si>
  <si>
    <t>Seccionadora</t>
  </si>
  <si>
    <t>CNC</t>
  </si>
  <si>
    <t>Lixagem</t>
  </si>
  <si>
    <t>Montagem</t>
  </si>
  <si>
    <t>Pintura</t>
  </si>
  <si>
    <t>COM IVA (23%)</t>
  </si>
  <si>
    <t>NÚMERO DE PORTAS:</t>
  </si>
  <si>
    <t>MEDIDAS CAIXOTE:</t>
  </si>
  <si>
    <t>LARGURA (CM)</t>
  </si>
  <si>
    <t>ALTURA (CM)</t>
  </si>
  <si>
    <t>PRODUNDIDADE (CM)</t>
  </si>
  <si>
    <t>ÁREA (M^2)</t>
  </si>
  <si>
    <t>m2</t>
  </si>
  <si>
    <t>CUSTO PLACA (M^2)</t>
  </si>
  <si>
    <t>CUSTO METRO LINEAR ORLA</t>
  </si>
  <si>
    <t>COMPONENTE</t>
  </si>
  <si>
    <t>QUANT.</t>
  </si>
  <si>
    <t>CUSTO UNITÁRIO</t>
  </si>
  <si>
    <t>PRUME</t>
  </si>
  <si>
    <t>CIMA_BAIXO</t>
  </si>
  <si>
    <t>PRATELEIRA</t>
  </si>
  <si>
    <t>COSTA</t>
  </si>
  <si>
    <t>DIVISÓRIA</t>
  </si>
  <si>
    <t>GAVETA ANTARO INTERIOR</t>
  </si>
  <si>
    <t>ORLA</t>
  </si>
  <si>
    <t>TOTAL CUSTO PORTA (UNIDADE)=</t>
  </si>
  <si>
    <t>MEDIDAS PORTA:</t>
  </si>
  <si>
    <t>/m2</t>
  </si>
  <si>
    <t>QUANTIDADE DE DOBRADIÇAS POR PORTA</t>
  </si>
  <si>
    <t>PREÇO UNITÁRIO DOBRADIÇA</t>
  </si>
  <si>
    <t>ÁREA (M^2) /ML</t>
  </si>
  <si>
    <t>CUSTO TOTAL</t>
  </si>
  <si>
    <t>PORTA (MATERIAL)</t>
  </si>
  <si>
    <t>TINTA/VERNIZ</t>
  </si>
  <si>
    <t>CUSTO TOTAL PORTAS=</t>
  </si>
  <si>
    <t>=</t>
  </si>
  <si>
    <t>TIPO ORLA</t>
  </si>
  <si>
    <t>PREÇO POR M2</t>
  </si>
  <si>
    <t xml:space="preserve"> = </t>
  </si>
  <si>
    <t>MDF Hidrofugo - 16mm</t>
  </si>
  <si>
    <t>MDF Hidrofugo - 19mm</t>
  </si>
  <si>
    <t>MDF Hidrofugo - 22mm</t>
  </si>
  <si>
    <t>ÁREA BASE (M^2)</t>
  </si>
  <si>
    <t>CUSTO METRO ORLA</t>
  </si>
  <si>
    <t xml:space="preserve">CUSTO </t>
  </si>
  <si>
    <t>Serviço Sem Orla</t>
  </si>
  <si>
    <t>Orla - Bicolor</t>
  </si>
  <si>
    <t>Orla - À Cor</t>
  </si>
  <si>
    <t>Orla - À Cor Touch</t>
  </si>
  <si>
    <t>Orla - À Cor Madeira PVC</t>
  </si>
  <si>
    <t>Orla - Standard 1mm</t>
  </si>
  <si>
    <t>Orla - Standard 0,4mm</t>
  </si>
  <si>
    <t>Calibradora</t>
  </si>
  <si>
    <t>Embalamento</t>
  </si>
  <si>
    <t>SERVIÇO PINTURA</t>
  </si>
  <si>
    <t>VERNIZ MATE POLIORETANO</t>
  </si>
  <si>
    <t>€ / M2</t>
  </si>
  <si>
    <t>VELATURAS CLARAS COM AFINAÇÃO</t>
  </si>
  <si>
    <t>VELATURAS ESCURAS COM AFINAÇÃO</t>
  </si>
  <si>
    <t>VERNIZ POLIORETANO BRILHANTE</t>
  </si>
  <si>
    <t>VERNIZ POLIORETANO MEIO BRILHANTE</t>
  </si>
  <si>
    <t>VERNIZ NATUR "ACRILICO"</t>
  </si>
  <si>
    <t>ESMALTE BRANCO MATE</t>
  </si>
  <si>
    <t>ESMALTE CORES CLARAS COM AFINAÇÕES</t>
  </si>
  <si>
    <t>ESMALTES CORES ESCURAS COM AFINAÇÕES</t>
  </si>
  <si>
    <t>ESMALTE BRILHANTE</t>
  </si>
  <si>
    <t>CUSTO PARA A EMPRESA DA ORLADORA</t>
  </si>
  <si>
    <t>SABEMOS QUE EM 1H ORLAMOS EM MÉDIA 120 METROS</t>
  </si>
  <si>
    <t>OU SEJA:</t>
  </si>
  <si>
    <t>1 metro linear tem o custo de:</t>
  </si>
  <si>
    <t xml:space="preserve"> - </t>
  </si>
  <si>
    <t>120 metros lineares</t>
  </si>
  <si>
    <t>x</t>
  </si>
  <si>
    <t>1 metro linear</t>
  </si>
  <si>
    <t>se em 1 hora fazemos 120 metros lineares, significa que:</t>
  </si>
  <si>
    <t>assim:</t>
  </si>
  <si>
    <t>exemplo:</t>
  </si>
  <si>
    <t>CUSTO MATERIAL + MOD (€/ML)</t>
  </si>
  <si>
    <t>CUSTO MATERIAL/ ML</t>
  </si>
  <si>
    <t xml:space="preserve">MÃO DE OBRA POR HORA </t>
  </si>
  <si>
    <t>15,5€/h + 23€/h = 38,50€/h</t>
  </si>
  <si>
    <t>38,50€/h</t>
  </si>
  <si>
    <t>o CUSTO real da orla = soma de 0,32€ a cada custo de orla * metros de orla utilizados</t>
  </si>
  <si>
    <t>orla bicolor - (0,53€ + 0,32€) * 1 metro de orla = 0,85€/metro</t>
  </si>
  <si>
    <t>MDF Hidrofugo - 40mm</t>
  </si>
  <si>
    <t>Aglomerado Folha Carvalho A/B - 10mm</t>
  </si>
  <si>
    <t>Aglomerado Folha Sucupira A/B - 19mm</t>
  </si>
  <si>
    <t>MADEIVOUGA</t>
  </si>
  <si>
    <t>ARAUJO &amp; LINO</t>
  </si>
  <si>
    <t>Melamina - FANTASIAS - F755 - 16 mm</t>
  </si>
  <si>
    <t>Melamina - FANTASIAS - F755 - 10 mm</t>
  </si>
  <si>
    <t>Melamina - MADEIRAS - M2112 - 16mm</t>
  </si>
  <si>
    <t>Melamina - MADEIRAS - M2112 - 10mm</t>
  </si>
  <si>
    <t>Melamina - FANTASIAS - F6012 - 16mm</t>
  </si>
  <si>
    <t>BANEMA</t>
  </si>
  <si>
    <t>Melamina - FANTASIAS - F067 - 16mm</t>
  </si>
  <si>
    <t>TIPO DE TRABALHO</t>
  </si>
  <si>
    <t>VALOR COM MARGEM DE LUCRO DE 350 % (€/ML)</t>
  </si>
  <si>
    <t>Orla - Madeira 23X0,5mm - CARVALHO</t>
  </si>
  <si>
    <t>PREÇO (€/ML)</t>
  </si>
  <si>
    <t>Aglomerado Hidrofugo - B3768 SC - 16mm</t>
  </si>
  <si>
    <t>Aglomerite Hidrófugo - L167 SC - 16mm</t>
  </si>
  <si>
    <t>Aglomerite Hidrófugo - F067 SC - 16mm</t>
  </si>
  <si>
    <t>Aglomerado - B3768 SC - 10mm</t>
  </si>
  <si>
    <t>Aglomerite - L167 SC - 10mm</t>
  </si>
  <si>
    <t>Aglomerite - F067 SC - 10mm</t>
  </si>
  <si>
    <t>Aglomerite - F755 TL - 10mm</t>
  </si>
  <si>
    <t>Aglomerite - F755 TL - 16mm</t>
  </si>
  <si>
    <t>Melamina - LISOS - B3768 SC- 10 mm</t>
  </si>
  <si>
    <t>Melamina - FANTASIAS - F755 TL- 16 mm</t>
  </si>
  <si>
    <t>Melamina - LISOS - B3822 SC- 10 mm</t>
  </si>
  <si>
    <t>Melamina - LISOS - B3822 SC- 16 mm</t>
  </si>
  <si>
    <t>Melamina - LISOS - L167 SC- 16mm</t>
  </si>
  <si>
    <t>Melamina - FANTASIAS - F067 MR- 16 mm</t>
  </si>
  <si>
    <t>Melamina - FANTASIAS - F067 MR- 8 mm</t>
  </si>
  <si>
    <t>Melamina - LISOS - L3031 - 19 mm</t>
  </si>
  <si>
    <t>Melamina - F067 SC - 8mm</t>
  </si>
  <si>
    <t>Melamina - HIDRO F067 SC - 16mm</t>
  </si>
  <si>
    <t>Melamina - HIDRO F167 SC - 16mm</t>
  </si>
  <si>
    <t>MDF Hidrofugo - 19 mm</t>
  </si>
  <si>
    <t>Aglomerite Hidrófugo - L167  - 16mm</t>
  </si>
  <si>
    <t>Aglomerite - L167 - 10mm</t>
  </si>
  <si>
    <t>Aglomerite - F067 - 10mm</t>
  </si>
  <si>
    <t>Melamina FANTASIAS - F067 - 16mm</t>
  </si>
  <si>
    <t>Melamina FANTASIAS - F067 MR - 8mm</t>
  </si>
  <si>
    <t>Melamina FANTASIAS - F6012 - 16mm</t>
  </si>
  <si>
    <t>Melamina MADEIRAS - M2112 - 10mm</t>
  </si>
  <si>
    <t>Melamina MADEIRAS - M2112 - 16mm</t>
  </si>
  <si>
    <t>MOVEIS INFERIORES - CUSTO REAL DO CAIXOTE PARA A EMPRESA</t>
  </si>
  <si>
    <t xml:space="preserve">TOTAL CUSTO CAIXOTE </t>
  </si>
  <si>
    <t>PLACA / REFREÊNCIA</t>
  </si>
  <si>
    <t>PINTURA</t>
  </si>
  <si>
    <t>CUSTO PINTURA (m2)</t>
  </si>
  <si>
    <t>MOVEIS SUPERIORES - CUSTO REAL DO CAIXOTE PARA A EMPRESA</t>
  </si>
  <si>
    <t>COLUNAS - CUSTO REAL DO CAIXOTE PARA A EMPRESA</t>
  </si>
  <si>
    <t>CUSTO TOTAL CAIXOTE + PORTAS</t>
  </si>
  <si>
    <t>PREÇO TOTAL =</t>
  </si>
  <si>
    <t xml:space="preserve">PREÇO UNITÁRIO CAIXOTE = </t>
  </si>
  <si>
    <t xml:space="preserve">ARMÁRIO COZINHA - CAIXOTES INFERIORES </t>
  </si>
  <si>
    <t>MOVEIS INFERIORES - PREÇO PARA CLIENTE</t>
  </si>
  <si>
    <t xml:space="preserve">ARMÁRIO COZINHA - CAIXOTES SUPERIORES </t>
  </si>
  <si>
    <t>PLACA / REFRÊNCIA - PORTA:</t>
  </si>
  <si>
    <t>MOVEIS SUPERIORES - PREÇO CLIENTE</t>
  </si>
  <si>
    <t xml:space="preserve">PORTA </t>
  </si>
  <si>
    <t xml:space="preserve">ARMÁRIO COZINHA - COLUNA </t>
  </si>
  <si>
    <t>CUSTO TOTAL                                                 =</t>
  </si>
  <si>
    <t>COLUNAS - PREÇO CLIENTE</t>
  </si>
  <si>
    <t>CUSTO TOTAL ORÇAMENTO =</t>
  </si>
  <si>
    <t>PREÇO FINAL ORÇAMENTO =</t>
  </si>
  <si>
    <t>COM DIFERRENTES % DE LUCRO:</t>
  </si>
  <si>
    <t>15 % -</t>
  </si>
  <si>
    <t>20 % -</t>
  </si>
  <si>
    <t>25 % -</t>
  </si>
  <si>
    <t>30 % -</t>
  </si>
  <si>
    <t xml:space="preserve">35% - </t>
  </si>
  <si>
    <t>40% -</t>
  </si>
  <si>
    <t xml:space="preserve">45% - </t>
  </si>
  <si>
    <t xml:space="preserve">50% - </t>
  </si>
  <si>
    <t xml:space="preserve">55% - </t>
  </si>
  <si>
    <t xml:space="preserve">60% - </t>
  </si>
  <si>
    <t xml:space="preserve">65% - </t>
  </si>
  <si>
    <t xml:space="preserve">70% - </t>
  </si>
  <si>
    <t xml:space="preserve">75% - </t>
  </si>
  <si>
    <t xml:space="preserve">80% - </t>
  </si>
  <si>
    <t xml:space="preserve">85% - </t>
  </si>
  <si>
    <t xml:space="preserve">90% - </t>
  </si>
  <si>
    <t xml:space="preserve">95% - </t>
  </si>
  <si>
    <t xml:space="preserve">100% - </t>
  </si>
  <si>
    <t>orçamento favorável a partir daqui</t>
  </si>
  <si>
    <t>CUSTO UNITÁRIO CAIXOTE + PORTAS           =</t>
  </si>
  <si>
    <t>CUSTO REAL M2 (CAIXOTE + PORTAS)           =</t>
  </si>
  <si>
    <t>CUSTO M2 (CAIXOTE + PORTAS)</t>
  </si>
  <si>
    <t>PREÇO TOTAL CAIXOTE + PORTAS</t>
  </si>
  <si>
    <t>PREEÇO TOTAL CAIXOTE + PORTAS</t>
  </si>
  <si>
    <t>PREÇO M2 (CAIXOTE + PORTAS)</t>
  </si>
  <si>
    <t>PREÇO M2 (CAIXOTE + PORTA) =</t>
  </si>
  <si>
    <t>CUSTO UNITÁRIO CAIXOTE + PORTA             =</t>
  </si>
  <si>
    <t>FORNECEDOR</t>
  </si>
  <si>
    <t>CASFERIM</t>
  </si>
  <si>
    <t>V500 BASE CRUZ EXCENTRICO P/ DOBRADIÇA BLUM</t>
  </si>
  <si>
    <t>V250 DOBRADIÇA 110º RECTA C/ BLUMOTION</t>
  </si>
  <si>
    <t>V50 BASE P/ DOBRADIÇA BLUM 3MM</t>
  </si>
  <si>
    <t>V50 CALÇO EXCENTRICO CRUZ 6MM</t>
  </si>
  <si>
    <t>V50 DOBRADIÇA 110º RECTA S/ MOLA</t>
  </si>
  <si>
    <t>BATENTE 115 142 NIQ PEROLA</t>
  </si>
  <si>
    <t>DOBRAD BLUM ONIX 71T950A/16 PERFIL ALUMINIO</t>
  </si>
  <si>
    <t>DOBRAD COPO 35 SALICE CU SILENTIA + CUP35D9R</t>
  </si>
  <si>
    <t>DOBRAD BLUM COMPACT C/ CALÇO 3/8</t>
  </si>
  <si>
    <t>BARRA AVENTOS HL TOP 22Q1076U 1076MM</t>
  </si>
  <si>
    <t>CAPA ACUMULADOR BLUM HF/HS/HL TOP BRANCO DRT</t>
  </si>
  <si>
    <t>CAPA ACUMULADOR BLUM HF/HS/HL TOP BRANCO ESQ</t>
  </si>
  <si>
    <t>FIXADOR FRONTAL AVENTOS HL/HS/HK</t>
  </si>
  <si>
    <t>CAPA ACUMULADOR BLUM HF/HS/HL TOP CINZA ESCURO DRT</t>
  </si>
  <si>
    <t>CAPA ACUMULADOR BLUM HF/HS/HL TOP CINZA ESCURO ESQ</t>
  </si>
  <si>
    <t>DOBRAD SM.005.D.ECO X 75 INOX</t>
  </si>
  <si>
    <t>FECHO MAGNETICO 61000</t>
  </si>
  <si>
    <t>DOBRAD BLUM CRISTALLO 110º 71B4500C BLUMOTION</t>
  </si>
  <si>
    <t>FECHO MAGNETICO 06KG 7208 BRANCO</t>
  </si>
  <si>
    <t>BATENTE TEK 1921R INOX PRETO</t>
  </si>
  <si>
    <t>FECHO MAGNETICO 06KG 7208 CASTANHO</t>
  </si>
  <si>
    <t>FECHO MAGNETICO 10KG 7207 BRANCO</t>
  </si>
  <si>
    <t>FECHO MAGNETICO 10KG 7207 CASTANHO</t>
  </si>
  <si>
    <t>FERRAGEM FREE SLIDE M060 BRANCO</t>
  </si>
  <si>
    <t>FERRAGEM MICRO-ONDAS KESSEBOHMER FREE SLIDE M060</t>
  </si>
  <si>
    <t>FECHO MAGNETICO IN.17.024</t>
  </si>
  <si>
    <t>REFRENCIA</t>
  </si>
  <si>
    <t>QUANTIDADE (L)</t>
  </si>
  <si>
    <t>TIPO / MISTURA</t>
  </si>
  <si>
    <t>1 / 2 DE MAOS</t>
  </si>
  <si>
    <t xml:space="preserve">ATUALIZAÇÃO DOS CUSTOS </t>
  </si>
  <si>
    <t>APT - vai subir 8%</t>
  </si>
  <si>
    <t>CUSTO €/L</t>
  </si>
  <si>
    <t>CUSTO BALDE</t>
  </si>
  <si>
    <t>CUSTO € / L</t>
  </si>
  <si>
    <t>QUANTIDADE TOTAL DA MISTURA(L)</t>
  </si>
  <si>
    <t>CUSTO M2</t>
  </si>
  <si>
    <t>CUSTO HORA</t>
  </si>
  <si>
    <t>( 1L - 4m2)</t>
  </si>
  <si>
    <t>CUSTO PARA A EMPRESA DA ESTUFA</t>
  </si>
  <si>
    <t>CUSTO PARA A EMPRESA DA MÃO DE OBRA</t>
  </si>
  <si>
    <t>23€ - 1H</t>
  </si>
  <si>
    <t>ou seja, CUSTOS GERAIS PARA A EMPRESA</t>
  </si>
  <si>
    <t>23€ + 13,09€ = 36,09€ / h</t>
  </si>
  <si>
    <t>Nº DE LITROS GASTOS POR H</t>
  </si>
  <si>
    <t>ESMALTE A 770/1 NCS S1505-Y30 R 5L</t>
  </si>
  <si>
    <t>CATALIZADOR EN - 4130 10L</t>
  </si>
  <si>
    <t>GOYLAKE A 2202 NATUR 20L</t>
  </si>
  <si>
    <t>CATALIZADOR C 212-N 2L</t>
  </si>
  <si>
    <t>ESMALTE A 770/1 NCS S1505-Y30 R 1L</t>
  </si>
  <si>
    <t>OTACRIL AA 715/1 20L</t>
  </si>
  <si>
    <t>ENDURECEDOR EN 715 2L</t>
  </si>
  <si>
    <t>IGUAPRIM BRANCO IPP-661 5L</t>
  </si>
  <si>
    <t>DILUENTE POLIURETANO 1000L</t>
  </si>
  <si>
    <t>VELATURA APT.202 25L</t>
  </si>
  <si>
    <t>ESMALTE 4130/1 267 PEROLA AF-170825 24KG</t>
  </si>
  <si>
    <t>VERNIZ OTADUR APP 4444/10 ALTO BRILHO 10L</t>
  </si>
  <si>
    <t>AZPIFOND ACRILICO F 165 20L</t>
  </si>
  <si>
    <t>CATALIZADOR C 212-N 4L</t>
  </si>
  <si>
    <t>ESMALTE A-770/1 NCS S3010-G10Y 5L</t>
  </si>
  <si>
    <t>ESMALTE A-770/1 NCS S3010-R80B 5L</t>
  </si>
  <si>
    <t>ESMALTE APP-4130/1 RAL-1015 5L</t>
  </si>
  <si>
    <t>ESMALTE APP-4130/1 NCS S1000-N 1L</t>
  </si>
  <si>
    <t>ESMALTE APP-4130/1 RAL-9010 24KG</t>
  </si>
  <si>
    <t>VELATURA N026 AF-020823 25L</t>
  </si>
  <si>
    <t>ESMALTE HT 855/1 NCS S100N 3L</t>
  </si>
  <si>
    <t>ENDURECEDOR EN 266 10L</t>
  </si>
  <si>
    <t>ESMALTE A-770/0 RAL-9005 25L</t>
  </si>
  <si>
    <t>VELATURA N026 AF-020823 10L</t>
  </si>
  <si>
    <t>OTAFOND POLIURETANO FP 1028 25L</t>
  </si>
  <si>
    <t>CATALIZADOR EN 1028 12,5L</t>
  </si>
  <si>
    <t>VERNIZ OTADUR AP 2011/1 AV MATE 25L</t>
  </si>
  <si>
    <t>CATALIZADOR EN 2011 12,5L</t>
  </si>
  <si>
    <t>VELATURA APT.202 CAST.VELHO 10L</t>
  </si>
  <si>
    <t>FAST-PRIMER 1480 CINZENTO 1L</t>
  </si>
  <si>
    <t>DILUENTE ACRILICO 8337 NORMAL 1L</t>
  </si>
  <si>
    <t>DILUENTE RETARDANTE SUPER 25L</t>
  </si>
  <si>
    <t>ESMALTE OTADUR BRANCO APP-4130/1 24KG</t>
  </si>
  <si>
    <t>ESMALTE A 4130/1 RAL-9016 3L</t>
  </si>
  <si>
    <t>ESMALTE A 770/1 2062-20 AF-240725 5L</t>
  </si>
  <si>
    <t xml:space="preserve">ESMALTE APP-4130/1 RAL 9010 10L </t>
  </si>
  <si>
    <t>ESMALTE OTADUR AP-4130/0 BRANCO 24KG</t>
  </si>
  <si>
    <t>ESMALTE AP 4444/10 BRILHANTE RAL. 5L</t>
  </si>
  <si>
    <t>CATALIZADOR EN 4444 12,5L</t>
  </si>
  <si>
    <t>CATALIZADOR EN 4444 2,5L</t>
  </si>
  <si>
    <t>ESMALTE A-770/1 N005-MET AF-230226 5L</t>
  </si>
  <si>
    <t>OTALIL PIG.BRANCO FOP - 397 28KG</t>
  </si>
  <si>
    <t>ACELARANTE AC 390 1L</t>
  </si>
  <si>
    <t>ENDURECEDOR EN-394 1L</t>
  </si>
  <si>
    <t>ESMALTE APP 4140/1 RAL-9010 26KG</t>
  </si>
  <si>
    <t>FUNDO POLIURETANO OTAFOND 1025 25L</t>
  </si>
  <si>
    <t>MDF HIDROFUGO</t>
  </si>
  <si>
    <t>BRANCO</t>
  </si>
  <si>
    <t>LINHO</t>
  </si>
  <si>
    <t>CINZA</t>
  </si>
  <si>
    <t>METALIZADO</t>
  </si>
  <si>
    <t>PRETO</t>
  </si>
  <si>
    <t>CATALIZADOR EN 100 12,5L</t>
  </si>
  <si>
    <t>OTAFOND NEGRO FPP - 270 28KG</t>
  </si>
  <si>
    <t>ENDURECEDOR ELITE HARDENER 0,5L</t>
  </si>
  <si>
    <t>ESMALTE A 770/1 S 6030-Y 5L</t>
  </si>
  <si>
    <t>ESMALTE A 770/1 S 4050-Y70R 3L</t>
  </si>
  <si>
    <t xml:space="preserve">ESMALTE APP-4130/1 NCS S2005-Y50R 5L </t>
  </si>
  <si>
    <t>ESMALTE A-770/1 NCS S1505-Y30R 5L</t>
  </si>
  <si>
    <t>VELATURA APT. AF-190126 5L</t>
  </si>
  <si>
    <t>STONE 2K  MATE 5L</t>
  </si>
  <si>
    <t>TAPA-POROS POLIRETANO</t>
  </si>
  <si>
    <t>VERNIZ POLIRETANO</t>
  </si>
  <si>
    <t>TAPA-POROS ACRÍLICO</t>
  </si>
  <si>
    <t>VERNIZ ACRILICO / NATUR</t>
  </si>
  <si>
    <t>SUBCAPA</t>
  </si>
  <si>
    <t>ESMALTE</t>
  </si>
  <si>
    <t>MÉDIA CATALIZADOR:</t>
  </si>
  <si>
    <t>MÉDIA AZPIFOND:</t>
  </si>
  <si>
    <t>MÉDIA GOYLAKE / OTACRIL:</t>
  </si>
  <si>
    <t>MÉDIA OTAFOND / FUNDO POLIRETANO:</t>
  </si>
  <si>
    <t>CUSTO MÉDIA MISTURA</t>
  </si>
  <si>
    <t>MÉDIA ENDURECEDOR / ACELARANTE:</t>
  </si>
  <si>
    <t>se 1L custa --€ e com esse litro pintamos 4m2, entao:</t>
  </si>
  <si>
    <t>4m2</t>
  </si>
  <si>
    <t>1m2</t>
  </si>
  <si>
    <t>x = 1,30€ / m2</t>
  </si>
  <si>
    <t>Contraplacado Betula - Carvalho A/B - 18mm</t>
  </si>
  <si>
    <t>Contraplaco Betula - Carvalho A/B - 18mm</t>
  </si>
  <si>
    <t>Contraplacado Betula - Carvalho A/B - 15mm</t>
  </si>
  <si>
    <t>Contraplaco Betula - Carvalho A/B - 15mm</t>
  </si>
  <si>
    <t>MDF Valchromat E05 SBL Preto - 19mm</t>
  </si>
  <si>
    <t>Aglomerado Folha de Carvalho A/B - 40mm</t>
  </si>
  <si>
    <t>Aglomerado Folha Carvalho A/B - 40mm</t>
  </si>
  <si>
    <t>MDF Hidrofugo - 10mm</t>
  </si>
  <si>
    <t>Contraplacado WBP Betula BB/CP - 9mm</t>
  </si>
  <si>
    <t>Aglomerado Folha Carvalho A/B - 16mm</t>
  </si>
  <si>
    <t>MADEIRAS CARVALHO</t>
  </si>
  <si>
    <t>MELAMINA MADEIRAS</t>
  </si>
  <si>
    <t>MADEIRAS PINHO</t>
  </si>
  <si>
    <t>Painel Tricapa - 27mm</t>
  </si>
  <si>
    <t>Placa MAD OSB 3 - 15mm</t>
  </si>
  <si>
    <t>Placa MAD Osb 3 - 15mm</t>
  </si>
  <si>
    <t>MADEIRAS NOGUEIRA</t>
  </si>
  <si>
    <t>Contraplacdo Betula - Nogueira A/B - 18mm</t>
  </si>
  <si>
    <t>MADEIRA BETULA</t>
  </si>
  <si>
    <t>Contraplacado WBP Betula BB/CP - 15mm</t>
  </si>
  <si>
    <t>Contraplaco Betula - Carvalho A/B - 12mm</t>
  </si>
  <si>
    <t>Aglomerado Folha Carvalho A/B - 19mm</t>
  </si>
  <si>
    <t>MADEIRA SUCUPIRA</t>
  </si>
  <si>
    <t>MADEIRA CHOPO</t>
  </si>
  <si>
    <t>Contraplacado C1 Chopo B/BB - 12mm</t>
  </si>
  <si>
    <t>Aglomerado Folha Carvalho A/B - 30mm</t>
  </si>
  <si>
    <t>MDF Hidrófugo - 25mm</t>
  </si>
  <si>
    <t>Contraplacado WBP Anti Derrapende (167 Gr) - 12 mm</t>
  </si>
  <si>
    <t>MADEIRA PALISSANDRO</t>
  </si>
  <si>
    <t>Aglomerado Folha Palissandro RW489 A/A - 19mm</t>
  </si>
  <si>
    <t>MDF Hidrófugo - 30mm</t>
  </si>
  <si>
    <t>Contraplaco WBP Betula BB/CP - 18mm</t>
  </si>
  <si>
    <t>MDF Standard - 05mm</t>
  </si>
  <si>
    <t>MDF Hidrofugo - 12mm</t>
  </si>
  <si>
    <t>MDF Hidrófugo</t>
  </si>
  <si>
    <t>MDF Lamipan Nogueira A/B - 19mm</t>
  </si>
  <si>
    <t>Contraplaco Betula - Carvalho A/B - 10mm</t>
  </si>
  <si>
    <t>MDF CRU</t>
  </si>
  <si>
    <t>Aglomerado Folha Carvalho A/B - 20mm</t>
  </si>
  <si>
    <t>Melamina Cinza Claro - U707 ST9 - 19mm</t>
  </si>
  <si>
    <t>Melamina Branca - W100 ST9 - 19mm</t>
  </si>
  <si>
    <t>COLORIDO</t>
  </si>
  <si>
    <t>Melamina Verde Opala - U608 ST9 - 19mm</t>
  </si>
  <si>
    <t>Melamina LINHO AGADIR - F755 - 10mm</t>
  </si>
  <si>
    <t>Melamina LINHO AGADIR - F755 - 16mm</t>
  </si>
  <si>
    <t>Melamina Cinza Rato EGGER - U750 ST9 - 19mm</t>
  </si>
  <si>
    <t>Melamina CINZA RATO - EGGER - U750 ST9 - 19mm</t>
  </si>
  <si>
    <t>Melamina BRANCO PURO - W1000 ST9 - 19mm</t>
  </si>
  <si>
    <t>Melamina BRANCO PORCELANA - W1200 ST9 - 19mm</t>
  </si>
  <si>
    <t>Melamina Padrão CARVALHO SPANO - EGGER - H1357 - 19mm</t>
  </si>
  <si>
    <t>Melamina PRETO - EGGER - U999 - 19mm</t>
  </si>
  <si>
    <t>Melamina LINHO CASTANHO - EGGER - F6012 - 16mm</t>
  </si>
  <si>
    <t>Melamina Padrão MADEIRA NOGUEIRA - EGGER - H1715 - 19mm</t>
  </si>
  <si>
    <t>Melamina VERDE OPALA - EGGER - U608 ST9 - 19mm</t>
  </si>
  <si>
    <t>Melamina MDF Anti-Dedada CINZA MATE - EGGER - 19mm</t>
  </si>
  <si>
    <t xml:space="preserve">MDF Hidrifugo - 19mm </t>
  </si>
  <si>
    <t>Melamina PRETO - EGGER - L3031 - 19mm</t>
  </si>
  <si>
    <t>BEGE</t>
  </si>
  <si>
    <t>Termolaminado BEGE Nature Alto Brilho - 20mm</t>
  </si>
  <si>
    <t>MDF Valchromat E05 SBL - PRETO - 19mm</t>
  </si>
  <si>
    <t>Melamina Padrão CARVALHO - EGGER - H3146 - 19mm</t>
  </si>
  <si>
    <t>Melamina - CINZA PRATA - SONAE - L166 - 16mm</t>
  </si>
  <si>
    <t>Melamina - CINZA ESCURO - L167 - 16mm</t>
  </si>
  <si>
    <t>Melamina - F6012 TL - 10 mm</t>
  </si>
  <si>
    <t>Melamina - F6012 TL - 16 mm</t>
  </si>
  <si>
    <t>Melamina - B3768 SC - 10 mm</t>
  </si>
  <si>
    <t>Melamina - B3768 SC - 16 mm</t>
  </si>
  <si>
    <t>Melamina - HIDRO B3768 SC - 16 mm</t>
  </si>
  <si>
    <t>Termolaminado BEGE Nature - B116 - Alto Brilho - 20mm</t>
  </si>
  <si>
    <t>Melamina EGGER - BRANCO PORCELANA - W1200 ST9 - 8 mm</t>
  </si>
  <si>
    <t>Melamina EGGER - BRANCO PORCELANA - W1200 ST9 - 19mm</t>
  </si>
  <si>
    <t>Melamina Madeira Premium CARVALHO - EGGER - H1384 - 19mm</t>
  </si>
  <si>
    <t>Melamina CINZA ESCURO - EGGER - L167 - 10mm</t>
  </si>
  <si>
    <t>Melamina CINZA CLARO MATE - EGGER - U707 ST9 - 19mm</t>
  </si>
  <si>
    <t>Termolaminado CINZA CLARO ALTO BRILHO - D003 - 19mm</t>
  </si>
  <si>
    <t>ARAÚJO &amp; LINO</t>
  </si>
  <si>
    <t>Compacto Fenólico - PRETO - 0080 FH - 12mm</t>
  </si>
  <si>
    <t>Compacto Fenólico - BRANCO - 0085 FH - 12mm</t>
  </si>
  <si>
    <t>Aglomerado sand. PRETO - P001 - 19,6mm</t>
  </si>
  <si>
    <t>Aglomerado sand. PRETO SUAVE - P001 - 19,6mm</t>
  </si>
  <si>
    <t>Aglomerado sand. PRETO ULTRA MATE (anti-dedada) - C182 - 19,6mm</t>
  </si>
  <si>
    <t>Contraplacado BETULA B/C MAR. - 18mm</t>
  </si>
  <si>
    <t>Aglomerado sand. CINZA - G075 - 20mm</t>
  </si>
  <si>
    <t>Aglomerado sand. PRETO SEDOSO - N005 - 19,6mm</t>
  </si>
  <si>
    <t>Aglomerado sand. CINZA PRATA ALTO BRILHO- G029 - 20mm</t>
  </si>
  <si>
    <t>Aglomerado Sand. CINZA CLARO TEXTURA - P114 - 19,6mm</t>
  </si>
  <si>
    <t>Aglomerado sand. PRETO ULTRA MATE (anti-dedada) - C104 - 19,6mm</t>
  </si>
  <si>
    <t>Aglomerado sand. BRANCO ACETINADO - B117 - 19,6mm</t>
  </si>
  <si>
    <t>Compacto Interior - CINZA MEDIO - 1084 - 12mm</t>
  </si>
  <si>
    <t>Aglomerado sand. CINZA CLARO ALTO BRILHO - G003 - 20mm</t>
  </si>
  <si>
    <t>Aglomerado sand. CINZA PRATA ALTO BRILHO - G029 - 20mm</t>
  </si>
  <si>
    <t>Compacto Fenólico - CINZA ALUMÍNIO - 0026 FH - 16mm</t>
  </si>
  <si>
    <t>Aglomerado Sand. BRANCO SUAVE - B070 - 20mm</t>
  </si>
  <si>
    <t>Melamina (Hidro.) - BRANCO MATE - B030/B030 - 16mm</t>
  </si>
  <si>
    <t xml:space="preserve">Designação Comercial </t>
  </si>
  <si>
    <t>Tipo de Material</t>
  </si>
  <si>
    <t>Utilização Recomendada &amp; Benefício Principal</t>
  </si>
  <si>
    <t>MDF CRU (PARA LACAR OU PINTAR)</t>
  </si>
  <si>
    <t>MDF Cru Standard</t>
  </si>
  <si>
    <t>MDF Standard</t>
  </si>
  <si>
    <t>Estruturas ultra-leves, fundos de móveis e painéis decorativos finos.</t>
  </si>
  <si>
    <t>MDF HIDRÓFUGO (ALTA RESISTÊNCIA À HUMIDADE)</t>
  </si>
  <si>
    <t>Interiores de zonas húmidas, caixarias e forras leves.</t>
  </si>
  <si>
    <t>Estruturas médias, painéis decorativos com recortes e divisórias.</t>
  </si>
  <si>
    <t>O standard ideal para caixarias de móveis de Cozinha e Casa de Banho.</t>
  </si>
  <si>
    <t>Portas de armários robustas, frentes prontas para lacagem ou pintura.</t>
  </si>
  <si>
    <t>Portas espessas especiais ou prateleiras com resistência intermédia.</t>
  </si>
  <si>
    <t>Tampos de mesa pesados, prateleiras de grande suporte e decoração.</t>
  </si>
  <si>
    <t>Tampos espessos especiais, balcões e elementos estruturais nobres.</t>
  </si>
  <si>
    <t>Painéis maciços arquitetónicos de alta performance e suporte extremo.</t>
  </si>
  <si>
    <t>GAMA DE BRANCOS (INTERIORES E FRENTES)</t>
  </si>
  <si>
    <t>Melamina Standard</t>
  </si>
  <si>
    <t>Leve e económico. Ideal para fundos de gaveta e traseiras de roupeiros.</t>
  </si>
  <si>
    <t>Costas de roupeiros, móveis fechados e divisórias leves.</t>
  </si>
  <si>
    <t>Melamina Hidrófuga</t>
  </si>
  <si>
    <t>Interior protetor económico de Cozinha e Casa de Banho. Repele vapor.</t>
  </si>
  <si>
    <t>Interior premium de armários de Cozinha e WC. Luminoso e higiénico.</t>
  </si>
  <si>
    <t>Excelente para frentes de móveis, prateleiras de sala e quartos.</t>
  </si>
  <si>
    <t>Tom mais aconchegante (cremoso), ideal para salas ou escritórios.</t>
  </si>
  <si>
    <t>Termolaminado Sanduíche</t>
  </si>
  <si>
    <t>Revestimento em Fórmica dura. Ultra-resistente a riscos para portas.</t>
  </si>
  <si>
    <t>Acabamento robusto para frentes de cozinha e tampos de tráfego intenso.</t>
  </si>
  <si>
    <t>Compacto Fenólico</t>
  </si>
  <si>
    <t>Indestrutível e 100% à prova de água. Ideal para bancadas de WC/cozinha.</t>
  </si>
  <si>
    <t>GAMA DE LINHO (EFEITO TÊXTIL ACOLHEDOR)</t>
  </si>
  <si>
    <t>Traseiras e interiores de roupeiros com toque real a tecido cru.</t>
  </si>
  <si>
    <t>Interiores de roupeiro premium. Dá um aspeto de alfaiataria ao armário.</t>
  </si>
  <si>
    <t>Textura têxtil escura acolhedora para interiores de closet de luxo.</t>
  </si>
  <si>
    <t>GAMA DE CINZAS (DESIGN CONTEMPORÂNEO)</t>
  </si>
  <si>
    <t>Costas de armários e fundos de gaveta de design escuro.</t>
  </si>
  <si>
    <t>Interiores de armários modernos em Cozinhas ou áreas húmidas.</t>
  </si>
  <si>
    <t>Interiores de roupeiros e prateleiras decorativas equilibradas.</t>
  </si>
  <si>
    <t>Frentes de roupeiros modernos e mobiliário minimalista.</t>
  </si>
  <si>
    <t>Portas e painéis decorativos de tom neutro e suave.</t>
  </si>
  <si>
    <t>Acabamento luxuoso brilhante tipo lacado com película protetora.</t>
  </si>
  <si>
    <t>Termolaminado de alta resistência com textura protetora orgânica.</t>
  </si>
  <si>
    <t>Tom cimento/basalto para painéis e frentes robustas de cozinha.</t>
  </si>
  <si>
    <t>Superfície espelhada de alto brilho para designs vanguardistas.</t>
  </si>
  <si>
    <t>Efeito vidro lacado luminoso para frentes de cozinha exclusivas.</t>
  </si>
  <si>
    <t>MDF Premium Anti-Dedada</t>
  </si>
  <si>
    <t>Tecnologia anti-dedada e aveludada. Não marca gordura das mãos.</t>
  </si>
  <si>
    <t>Fenólico de alta densidade impermeável para áreas de laboratório ou tampos.</t>
  </si>
  <si>
    <t>Efeito betão/metal industrial. Painel maciço ultra-grosso para ilhas de luxo.</t>
  </si>
  <si>
    <t>GAMA DE BEGES E METALIZADOS</t>
  </si>
  <si>
    <t>Tom creme/bege com acabamento espelhado de alta resistência a impactos.</t>
  </si>
  <si>
    <t>Melamina Decorativa</t>
  </si>
  <si>
    <t>Efeito metalizado/industrial para fundos e detalhes visuais modernos.</t>
  </si>
  <si>
    <t>Painéis traseiros finos com padrão industrial diferenciado.</t>
  </si>
  <si>
    <t>Interiores de móveis ou frentes de estilo industrial/moderno.</t>
  </si>
  <si>
    <t>GAMA DE PRETOS (MATE PROFUNDO E LUXO)</t>
  </si>
  <si>
    <t>Portas de roupeiro ou estantes em tom escuro standard.</t>
  </si>
  <si>
    <t>Visual nobre para mobiliário executivo ou painéis de sala.</t>
  </si>
  <si>
    <t>Valchromat Premium</t>
  </si>
  <si>
    <t>Placa de fibra orgânica colorida em todo o miolo. Ideal para fresagens.</t>
  </si>
  <si>
    <t>Termolaminado resistente a pancadas nas arestas para frentes de armários.</t>
  </si>
  <si>
    <t>Toque acetinado macio com brilho muito reduzido para designs limpos.</t>
  </si>
  <si>
    <t>Termolaminado Premium</t>
  </si>
  <si>
    <t>Superfície anti-dedada permanente. Toque aveludado de luxo.</t>
  </si>
  <si>
    <t>Tom antracite/ferro fundido com barreira total anti-dedada.</t>
  </si>
  <si>
    <t>A escolha indestrutível para bancadas modernas de cozinha e ilhas.</t>
  </si>
  <si>
    <t>PADRÕES DE MADEIRAS GERAIS</t>
  </si>
  <si>
    <t>Costas de móveis ou painéis finos amadeirados económicos.</t>
  </si>
  <si>
    <t>Estruturas internas e caixarias com padrão amadeirado decorativo.</t>
  </si>
  <si>
    <t>Tom de cor pastel tendência, ideal para frentes de quartos ou cozinhas.</t>
  </si>
  <si>
    <t>MADEIRAS DE CARVALHO (REPRODUÇÕES E FOLHA NATURAL)</t>
  </si>
  <si>
    <t>Melamina Premium</t>
  </si>
  <si>
    <t>Reprodução fiel de carvalho com veios fluidos, estilo escandinavo.</t>
  </si>
  <si>
    <t>Padrão carvalho com nós e veios mais marcados e expressivos.</t>
  </si>
  <si>
    <t>Melamina Elite Sincro</t>
  </si>
  <si>
    <t>O relevo tátil acompanha os veios visuais. Parece madeira real envernizada.</t>
  </si>
  <si>
    <t>Folha de Madeira Real</t>
  </si>
  <si>
    <t>Placa económica revestida com folha real de carvalho pronto a envernizar.</t>
  </si>
  <si>
    <t>Ideal para painéis e prateleiras de aspeto 100% natural.</t>
  </si>
  <si>
    <t>Mobiliário nobre, portas de salas e escritórios de prestígio.</t>
  </si>
  <si>
    <t>Tampos e frentes robustas em madeira natural de carvalho selecionado.</t>
  </si>
  <si>
    <t>Tampos espessos ou prateleiras longas de carvalho real.</t>
  </si>
  <si>
    <t>Mobiliário pesado estrutural e design robusto de carvalho.</t>
  </si>
  <si>
    <t>MADEIRAS EXÓTICAS E NOBRES (SUCUPIRA, NOGUEIRA, PALISSANDRO)</t>
  </si>
  <si>
    <t>Tom escuro tropical exótico e luxuoso com folha natural pura.</t>
  </si>
  <si>
    <t>Tom castanho quente rico, imitando com precisão a folha de nogueira.</t>
  </si>
  <si>
    <t>MDF Folheado</t>
  </si>
  <si>
    <t>Folha real de nogueira sobre miolo liso de MDF, acabamento de elite.</t>
  </si>
  <si>
    <t>Madeira rara e exótica com desenho marcante e exclusivo de alta gama.</t>
  </si>
  <si>
    <t>CONTRAPLACADOS DE DESIGN NÓRDICO (MIOLO DE BÉTULA)</t>
  </si>
  <si>
    <t>Contraplacado Especial</t>
  </si>
  <si>
    <t>Combina o topo folhado multicamada com a face em carvalho real.</t>
  </si>
  <si>
    <t>Ideal para mobiliário de design onde a orla folhada fica visível.</t>
  </si>
  <si>
    <t>Excelente estabilidade estrutural para caixas e gavetas de luxo.</t>
  </si>
  <si>
    <t>Portas e tampos de alta gama com acabamento escandinavo e orla folhada.</t>
  </si>
  <si>
    <t>Base ultra-rígida de bétula com face nobre de nogueira real.</t>
  </si>
  <si>
    <t>Contraplacado Técnico</t>
  </si>
  <si>
    <t>Muito leve e flexível, excelente para tetos, forras ou painéis interiores.</t>
  </si>
  <si>
    <t>CONTRAPLACADOS MARÍTIMOS (100% IMPERMEÁVEIS WBP)</t>
  </si>
  <si>
    <t>Marítimo de Bétula</t>
  </si>
  <si>
    <t>Resistente à água direta e intempéries. Excelente para bases estruturais.</t>
  </si>
  <si>
    <t>Grande robustez para caixarias de cozinhas e furgões industriais.</t>
  </si>
  <si>
    <t>O topo de gama para caixarias de cozinha duradouras contra inundações.</t>
  </si>
  <si>
    <t>Face limpa para envernizamento. Ideal para designs nórdicos premium em WC.</t>
  </si>
  <si>
    <t>Marítimo Técnico</t>
  </si>
  <si>
    <t>Revestimento texturado rugoso grosso. Ideal para pavimentos ou palcos.</t>
  </si>
  <si>
    <t>PAINÉIS DE CONSTRUÇÃO E ESTRUTURAIS</t>
  </si>
  <si>
    <t>OSB Estrutural</t>
  </si>
  <si>
    <t>Placa de lascas prensadas. Resistente à humidade, ideal para estruturas ocultas.</t>
  </si>
  <si>
    <t>Madeira Tricapa</t>
  </si>
  <si>
    <t>Três camadas cruzadas de pinho real. Máxima resistência ao empeno natural.</t>
  </si>
  <si>
    <t>PONTOS ESPECIAIS &amp; TEXTURAS DE PEDRA</t>
  </si>
  <si>
    <t>Fiel reprodução do mármore italiano com veios cinza. Alta proteção.</t>
  </si>
  <si>
    <t>GLOSSÁRIO DE APOIO</t>
  </si>
  <si>
    <t>Explicação Prática (Linguagem Simples)</t>
  </si>
  <si>
    <t>Quando é Obrigatório / Recomendado?</t>
  </si>
  <si>
    <t>Melamina Standard / Aglomerado</t>
  </si>
  <si>
    <t>Papel decorativo prensado diretamente sobre placa de partículas de madeira. É a opção mais económica e comum.</t>
  </si>
  <si>
    <t>Excelente para roupeiros por dentro, estantes de sala, móveis de quarto e prateleiras gerais.</t>
  </si>
  <si>
    <t>Painel tratado com resinas especiais que repelem a água. Geralmente tem o miolo esverdeado para fácil identificação.</t>
  </si>
  <si>
    <t>Obrigatório para o interior de móveis de cozinha (módulo do lava-loiça) e casas de banho onde há vapor constante.</t>
  </si>
  <si>
    <t>Uma placa de aglomerado robusta revestida em ambas as faces por folhas espessas de Fórmica real coladas sob alta pressão. Suporta impactos violentos sem lascar.</t>
  </si>
  <si>
    <t>Ideal para frentes/portas de cozinhas modernas, tampos de secretárias de escritórios ou zonas com crianças.</t>
  </si>
  <si>
    <t>Tecnologia Anti-Dedada (Ultra-Mate)</t>
  </si>
  <si>
    <t>Superfície tecnológica premium super fosca (baça) com toque aveludado que repele a gordura das mãos, eliminando as marcas de dedadas.</t>
  </si>
  <si>
    <t>Altamente recomendado para portas e frentes de cozinha pretas, cinzas escuras ou brancas de luxo.</t>
  </si>
  <si>
    <t>Placa maciça ultra-densa feita sem madeira, combinando folhas de papel e resinas sob calor extremo. É 100% à prova de água e indestrutível.</t>
  </si>
  <si>
    <t>Ideal para bancadas de cozinha, tampos de lavatórios, divisórias de duche ou mesas de esplanada exterior.</t>
  </si>
  <si>
    <t>Uma fina camada de madeira verdadeira (Carvalho, Sucupira, Nogueira) colada sobre a placa, mantendo o aspeto, nós e textura da árvore.</t>
  </si>
  <si>
    <t>Para clientes que exigem mobiliário de prestígio tradicional e pretendem aplicar verniz ou ceras na oficina.</t>
  </si>
  <si>
    <t>Contraplacado Marítimo (WBP)</t>
  </si>
  <si>
    <t>Folhas de madeira maciça sobrepostas in camadas cruzadas e coladas com resinas marítimas. Não empena e resiste à água direta.</t>
  </si>
  <si>
    <t>Construção de móveis de alta gama para barcos, carrinhas, ou caixarias de cozinhas de luxo eternas.</t>
  </si>
  <si>
    <t>Evolução do MDF: um painel de fibra de madeira colorido em toda a espessura com corantes orgânicos. Permite fresar e desenhar sem perder a cor.</t>
  </si>
  <si>
    <t>Criação de puxadores embutidos cavados na própria porta, designs de autor e mobiliário contemporâneo.</t>
  </si>
  <si>
    <t>MDF Cru Hidrófugo Premium - 10mm</t>
  </si>
  <si>
    <t>MDF Cru Hidrófugo Premium - 12mm</t>
  </si>
  <si>
    <t>MDF Cru Hidrófugo Premium - 16mm</t>
  </si>
  <si>
    <t>MDF Cru Hidrófugo Premium - 19mm</t>
  </si>
  <si>
    <t>MDF Cru Hidrófugo Premium - 22mm</t>
  </si>
  <si>
    <t>MDF Cru Hidrófugo Premium - 25mm</t>
  </si>
  <si>
    <t>MDF Cru Hidrófugo Premium - 30mm</t>
  </si>
  <si>
    <t>MDF Cru Hidrófugo Premium - 40mm</t>
  </si>
  <si>
    <t>Branco Porcelana (Mate Suave) - 8mm</t>
  </si>
  <si>
    <t>Branco Glaciar (Mate Clássico) - 10mm</t>
  </si>
  <si>
    <t>Branco Macio Anti-Humidade (Mate) - 16mm</t>
  </si>
  <si>
    <t>Branco Puro Anti-Humidade (Mate) - 16mm</t>
  </si>
  <si>
    <t>Branco Puro Extra (Mate Sedoso) - 19mm</t>
  </si>
  <si>
    <t>Branco Porcelana (Mate Quente) - 19mm</t>
  </si>
  <si>
    <t>Branco Caulino (Sanduíche Acetinado) - 19,6mm</t>
  </si>
  <si>
    <t>Branco Megève (Sanduíche Satinado) - 20mm</t>
  </si>
  <si>
    <t>Branco Fenólico Maciço (Impermeável) - 12mm</t>
  </si>
  <si>
    <t>Linho Agadir Claro (Efeito Tecido) - 10mm</t>
  </si>
  <si>
    <t>Linho Agadir Claro (Efeito Tecido) - 16mm</t>
  </si>
  <si>
    <t>Linho Castanho Nobre (Efeito Tecido) - 16mm</t>
  </si>
  <si>
    <t>Cinza Rato Moderno - 10mm</t>
  </si>
  <si>
    <t>Cinza Rato Anti-Humidade - 16mm</t>
  </si>
  <si>
    <t>Cinza Prata Clássico (Mate) - 16mm</t>
  </si>
  <si>
    <t>Cinza Rato Escuro (Mate) - 19mm</t>
  </si>
  <si>
    <t>Cinza Claro Equilibrado (Mate) - 19mm</t>
  </si>
  <si>
    <t>Cinza Claro Espelhado (Alto Brilho) - 19mm</t>
  </si>
  <si>
    <t>Cinza Claro Mineral (Texturado) - 19,6mm</t>
  </si>
  <si>
    <t>Cinza Basalto Profundo - 20mm</t>
  </si>
  <si>
    <t>Cinza Prata Reflex (Alto Brilho) - 20mm</t>
  </si>
  <si>
    <t>Cinza Claro Reflex (Alto Brilho) - 20mm</t>
  </si>
  <si>
    <t>Cinza Anti-Dedada Top-Premium - 19mm</t>
  </si>
  <si>
    <t>Cinza Médio Técnico (Maciço) - 12mm</t>
  </si>
  <si>
    <t>Cinza Alumínio &amp; Betão (Maciço) - 16mm</t>
  </si>
  <si>
    <t>Bege Nature Reflex (Alto Brilho) - 20mm</t>
  </si>
  <si>
    <t>Padrão Fantasia Metalizado F067 - 8mm</t>
  </si>
  <si>
    <t>Padrão Fantasia Metalizado F067 - 10mm</t>
  </si>
  <si>
    <t>Padrão Fantasia Metalizado F067 - 16mm</t>
  </si>
  <si>
    <t>Preto Básico Económico - 19mm</t>
  </si>
  <si>
    <t>Preto Fenólico Maciço (Impermeável) - 12mm</t>
  </si>
  <si>
    <t>Preto Puro Profundo (Mate Sedoso) - 19mm</t>
  </si>
  <si>
    <t>MDF Valchromat Preto Maciço - 19mm</t>
  </si>
  <si>
    <t>Preto Suave Alta Performance - 19,6mm</t>
  </si>
  <si>
    <t>Preto Sedoso Confort -  19,6mm</t>
  </si>
  <si>
    <t>Preto Ultra-Mate Anti-Dedada (Elite C182) -  19,6mm</t>
  </si>
  <si>
    <t>Preto Ultra-Mate Anti-Dedada (Elite C104) - 19,6mm</t>
  </si>
  <si>
    <t>Melamina Madeiras M2112 - 100mm</t>
  </si>
  <si>
    <t>Melamina Madeiras M2112 - 16mm</t>
  </si>
  <si>
    <t>Verde Opala Mineral - 19mm</t>
  </si>
  <si>
    <t>Carvalho Escandinavo Natural - 19mm</t>
  </si>
  <si>
    <t>Carvalho Spano Rústico - 19mm</t>
  </si>
  <si>
    <t>Carvalho Casella Real (Textura Sincronizada) - 19mm</t>
  </si>
  <si>
    <t>Aglomerado com Folha Carvalho Real A/B - 10mm</t>
  </si>
  <si>
    <t>Aglomerado com Folha Carvalho Real A/B - 19mm</t>
  </si>
  <si>
    <t>Aglomerado com Folha Carvalho Real A/B - 20mm</t>
  </si>
  <si>
    <t>Aglomerado com Folha Carvalho Real A/B - 30mm</t>
  </si>
  <si>
    <t>Aglomerado com Folha Carvalho Real A/B - 40mm</t>
  </si>
  <si>
    <t>Aglomerado com Folha Sucupira Real A/B - 19mm</t>
  </si>
  <si>
    <t>Nogueira Clássica Americana - 19mm</t>
  </si>
  <si>
    <t>MDF Lamipan Nogueira Selecionada - 19mm</t>
  </si>
  <si>
    <t>Aglomerado com Folha Palissandro RW489 - 19mm</t>
  </si>
  <si>
    <t>Contraplacado Bétula com Carvalho Real - 10mm</t>
  </si>
  <si>
    <t>Contraplacado Bétula com Carvalho Real - 12mm</t>
  </si>
  <si>
    <t>Contraplacado de Choupo B/BB Estável - 12mm</t>
  </si>
  <si>
    <t>Contraplacado Bétula com Carvalho Real- 15mm</t>
  </si>
  <si>
    <t>Contraplacado Bétula com Carvalho Real - 18mm</t>
  </si>
  <si>
    <t>Contraplacado de Bétula Nogueira A/B - 18mm</t>
  </si>
  <si>
    <t>Contraplacado Marítimo WBP Bétula - 9mm</t>
  </si>
  <si>
    <t>Contraplacado Marítimo WBP Bétula - 15mm</t>
  </si>
  <si>
    <t>Contraplacado Marítimo WBP Bétula - 18mm</t>
  </si>
  <si>
    <t>Contraplacado Marítimo BÉTULA B/C MAR. - 18mm</t>
  </si>
  <si>
    <t>Contraplacado Marítimo Anti-Derrapante - 12mm</t>
  </si>
  <si>
    <t>Placa de Madeira OSB 3 - 15mm</t>
  </si>
  <si>
    <t>Painel Tricapa de Pinho Maciço - 27mm</t>
  </si>
  <si>
    <t>Mármore de Carrara (Sanduíche Premium) - 19,6mm</t>
  </si>
  <si>
    <t>Aglomerado com Folha Carvalho Real A/B - 16mm</t>
  </si>
  <si>
    <t>se em média o pintor gasta 20L por dia ee se num dia trabalha 9h30min</t>
  </si>
  <si>
    <t>9h30min</t>
  </si>
  <si>
    <t>20L</t>
  </si>
  <si>
    <t>1h</t>
  </si>
  <si>
    <t>x=20/9,5 = 2,11 litros por hora</t>
  </si>
  <si>
    <t>INFORMAÇÕES PINTURA:</t>
  </si>
  <si>
    <t>MISTURAS</t>
  </si>
  <si>
    <t>LITROS</t>
  </si>
  <si>
    <t>DESCRIÇÃO:</t>
  </si>
  <si>
    <t>otafond poliretano</t>
  </si>
  <si>
    <t>catalizador</t>
  </si>
  <si>
    <t xml:space="preserve">verniz otadur ou stone 2k mate </t>
  </si>
  <si>
    <t>catalizador ou endurecedor</t>
  </si>
  <si>
    <t>azpofond</t>
  </si>
  <si>
    <t>VERNIZ ACRÍLICO / NATUR</t>
  </si>
  <si>
    <t>goyake ou otacril</t>
  </si>
  <si>
    <t>otafond ou iguaprim branco</t>
  </si>
  <si>
    <t>endurecedor</t>
  </si>
  <si>
    <t>esmalte ou otalil</t>
  </si>
  <si>
    <t xml:space="preserve">catalizador </t>
  </si>
  <si>
    <t>1L de mistura dá para 4m2</t>
  </si>
  <si>
    <t>por dia o pintor gasta em média 20 litros de líquido</t>
  </si>
  <si>
    <t>gasta certa de 10 litros por cozinha (média)</t>
  </si>
  <si>
    <t>pinta uma parte de uma cozinha numa manha, deixa secar 24horas e depois volta a pintar o resto - ou seja - se não contar o tempo de espera demora um dia a pintar uma cozinha</t>
  </si>
  <si>
    <t>as placas que já tem acabamento, não levam pintura</t>
  </si>
  <si>
    <t>gasta em média 1 lata de subcapa por dia</t>
  </si>
  <si>
    <t>demora 7 meses a gastar 1000 litros de diluente</t>
  </si>
  <si>
    <t>(em média)</t>
  </si>
  <si>
    <t>1L dá para 4m2</t>
  </si>
  <si>
    <t>em 1h gasta 2,11 litros</t>
  </si>
  <si>
    <t>2,11*4m2, ou seja, 8,44 m2 por hora</t>
  </si>
  <si>
    <t>CÁLCULO:</t>
  </si>
  <si>
    <t>orçamentação:</t>
  </si>
  <si>
    <t>(1H - 8m2  &amp; custo + mod + estufa + materiais)</t>
  </si>
  <si>
    <t>(custo + mod + estufa + materiais) por m2</t>
  </si>
  <si>
    <t>Verniz Mate Poliretano</t>
  </si>
  <si>
    <t>MÉDIA VERNIZ / STONE - MATE:</t>
  </si>
  <si>
    <t>MÉDIA VERNIZ / STONE - MEIO BRILHANTE:</t>
  </si>
  <si>
    <t>MÉDIA VERNIZ / STONE - BRILHANTE:</t>
  </si>
  <si>
    <t>VERNIZ POLIRETANO MATE</t>
  </si>
  <si>
    <t>VERNIZ POLIRETANO MEIO BRILHANTE</t>
  </si>
  <si>
    <t>VERNIZ POLIRETANO ALTO BRILHO</t>
  </si>
  <si>
    <t>CUSTO REAL MISTURA (€/m2)</t>
  </si>
  <si>
    <t>Verniz Poliretano Meio Brilhante</t>
  </si>
  <si>
    <t>Verniz Poliretano Alto Brilhante</t>
  </si>
  <si>
    <t xml:space="preserve">Verniz Natur / Acrilico </t>
  </si>
  <si>
    <t>VELATURAS:</t>
  </si>
  <si>
    <t>VELATURAS</t>
  </si>
  <si>
    <t>Velaturas Claras c/ Afinação</t>
  </si>
  <si>
    <t>Velaturas Escuras c/ Afinação</t>
  </si>
  <si>
    <t>Esmalte Mate Branco</t>
  </si>
  <si>
    <t>Custo m2:</t>
  </si>
  <si>
    <t>MÉDIA OTAFOND / IGUAPRIM BRANCO:</t>
  </si>
  <si>
    <t>MÉDIA OTAFOND / IGUAPRIM PRETO:</t>
  </si>
  <si>
    <t>OTAFOND FPP 264 BRANCO 28KG</t>
  </si>
  <si>
    <t>MÉDIA ESMALTE / OTALIL - BRANCO :</t>
  </si>
  <si>
    <t>MÉDIA ESMALTE / OTALIL - CORES CLARAS :</t>
  </si>
  <si>
    <t>MÉDIA ESMALTE / OTALIL - CORES ESCURAS:</t>
  </si>
  <si>
    <t>ESMALTE BRANCO</t>
  </si>
  <si>
    <t>ESMALTE CORES CLARAS</t>
  </si>
  <si>
    <t>ESMALTE CORES ESCURAS</t>
  </si>
  <si>
    <t>SUBCAPA BRANCO</t>
  </si>
  <si>
    <t>SUBCAPA PRETO</t>
  </si>
  <si>
    <t>Esmalte Mate Cores Claras com Afinação</t>
  </si>
  <si>
    <t>Esmalte Mate Cores Escuras com Afinação</t>
  </si>
  <si>
    <t>Esmalte Brilhante</t>
  </si>
  <si>
    <t>MÉDIA ESMALTE / OTALIL - ALTO BRILHO:</t>
  </si>
  <si>
    <t>ESMALTE ALTO BRILHO</t>
  </si>
  <si>
    <t>% LUCRO</t>
  </si>
  <si>
    <t>PREÇO venda cliente</t>
  </si>
  <si>
    <t>lucro em €</t>
  </si>
  <si>
    <t>PREÇO DE VENDA:</t>
  </si>
  <si>
    <t>PREÇO METRO ORLA</t>
  </si>
  <si>
    <t>PREÇO PLACA (M^2)</t>
  </si>
  <si>
    <t>PREÇO METRO LINEAR ORLA</t>
  </si>
  <si>
    <t>PREÇO PINTURA (m2)</t>
  </si>
  <si>
    <t xml:space="preserve"> CUSTO € / M2</t>
  </si>
  <si>
    <t>PREÇO CLIENTE € / M2</t>
  </si>
  <si>
    <t>PREÇO CLIENTE €/M2</t>
  </si>
  <si>
    <t>CAPA P/ LATERAL CINZA BLUM ANTARO</t>
  </si>
  <si>
    <t>CAPA P/ LATERAL BRANCO BLUM INTIVO/ANTARO</t>
  </si>
  <si>
    <t>CORREDIÇA TANDEM EXT. TOTAL 410 TIP-ON ESQ</t>
  </si>
  <si>
    <t>CORREDIÇA TANDEM EXT. TOTAL 410 TIP-ON DRT</t>
  </si>
  <si>
    <t>FIXADOR FRONTAL INSERTA</t>
  </si>
  <si>
    <t>AVENTOS HK TOP ACUMULADOR FORÇAS FR=1500-4900 TIP ON</t>
  </si>
  <si>
    <t>KIT CAPAS HK TOP CINZA CLARO</t>
  </si>
  <si>
    <t>KIT FIXADOR PORTA P/AVENTOS</t>
  </si>
  <si>
    <t>DESCRIÇÃO</t>
  </si>
  <si>
    <t>SUPORTE FRONTAL P/ GAVETA INTERNA ANTARO BRANCA</t>
  </si>
  <si>
    <t>PEÇA DIANTEIRA BRANCA P/ GAVETA</t>
  </si>
  <si>
    <t>VARAO TRANSVERSAL BRANCO</t>
  </si>
  <si>
    <t>KIT CAPAS HK TOP CINZA INTENSO</t>
  </si>
  <si>
    <t>EIXO DE SINCRONIZAÇÃO TIP-ON 1140MM TANDEM</t>
  </si>
  <si>
    <t>LATERAL 300 R+L BRANCO INTIVE/ANTARO</t>
  </si>
  <si>
    <t>LATERAL 500 CINZA ANTARO</t>
  </si>
  <si>
    <t>CORREDIÇA 300 TANDEMBOX TIP ON BLUMOTION 30KG R+L</t>
  </si>
  <si>
    <t>CORREDIÇA 500 TANDEMBOX TIP ON BLUMOTION 30KG R+L</t>
  </si>
  <si>
    <t>PUXADOR - BB 160MM</t>
  </si>
  <si>
    <t>DIVISOR LONGITUDINAL BRANCO</t>
  </si>
  <si>
    <t>DIVISOR TRSNVERSAL BRANCO</t>
  </si>
  <si>
    <t>ADAPTADOR P/ EIXO E ENGATE TIP ON BLUMOTION</t>
  </si>
  <si>
    <t>PAR CORREDIÇA MOVENTO C/ TIP.ON 250 40KG</t>
  </si>
  <si>
    <t>ACOPLAMENTO C/ REGULADOR LATERAL</t>
  </si>
  <si>
    <t>UNIDADE + DISP. ENGATE TIP ON BLUMOTION</t>
  </si>
  <si>
    <t>PAR CORREDIÇA MOVENTO C/ BLUMOTION 250 40KG</t>
  </si>
  <si>
    <t>CORREDIÇA EXT.TOTAL 510 C/BLUMOTION</t>
  </si>
  <si>
    <t>CORREDIÇA EXT.PARCIAL 435 C/ BLUMOTION</t>
  </si>
  <si>
    <t>EIXO DE ENGATE TIP ON BLUMOTION 1125MM</t>
  </si>
  <si>
    <t>CORREDIÇA EXT.TOTAL 485 C/ BLUMOTION</t>
  </si>
  <si>
    <t>PEÇA DIANTEIRA CINZA P/ GAVETA</t>
  </si>
  <si>
    <t>SUPORTE FRONTAL P/ GAVETA INTERNA P/VARAO BRANCO</t>
  </si>
  <si>
    <t xml:space="preserve">SUPORTE PARA ELEMENTO DE DESIGN DIANTEIRO INFERIOR </t>
  </si>
  <si>
    <t>SUPORTE PARA ELEMENTO DE DESIGN DIANTEIRO SUPERIOR</t>
  </si>
  <si>
    <t>SUPORTE P/ VIDRO BRANCO ANTARO ALT.C</t>
  </si>
  <si>
    <t>SUPORTE P/ ELEMENTO DESIGN ANTARO BRANCO ESQ</t>
  </si>
  <si>
    <t>SUPORTE P/ ELEMENTO DESIGN ANTARO BRANCO DRT</t>
  </si>
  <si>
    <t>SUPORTE P/ DIVISOR TRANSVERSAL BRANCO</t>
  </si>
  <si>
    <t>ELEMENTO DESIGN BRANCO 500</t>
  </si>
  <si>
    <t>CORREDIÇA EXT.TOTAL 410 C/ BLUMOTION</t>
  </si>
  <si>
    <t>CORREDIÇA EXT.PARCIAL 510 C/ BLUMOTION</t>
  </si>
  <si>
    <t>SUPORTE FRONTAL P/ GAVETA INTERNA ANTARO CINZA</t>
  </si>
  <si>
    <t>LATERAL 450 CINZA ANTARO</t>
  </si>
  <si>
    <t>CORREDIÇA 450 TANDEMBOX TIP ON BLUMOTION 30 KG R+L</t>
  </si>
  <si>
    <t xml:space="preserve">FIXADOR TRASEIRO CINZA </t>
  </si>
  <si>
    <t>LATERAL 350 BRANCO INTIVO/ANTARO</t>
  </si>
  <si>
    <t>CORREDIÇA 350 TANDEMBOX TIP ON BLUMOTION 30KG R+L</t>
  </si>
  <si>
    <t>EIXO REDONDO</t>
  </si>
  <si>
    <t>TRAVA PRATELEIRA ESPESSURA 16MM</t>
  </si>
  <si>
    <t>CORREDIÇA TANDEM EXT.TOTAL 285 TIP-ON ESQ</t>
  </si>
  <si>
    <t>CORREDIÇA TANDEM EXT.TOTAL 285 TIP-ON DRT</t>
  </si>
  <si>
    <t xml:space="preserve">LATERAL 500 CINZA ALTURA N R+L </t>
  </si>
  <si>
    <t>FIXADOR TRASEIRO CINZA ALT.N R+L</t>
  </si>
  <si>
    <t>PAR CORREDIÇA MOVENTO BLUMOTION 400 40KG</t>
  </si>
  <si>
    <t>CHAPA TIP-ON AUTO-COLANTE</t>
  </si>
  <si>
    <t>CORREDIÇA TANDEM EXT. TOTAL  360 TIP-ON ESQ</t>
  </si>
  <si>
    <t>CORREDIÇA TANDEM EXT. TOTAL  360 TIP-ON DRT</t>
  </si>
  <si>
    <t>LATERAL 270 R+L BRANCO INTIVO/ANTARO</t>
  </si>
  <si>
    <t>CORREDIÇA 270 TANDEMBOX TIP ON BLUMOTION 30KG R+L</t>
  </si>
  <si>
    <t xml:space="preserve">FIXADOR FRONTAL </t>
  </si>
  <si>
    <t>FIXADOR TRASEIRO BRANCO</t>
  </si>
  <si>
    <t>ASA COR INOX H16*192</t>
  </si>
  <si>
    <t>CORREDIÇA EXT. TOTAL 260 C/BLUMOTION</t>
  </si>
  <si>
    <t>AVENTOS HK TOP ACUMULADOR FORÇAS FR=1730-5200</t>
  </si>
  <si>
    <t>AVENTOS HK TOP ACUMULADOR FORÇAS FR=420-1610 TIP ON</t>
  </si>
  <si>
    <t>AVENTOS HK TOP ACUMULADOR FORÇAS FR=750-2500 TIP ON</t>
  </si>
  <si>
    <t>CORREDIÇA TANDEM EXT. TOTAL 510 TIP-ON ESQ</t>
  </si>
  <si>
    <t>CORREDIÇA TANDEM EXT. TOTAL 510 TIP-ON DRT</t>
  </si>
  <si>
    <t>CORREDIÇA EXT.TOTAL 285 C/ BLUMOTION</t>
  </si>
  <si>
    <t>ASA 4777*160 NIQ.ESCOVADO G27</t>
  </si>
  <si>
    <t>CORREDIÇA EXT. TOTAL 310 C/ BLUMOTION</t>
  </si>
  <si>
    <t>CORREDIÇA EXT. TOTAL 385 C/ BLUMOTION</t>
  </si>
  <si>
    <t>TIP-ON P/ PORTAS GRD. BRANCO</t>
  </si>
  <si>
    <t>ESTABILIZADOR FRONTAL P/ TANDEMBOX</t>
  </si>
  <si>
    <t>V250 DOBRADIÇA 110º C.9 C/ BLUMOTION</t>
  </si>
  <si>
    <t>SUPORTE TRASEIRO FLEXIVEL MERIVOBOX CINZA ORION</t>
  </si>
  <si>
    <t>FIXADOR FRONTAL MERIVOBOX INFERIOR PARAFUSO</t>
  </si>
  <si>
    <t>VARAO MERIVOBOX 500MM R+L CINZA ORION</t>
  </si>
  <si>
    <t>FIXADOR FRONTAL MERIVOBOX SUPERIOR PARAFUSO</t>
  </si>
  <si>
    <t>V125 DOBRADIÇA 170º RECTA</t>
  </si>
  <si>
    <t>V125 BLUMOTION P/ DOB 170º</t>
  </si>
  <si>
    <t>TIP-ON P/ PORTAS GRD.CINZA</t>
  </si>
  <si>
    <t>DOBRADIÇA 95º P/ MOLDURA ALUMINIO C.17 ONYX</t>
  </si>
  <si>
    <t>V125 DOBRADIÇA 155º RECTA C/ BLUMOTION</t>
  </si>
  <si>
    <t>VARAO TRANSVERSAL CINZA</t>
  </si>
  <si>
    <t>MOLDURA GAVETA ESTREITA AMBIA-LINE 500 CINZA</t>
  </si>
  <si>
    <t>LATERAL 450 LEGRABOX ALT.M CINZA R+L</t>
  </si>
  <si>
    <t>CORREDIÇA 450 LEGRABOX C/ BLUMOTION S 40KG R+L</t>
  </si>
  <si>
    <t>SUPORTE TRASEIRO LEGRABOX ALT.M CINZA R+L</t>
  </si>
  <si>
    <t>CORREDIÇA MERIVOBOX 40KG 500MM R+L BLUMOTION</t>
  </si>
  <si>
    <t>CORREDIÇA MERIVOBOX 40KG 450MM R+L BLUMOTION</t>
  </si>
  <si>
    <t>LATERAL MERIVOBOX ALT.M (91MM) 500MM R+L CINZA ORION</t>
  </si>
  <si>
    <t>LATERAL MERIVOBOX ALT.M (91MM) 450MM R+L CINZA ORION</t>
  </si>
  <si>
    <t>SUPORTE TRASEIRO MERIVOBOX ALT.M (108MM) R+L CINZA ORION</t>
  </si>
  <si>
    <t>PEÇA DIANTEIRA LEGRABOX CINZA LG1200 ELEM.DESIG</t>
  </si>
  <si>
    <t>VARAO FRONTAL MERIVOBOX P/ GAVETA INTERNA CINZA ORION LG1200</t>
  </si>
  <si>
    <t>SUPORTE FRONTAL MERIVOBOX P/ GAVETA INTERNA ALT.M R+L CINZA ORION</t>
  </si>
  <si>
    <t>SUPORTE FRONTAL MERIVOBOX P/ GAVETA INTERNA ALT.E R+L CINZA ORION</t>
  </si>
  <si>
    <t>FIXADOR FRONTAL MERIVOBOX SUPERIOR INSERTA</t>
  </si>
  <si>
    <t>VARAO MARIVOBOX 450MM R+L CINZA ORION</t>
  </si>
  <si>
    <t>DOBRAD COPO 35 BLUM 155º S/MOLA 70T/16</t>
  </si>
  <si>
    <t>LAGE &amp; SA</t>
  </si>
  <si>
    <t>CALÇO BLUM CRUZ H:0 AFINAÇÃO 3D</t>
  </si>
  <si>
    <t>CALÇO BLUM CRUZ H:9 AFINAÇÃO 3D</t>
  </si>
  <si>
    <t>ESTABILIZADOR BLUM TBX/LBX/MBX P/ FUNDO Z96.10E1</t>
  </si>
  <si>
    <t>DOBRAD COPO 35 BLUM 79B9454 + 15º BLUMOTION</t>
  </si>
  <si>
    <t>BLOQUEADOR PRATELEIRA BLUM 295H5700 CINZA</t>
  </si>
  <si>
    <t>TRASEIRA ANTARO CINZA M96 DRT</t>
  </si>
  <si>
    <t>TRASEIRA ANTARO CINZA M96 ESQ</t>
  </si>
  <si>
    <t>FIXADOR FRONTAL BLUM INSERTA ZSF.39A2</t>
  </si>
  <si>
    <t>TAMPA TANDEMBOX (BLUM) CINZA</t>
  </si>
  <si>
    <t>CORRED BLUMOTION TIP-ON TBX 30KG X 500 (KIT)</t>
  </si>
  <si>
    <t>LATERAL ANTARO CINZA M83 X 500 DRT</t>
  </si>
  <si>
    <t>LATERAL ANTARO CINZA M83 X 500 ESQ</t>
  </si>
  <si>
    <t>TRASEIRA ANTARO BRANCO M96 DRT</t>
  </si>
  <si>
    <t>TRASEIRA ANTARO BRANCO M96 ESQ</t>
  </si>
  <si>
    <t>SUPORTE DECK 14126 INOX</t>
  </si>
  <si>
    <t>LATERAL MERIVOBOX CINZA ORION M91 X 450 (KIT)</t>
  </si>
  <si>
    <t>TRASEIRA MERIVOBOX ZRR AUMENTO CINZA ORION (KIT)</t>
  </si>
  <si>
    <t>CORRED BLUMOTION TIP-ON TBX 30KG X 350 (KIT)</t>
  </si>
  <si>
    <t>CORRED BLUMOTION TIP-ON TBX 30KG X 400 (KIT)</t>
  </si>
  <si>
    <t>LATERAL ANTARO BRANCO M83 X 350 DRT</t>
  </si>
  <si>
    <t>LATERAL ANTARO BRANCO M83 X 350 ESQ</t>
  </si>
  <si>
    <t>LATERAL ANTARO BRANCO M83 X 400 DRT</t>
  </si>
  <si>
    <t>LATERAL ANTARO BRANCO M83 X 400 ESQ</t>
  </si>
  <si>
    <t>CERCO MERIVOBOX CINZA ORION 450 (KIT)</t>
  </si>
  <si>
    <t>CORRED MERIVOBOX BLUMOTION TIP-ON 40KG X 450 (KIT)</t>
  </si>
  <si>
    <t>FIXADOR APARAF GAVETA MERIVOBOX ZF4.1002</t>
  </si>
  <si>
    <t>FIXADOR APARAF CERCO MERIVOBOX ZF4.5002</t>
  </si>
  <si>
    <t>SUPORTE FRONTAL MERIVOBOX CINZA ORION M (KIT)</t>
  </si>
  <si>
    <t>SUPORTE FRONTAL MERIVOBOX CINZA ORION E CERCO (KIT)</t>
  </si>
  <si>
    <t>FRENTE GAVETA MERIVOBOX 1042MM CINZA ORION</t>
  </si>
  <si>
    <t>ORGA-LINE DIVISOR LONGITUDINAL CINZA</t>
  </si>
  <si>
    <t>ORGA-LINE PERFIL TRANSVERSAL 1077MM CINZA</t>
  </si>
  <si>
    <t>ORGA-LINE SUPORTE TRANSVERSAL D CINZA</t>
  </si>
  <si>
    <t>CONCHA IN.16.416.BA X 300 X 55 BLACK ANTHRACITE</t>
  </si>
  <si>
    <t>BOXCAP MERIVOBOX CINZA ORION 450MM (KIT)</t>
  </si>
  <si>
    <t>BOXCAP MERIVOBOX CINZA ORION 500MM (KIT)</t>
  </si>
  <si>
    <t>CERCO FRONTAL MERIVOBOX 1059MM CINZA ORION</t>
  </si>
  <si>
    <t>CORRED MERIVOBOX BLUMOTION TIP-ON 40KG X 500 (KIT)</t>
  </si>
  <si>
    <t>LATERAL MERIVOBOX CINZA ORION M91 X 500 (KIT)</t>
  </si>
  <si>
    <t>TRASEIRA MERIVOBOX CINZA ORION E209 (KIT)</t>
  </si>
  <si>
    <t>NIVELADOR MOVEIS Nº90 C.F. BRANCO DRT</t>
  </si>
  <si>
    <t>NIVELADOR MOVEIS Nº90 C.F. BRANCO ESQ</t>
  </si>
  <si>
    <t>SUPORTE +RATELEIRA 575 X 5MM NIQ C/2 ORINGS</t>
  </si>
  <si>
    <t>CORRED OCULT 551H AMORT PARCIAL 30KG X 510 DRT</t>
  </si>
  <si>
    <t>CORRED OCULT 551H AMORT PARCIAL 30KG X 510 ESQ</t>
  </si>
  <si>
    <t>CONCHA IN.16.225 X 070 INOX</t>
  </si>
  <si>
    <t>TRASEIRA ANTARO CINZA D224 DRT</t>
  </si>
  <si>
    <t>TRASEIRA ANTARO CINZA D224 ESQ</t>
  </si>
  <si>
    <t>ACUMULADOR AVENTOS HL TOP 22L25 390 X 580 (KIT)</t>
  </si>
  <si>
    <t>ALAVANCA AVENTOS HL TOP 22L3800 390 X 540 (KIT)</t>
  </si>
  <si>
    <t>CONCHA 1263 NIQ ESCOVADO</t>
  </si>
  <si>
    <t>PIVOT IN.05.204.HO INOX 100KG HIDRAULICO</t>
  </si>
  <si>
    <t>CANTO LEMANS II CLASSIC CINZA M60 DRT</t>
  </si>
  <si>
    <t>AMORTECEDOR CANTO LEMANS II CINZA DRT</t>
  </si>
  <si>
    <t xml:space="preserve">EIXO CANTO LEMANS II CINZA 600 X 750 </t>
  </si>
  <si>
    <t>PUXAD SM.019 INOX</t>
  </si>
  <si>
    <t>LATERAL MERIVOBOX CINZA ORION M91 X 500 DRT</t>
  </si>
  <si>
    <t>LATERAL MERIVOBOX CINZA ORION M91 X 500 ESQ</t>
  </si>
  <si>
    <t>TRASEIRA MERIVOBOX CINZA ORION M108 (KIT)</t>
  </si>
  <si>
    <t>TAMPA MERIVOBOX / HK TOP CINZA ORION (BLUM)</t>
  </si>
  <si>
    <t>TAMPA MERIVOBOX CINZA ORION ZA4.540 (BLUM)</t>
  </si>
  <si>
    <t>CERCO MERIVOBOX CINZA ORION 500 (KIT)</t>
  </si>
  <si>
    <t>CONCHA IN.16.310 X 030 INOX</t>
  </si>
  <si>
    <t>PUXAD IN.00.381. C SANTINADO</t>
  </si>
  <si>
    <t>CORRED BLUMOTION S LEGRABOX 40KG X 450 (KIT)</t>
  </si>
  <si>
    <t>LATERAL LEGRABOX BRANCO F241 X 450 (KIT)</t>
  </si>
  <si>
    <t>LATERAL LEGRABOX BRANCO M90 X 500 (KIT)</t>
  </si>
  <si>
    <t>TRASEIRA LEGRABOX BRANCO M102 (KIT)</t>
  </si>
  <si>
    <t>CORRED BLUMOTION S LEGRABOX 40KG X 500 (KIT)</t>
  </si>
  <si>
    <t>FIXADOR FRONTAL LEGRABOX APARAF C</t>
  </si>
  <si>
    <t>FIXADOR FRONTAL LEGRABOX APARAF M</t>
  </si>
  <si>
    <t>LATERAL LEGRABOX BRANCO F241 X 500 (KIT)</t>
  </si>
  <si>
    <t>TRASEIRA LEGRABOX BRANCO F253 (KIT)</t>
  </si>
  <si>
    <t>CANTO LEMANS II STYLE BRANCO M50 DRT</t>
  </si>
  <si>
    <t>EIXO CANTO LEMANS II BRANCO 600 X 750</t>
  </si>
  <si>
    <t>AMORTECEDOR CANTO LEMANS II BRANCO DRT 0431201</t>
  </si>
  <si>
    <t>NIVELADOR MOVEIS Nº90 C.F. CINZA DRT</t>
  </si>
  <si>
    <t>NIVELADOR MOVEIS Nº90 C.F. CINZA ESQ</t>
  </si>
  <si>
    <t>CANTO LEMANS II CLASSIC CINZA M60 ESQ</t>
  </si>
  <si>
    <t>LATERAL ANTARO BRANCO N68 X 500 (KIT)</t>
  </si>
  <si>
    <t>TRASEIRA ANTARO CINZA N81 (KIT)</t>
  </si>
  <si>
    <t>TRASEIRA ANTARO BRANCO N81 (KIT)</t>
  </si>
  <si>
    <t>TAMPA TANDEMBOX (BLUM) BRANCO</t>
  </si>
  <si>
    <t>TIP-ON BLUMOTION UNIDADE TBX L1 350 X 600MM</t>
  </si>
  <si>
    <t>TIP-ON BLUMOTION UNIDADE TBX L3 350 X 600MM</t>
  </si>
  <si>
    <t>PE MOVEIS 59538 X 10-14 PLASTICO</t>
  </si>
  <si>
    <t>PERFIL SAHECO 22 PLAST CASTANHA 3000MM</t>
  </si>
  <si>
    <t>CORRED MERIVOBOX BLUMOTION TIP-ON 40KG X 400 (KIT)</t>
  </si>
  <si>
    <t>LATERAL MERIVOBOX CINZA ORION M91 X 400 (KIT)</t>
  </si>
  <si>
    <t>CARRO SAHECO SF-22 22KG</t>
  </si>
  <si>
    <t>CERCO ANTARO BRANCO 350 DRT</t>
  </si>
  <si>
    <t>CERCO ANTARO BRANCO 350 ESQ</t>
  </si>
  <si>
    <t>FIXADOR FRONTAL BLUM APARF</t>
  </si>
  <si>
    <t>ONA - TIR PERFIL BLANCO MATE CC128L200MM</t>
  </si>
  <si>
    <t>FIWARE</t>
  </si>
  <si>
    <t>PEDAL RETANGULAR P/ ABERTURA DE PORTAS</t>
  </si>
  <si>
    <t>ARPA - ASA NEGRO CEPILLADO C1178L1200MM</t>
  </si>
  <si>
    <t>CUBIC - TIRADOR CORREDORA BLANCO MATE 160MM</t>
  </si>
  <si>
    <t>NEXX - ASA BRONZE CEPILLADO CC256L276MM</t>
  </si>
  <si>
    <t>SENSE MINI - TIRADOR LATON OSCURO CC96L103MM</t>
  </si>
  <si>
    <t>ARPA - POMO T NEGRO CEPILLADO 70X37MM</t>
  </si>
  <si>
    <t>ARPA - ASA NEGRO CEPILLADO CC192L212MM</t>
  </si>
  <si>
    <t>DUKE - POMO COBRE ANTIGUO D31MM</t>
  </si>
  <si>
    <t>15117 - MECANISMO ABERTURA AUTOMÁTICA DE PORTAS</t>
  </si>
  <si>
    <t>SENSE MINI - TIRADOR LATON OSCURO CC256L263MM</t>
  </si>
  <si>
    <t>LINKK - ASA NEGRO CEPILLADO CC1056L1071MM</t>
  </si>
  <si>
    <t>RILLE - ASA LATON OSC CEPILLADO CC160L190MM</t>
  </si>
  <si>
    <t>SENSE MINI - TIRADOR LATON OSCURO CC160L167MM</t>
  </si>
  <si>
    <t xml:space="preserve">80.41.401 - GAVETA X-LINE M60 BASIC </t>
  </si>
  <si>
    <t>MOON - ASA BRONZE CEPILLADO CC160L193</t>
  </si>
  <si>
    <t>MOON - ASA BRONZE CEPILLADO CC1056L1096</t>
  </si>
  <si>
    <t>WAY - TIR. PERFIL NEGRO MATE CC1056L1100MM</t>
  </si>
  <si>
    <t>DISC - POMO MADERA ROBLE CRUDO D38MM</t>
  </si>
  <si>
    <t>BEAM - ASA NEGRO TITANIO BRILLO CC160L168</t>
  </si>
  <si>
    <t>RAIL - TIR.LATON CAVA CEPILLADO CC192-1120L1150MM</t>
  </si>
  <si>
    <t>LINKK - ASA LATON CEPILLADO CC160L175MM</t>
  </si>
  <si>
    <t>RAIL - TIRADO LATON CAVA CEPILLADO CC160L180MM</t>
  </si>
  <si>
    <t>RILLE - ASA LATON OSC CEPILLADO CC320L350MM</t>
  </si>
  <si>
    <t>Custo Unitário</t>
  </si>
  <si>
    <t>Fornecedor</t>
  </si>
  <si>
    <t>CORREDIÇA TANDEM EXT. TOTAL 360 TIP-ON ESQ</t>
  </si>
  <si>
    <t>CORREDIÇA TANDEM EXT. TOTAL 360 TIP-ON DRT</t>
  </si>
  <si>
    <t>KIT DISPOSITIVOS DE ENGATE LEGRABOX CINZA</t>
  </si>
  <si>
    <t>MECANISMO ABERTURA AUTOMÁTICA DE PORTAS</t>
  </si>
  <si>
    <t>Qtd</t>
  </si>
  <si>
    <t>Subtotal</t>
  </si>
  <si>
    <t>PAR CORREDIÇA MOVENTO BLUMOTION 350 40KG</t>
  </si>
  <si>
    <t>VARAO 270 BRANCO ANTARO</t>
  </si>
  <si>
    <t>DOBRADIÇA 110º C.17 S/ MOLA</t>
  </si>
  <si>
    <t>CALÇO CRUZ C/ PARAFUSO C/ BUCHA ONYX</t>
  </si>
  <si>
    <t>FECHO WC SM.026 INOX C/ AVISO</t>
  </si>
  <si>
    <t>GABARIT FURAÇÃO SMARTBLOC SMB-BOS</t>
  </si>
  <si>
    <t>RODIZIO 303 X 040MM 30KG</t>
  </si>
  <si>
    <t>PARAF PARAFAST PZD CAB QUEIJO INOX 4,5 X 30</t>
  </si>
  <si>
    <t>RODIZIO 303 X 040MM 30KG C/ TRAVÃO</t>
  </si>
  <si>
    <t>SEPARADOR PORTA GARRAFAS K-LINE ANTRACITE</t>
  </si>
  <si>
    <t>TOMADA ELETRICA BACKFLIP PRETO MATE 2 SCHUKO +1 USB</t>
  </si>
  <si>
    <t>CONTORNO SIFAO 30179 CINZA ANTRACITE</t>
  </si>
  <si>
    <t>CONTORNO SIFAO 30442 PLASTICO BRANCO</t>
  </si>
  <si>
    <t>CALÇO BLUM CRUZ ONIX H:0 AFINAÇÃO 3D BUCHA 5MM</t>
  </si>
  <si>
    <t>DOBRAD COPO 35 BLUM ONIX 110º S/MOLA 70T/16</t>
  </si>
  <si>
    <t>SUPORTE CALÇAS TEK NEDIA 450MM ANTRACITE</t>
  </si>
  <si>
    <t>DOBRAD COPO 35 BLUM ONIX 110º BLUMOTION 71B/16</t>
  </si>
  <si>
    <t>TAMPA P/ CANECO DOBRADIÇA BLUM 110º ONIX</t>
  </si>
  <si>
    <t>BARRA FIXAÇÃO P/ NIVELADORES 2000MM</t>
  </si>
  <si>
    <t xml:space="preserve">SUPORTE SM.014 INOX </t>
  </si>
  <si>
    <t>PARAF LIGAÇÃO SM.042.A INOX P/ FENOLICO</t>
  </si>
  <si>
    <t>CHAPA TESTA AGB POLARIS MINIMAL CROM MATE</t>
  </si>
  <si>
    <t>PORTA GARRAFAS K-LINE BASE ANTRACITE M30</t>
  </si>
  <si>
    <t>PASSA FIOS 60MM CASTANHO</t>
  </si>
  <si>
    <t>CANTONEIRA Nº 1 - 150 X 200 BRANCO</t>
  </si>
  <si>
    <t>UNIAO SM.032.25 X 025 X 90º INOX</t>
  </si>
  <si>
    <t>PARAF LIGAÇÃO SM.040 INOX P/ FENOLICO</t>
  </si>
  <si>
    <t>PORTA TALHERES STAR CINZA M060 (500 X 450)</t>
  </si>
  <si>
    <t>SUPORTE SM.004 INOX</t>
  </si>
  <si>
    <t>SUPORTE SM.034 INOX</t>
  </si>
  <si>
    <t>SUPORTE SM.011.25 X 025 INOX</t>
  </si>
  <si>
    <t>SUPORTE SM.025 INOX</t>
  </si>
  <si>
    <t>TUBO INOX 304 - 25 X 1,2 ESCOVADO FENOLICO</t>
  </si>
  <si>
    <t>SUPORTE CRUZETAS TEK NEDIA 450MM ANTRACITE</t>
  </si>
  <si>
    <t>CARRO KLEIN LITE 100 2130 100KG</t>
  </si>
  <si>
    <t>SISTEMA CORRER TEK SLIDING OCULTO 800-1200MM</t>
  </si>
  <si>
    <t>ESPELHO P/ DOBRAD. BLUM CRISTALLO 70T4568C</t>
  </si>
  <si>
    <t>BATENTE IN.13.121.20 X 020 INOX</t>
  </si>
  <si>
    <t>BATENTE IN.13,121,20,TB X 020 TIT BLACK</t>
  </si>
  <si>
    <t>CANTONEIRA Nº 1 - 350 X 400 BRANCO</t>
  </si>
  <si>
    <t>ESPELHO CHAVE IN.04.PZA</t>
  </si>
  <si>
    <t>ESPELHO CAHVE 04.28R.K08N</t>
  </si>
  <si>
    <t>FECHO IN.17.011 ESFERA INOX</t>
  </si>
  <si>
    <t>DOBRAD COPO 35 BLUM 110º 71T/16</t>
  </si>
  <si>
    <t>SUPORTE CALÇAS 407/A ALUMINIO</t>
  </si>
  <si>
    <t>PASSA FIOS 60MM PRETO</t>
  </si>
  <si>
    <t xml:space="preserve">KIT SUPORTE EMBUTIR 5002 - 190MM </t>
  </si>
  <si>
    <t>SUPORTE CENTRO 60031 14 PRETO</t>
  </si>
  <si>
    <t>CHAVE AXILO 78 AFINADOR PE MOVEIS</t>
  </si>
  <si>
    <t>ESQUADRO 409 100 X 100 ZINCADO</t>
  </si>
  <si>
    <t>SUPORTE TOPO 71010 DRT+ESQ PRETO</t>
  </si>
  <si>
    <t>SUPORTE CENTRO ENGULO 60032 PRETO</t>
  </si>
  <si>
    <t>800127 - COMANDO RF P/ DIMMER 5 CANAIS</t>
  </si>
  <si>
    <t>610024 - TRANSFORMADOR LED PLUG&amp;PLAY 24V 100W</t>
  </si>
  <si>
    <t>616024 - TRANSFORMADOR LED PLUG&amp;PLAY 24V 60W</t>
  </si>
  <si>
    <t>610121 - INT. EMBUTIR TOUCH DIMMER12/24V PT</t>
  </si>
  <si>
    <t>LUV - COLGADOR NEGRO MATE 17X50MM</t>
  </si>
  <si>
    <t>LUV WOOD - COLGADOR MADERA ROBLE 28X82MM</t>
  </si>
  <si>
    <t>ESTRUTURA 20X20 PRETO (1700COMP X 470ALT X 343PROF)</t>
  </si>
  <si>
    <t>CLIPS FIX. P/PERFIL LED LETO (PAR) (600200)</t>
  </si>
  <si>
    <t>TERMINAL P/PERFIL LETO (PAR) (600202)</t>
  </si>
  <si>
    <t>700017_3 - LETO PERFIL EXTERIOR LED BARRAS 3 MT</t>
  </si>
  <si>
    <t>700010_3 - PERFIL DIFUSOR LED BARRAS 3 MT</t>
  </si>
  <si>
    <t>FUNDO PLÁSTICO FMLL_PL_AN_16_1000_560</t>
  </si>
  <si>
    <t>JOGO TERMINAL P/PERFIL "J" EXT. 81/G11.AT2</t>
  </si>
  <si>
    <t>JOGO TERMINAL P/PERFIL "C" EXT. 81/G13.AT2</t>
  </si>
  <si>
    <t>JOGO TERMINAL PRETO FI-J3 "J" EXT. 81/G11.AT2</t>
  </si>
  <si>
    <t>JOGO TERMINAL PRETO FI-C3 "C" EXT. 81/G13.AT2</t>
  </si>
  <si>
    <t>80.51.501 - BALDE X-LINE X80 L6 M80/M90</t>
  </si>
  <si>
    <t>80.41.601 - TAMPA X-LINE M90 BASIC</t>
  </si>
  <si>
    <t>80.41.501 - TAMPA X-LINE M80 BASIC</t>
  </si>
  <si>
    <t>VB_PG_SEP - KIT 4 SEP.MOD.20 ANTRACITE</t>
  </si>
  <si>
    <t>VB_PG_RG_AN_20 - PRT GARRAFAS M.20 RING</t>
  </si>
  <si>
    <t>VB_PG_RG_AN_15 - PRT GARRAFAS M.15 RING</t>
  </si>
  <si>
    <t>VB_PG_SEP_AN_15 - KIT 4 SEP. GARRAFAS M.15</t>
  </si>
  <si>
    <t>613624 - TRANSFORMADOR LED PLUG&amp;PLAY 24V 36W</t>
  </si>
  <si>
    <t>612024 - TRANSFORMADOR LED PLUG&amp;PLAY 24V 20W</t>
  </si>
  <si>
    <t>RODAPE 20/10 PVC-BR.MATE/P.LACAR(0419) 100MM (MT)</t>
  </si>
  <si>
    <t>TOMADA U-DOCK 3XSUIÇAS 10A + 2XUSB-C PRETA</t>
  </si>
  <si>
    <t>80.51.402 - BALDE X-LINE X60 35+8+5 L M60</t>
  </si>
  <si>
    <t>700012_5 - ARES PERFIL EMBUTIR LED BARRAS 5 MT</t>
  </si>
  <si>
    <t>700010_5 - PERFIL DIFUSOR LED BARRAS 5 MT</t>
  </si>
  <si>
    <t>806512_50MT - FITA LED COF-10 4000K/24V 10,5W/M</t>
  </si>
  <si>
    <t>VB_PG_LM_SEP_S - KIT 8 SEPARADORES PEQ. 60MM</t>
  </si>
  <si>
    <t>VB_BD_G2.0_PRT_40 - BALDE FIX. PORTA 2X20L MOD. 40</t>
  </si>
  <si>
    <t>VB_PG_LM_15 - PRT GARRAFAS M.15 LAMINA</t>
  </si>
  <si>
    <t>700017_3_PT - LETO PERFIL LED PRETO BARRAS 3 MT</t>
  </si>
  <si>
    <t>700011_3_PT - PERFIL DIFUSOR PRETO LED BARRAS 3 MT</t>
  </si>
  <si>
    <t>700632_PT_3 - ALEN PERFIL LED 22º PRETO BARRAS 3MT</t>
  </si>
  <si>
    <t>602402 - CABO 2MT P/SOLDAR 24V C/FICHA MACHO BRANCO</t>
  </si>
  <si>
    <t>610112 - SENSOR DUPLO PORTA 12/24V - 8MM</t>
  </si>
  <si>
    <t>610111 - SENSOR PORTA 12/24V - 8MM</t>
  </si>
  <si>
    <t>602401 - EXTENSÃO 2 MT 24V MACHO/FEMEA BRANCO</t>
  </si>
  <si>
    <t>21/09.5M0_100MM_ESCOVADO_CANTO ALUMINIO RODAPÉ</t>
  </si>
  <si>
    <t>602404 - CABO ESTRELA 24V "Y" 1-FEMEA/2-MACHO BRANCO</t>
  </si>
  <si>
    <t>TK_42074 - PORTA CRUZETAS EXTRAIVEL 290MM</t>
  </si>
  <si>
    <t>TK_42076 - PORTA CRUZETAS EXTRAIVEL 445MM</t>
  </si>
  <si>
    <t>624168 - PONTO PRETO 4000K 24V 3W</t>
  </si>
  <si>
    <t>601524 - TRANSFORMADOR LED PLUG&amp;PLAY 24V 15W</t>
  </si>
  <si>
    <t>TAPETE PRISMA PRETO M.60 - 600X480</t>
  </si>
  <si>
    <t>TAPETE PRISMA PRETO M.90 - 900X480</t>
  </si>
  <si>
    <t>PERFIL GOLA FI-C3 "C" VERTIC. DUPLO AL. 80/G36(MT)</t>
  </si>
  <si>
    <t>RODAPE 20/12 PVC-BR.MATE/P.LACAR(0419) 120MM (MT)</t>
  </si>
  <si>
    <t>FUNDO PLÁSTICO FMLL_PL_AN_16_600_560</t>
  </si>
  <si>
    <t>9XBASE800A - BALDE GAV.26+2X11L MOD.70/80 H=277MM</t>
  </si>
  <si>
    <t>JOGO ACE. FIXA. P/PERFIL GOLA "C" E "J" 81/G11.001</t>
  </si>
  <si>
    <t>RODAPE 20/20 PVC-PRETO MATE (0456) 100MM (MT)</t>
  </si>
  <si>
    <t>RODAPE 20/20 PVC-ALUMINIO ESCOVADO (37) 100MM (MT)</t>
  </si>
  <si>
    <t>602405 - CABO ESTRELA 2V "Y" A-MACHO/2-FEMEA BRANCO</t>
  </si>
  <si>
    <t>21/19.F5_150MM_PRETO_CANTO 90º RODAPE</t>
  </si>
  <si>
    <t>RODAPE 20/25 PVC-PRETO MATE (0456) 150MM (MT)</t>
  </si>
  <si>
    <t>PERFIL GOLA FI-J3 "J" PRETO ANOD. 80/G12 (MT)</t>
  </si>
  <si>
    <t>PERFIL GOLA FI-J3 "J" ALUMINIO 80/G12 (MT)</t>
  </si>
  <si>
    <t>ANGULO INT.ALUMINIO PRETO FI-J3 "J" 80/G11.A90B</t>
  </si>
  <si>
    <t>ANGULO INT.ALUMINIO PERFIL FI-J3 "J" 80/G11.A90B</t>
  </si>
  <si>
    <t>LUNCH-MESA 411/78.1120.22E MOD.1200 AJUST</t>
  </si>
  <si>
    <t>806510_50MT - FITA LED COF-10 2700K/24V 10,5W/M</t>
  </si>
  <si>
    <t>JOGO TERMINAL P/PERFIL "C" INT.81/G13.AT3</t>
  </si>
  <si>
    <t>800126 - RECEPTOR RF P/ DIMMER 12-36V/96-288W</t>
  </si>
  <si>
    <t>TAPETE PRISMA PRETO M.120 - 1200X480</t>
  </si>
  <si>
    <t>STILI - KIT SUP. PRAT./MÓVEL XL 240MM (LAC. PRETO)</t>
  </si>
  <si>
    <t>STILI - KIT PÉ CONICO FIX.TECTO AJUST (LAC. PRETO)</t>
  </si>
  <si>
    <t>STILI - KIT PÉ CONICO AJUSTAVEL MGKT0 -8LAC. PRETO)</t>
  </si>
  <si>
    <t>STILI PHOS - PERFIL VERTICAL 5200MM M (ANOD. PRET)</t>
  </si>
  <si>
    <t>RILLE - ASA LATÓN OSC CEPILLADO CC992L1022MM</t>
  </si>
  <si>
    <t>700632_PT_5 - ALEN PERFIL LED 22º PRETO BARRAS 5MT</t>
  </si>
  <si>
    <t>LIGAÇÃO TIPO "8" (6-0010)</t>
  </si>
  <si>
    <t>TOMADA TWIST2 QUADRADA 2XSC. BRANCA 946.201</t>
  </si>
  <si>
    <t>PERFIL GOLA FI-C3 "C" ALUMINIO 80/G13 (MT)</t>
  </si>
  <si>
    <t>Custo Material</t>
  </si>
  <si>
    <t>(material + mod)</t>
  </si>
  <si>
    <t>Custo mod</t>
  </si>
  <si>
    <t>Custo unitário</t>
  </si>
  <si>
    <t>PREÇO DE VENDA CLIENTE</t>
  </si>
  <si>
    <t>Ref / Modelo</t>
  </si>
  <si>
    <t>designação simples do produto</t>
  </si>
  <si>
    <r>
      <t>Concha de Embutir</t>
    </r>
    <r>
      <rPr>
        <sz val="11"/>
        <color theme="1"/>
        <rFont val="Calibri"/>
        <family val="2"/>
        <scheme val="minor"/>
      </rPr>
      <t xml:space="preserve"> (Níquel Escovado)</t>
    </r>
  </si>
  <si>
    <r>
      <t>Puxador Asa Standard</t>
    </r>
    <r>
      <rPr>
        <sz val="11"/>
        <color theme="1"/>
        <rFont val="Calibri"/>
        <family val="2"/>
        <scheme val="minor"/>
      </rPr>
      <t xml:space="preserve"> (Inox)</t>
    </r>
  </si>
  <si>
    <r>
      <t>Puxador Premium</t>
    </r>
    <r>
      <rPr>
        <sz val="11"/>
        <color theme="1"/>
        <rFont val="Calibri"/>
        <family val="2"/>
        <scheme val="minor"/>
      </rPr>
      <t xml:space="preserve"> (Satinado)</t>
    </r>
  </si>
  <si>
    <r>
      <t>Puxador Asa Standard</t>
    </r>
    <r>
      <rPr>
        <sz val="11"/>
        <color theme="1"/>
        <rFont val="Calibri"/>
        <family val="2"/>
        <scheme val="minor"/>
      </rPr>
      <t xml:space="preserve"> (Inox) - </t>
    </r>
    <r>
      <rPr>
        <b/>
        <sz val="11"/>
        <color theme="1"/>
        <rFont val="Calibri"/>
        <family val="2"/>
        <scheme val="minor"/>
      </rPr>
      <t>192mm</t>
    </r>
  </si>
  <si>
    <r>
      <t>Concha de Embutir Circular</t>
    </r>
    <r>
      <rPr>
        <sz val="11"/>
        <color theme="1"/>
        <rFont val="Calibri"/>
        <family val="2"/>
        <scheme val="minor"/>
      </rPr>
      <t xml:space="preserve"> (Inox) - </t>
    </r>
    <r>
      <rPr>
        <b/>
        <sz val="11"/>
        <color theme="1"/>
        <rFont val="Calibri"/>
        <family val="2"/>
        <scheme val="minor"/>
      </rPr>
      <t>70mm</t>
    </r>
  </si>
  <si>
    <r>
      <t>Pomo Clássico</t>
    </r>
    <r>
      <rPr>
        <sz val="11"/>
        <color theme="1"/>
        <rFont val="Calibri"/>
        <family val="2"/>
        <scheme val="minor"/>
      </rPr>
      <t xml:space="preserve"> (Cobre Antigo) - </t>
    </r>
    <r>
      <rPr>
        <b/>
        <sz val="11"/>
        <color theme="1"/>
        <rFont val="Calibri"/>
        <family val="2"/>
        <scheme val="minor"/>
      </rPr>
      <t>31mm</t>
    </r>
  </si>
  <si>
    <r>
      <t>Puxador Asa Standard</t>
    </r>
    <r>
      <rPr>
        <sz val="11"/>
        <color theme="1"/>
        <rFont val="Calibri"/>
        <family val="2"/>
        <scheme val="minor"/>
      </rPr>
      <t xml:space="preserve"> (Níquel Escovado) - </t>
    </r>
    <r>
      <rPr>
        <b/>
        <sz val="11"/>
        <color theme="1"/>
        <rFont val="Calibri"/>
        <family val="2"/>
        <scheme val="minor"/>
      </rPr>
      <t>160mm</t>
    </r>
  </si>
  <si>
    <r>
      <t>Puxador Perfil de Canto</t>
    </r>
    <r>
      <rPr>
        <sz val="11"/>
        <color theme="1"/>
        <rFont val="Calibri"/>
        <family val="2"/>
        <scheme val="minor"/>
      </rPr>
      <t xml:space="preserve"> (Branco Mate) - </t>
    </r>
    <r>
      <rPr>
        <b/>
        <sz val="11"/>
        <color theme="1"/>
        <rFont val="Calibri"/>
        <family val="2"/>
        <scheme val="minor"/>
      </rPr>
      <t>200mm</t>
    </r>
  </si>
  <si>
    <r>
      <t>Puxador Asa Standard</t>
    </r>
    <r>
      <rPr>
        <sz val="11"/>
        <color theme="1"/>
        <rFont val="Calibri"/>
        <family val="2"/>
        <scheme val="minor"/>
      </rPr>
      <t xml:space="preserve"> (Metal) - </t>
    </r>
    <r>
      <rPr>
        <b/>
        <sz val="11"/>
        <color theme="1"/>
        <rFont val="Calibri"/>
        <family val="2"/>
        <scheme val="minor"/>
      </rPr>
      <t>160mm</t>
    </r>
  </si>
  <si>
    <r>
      <t>Puxador Design "Sense"</t>
    </r>
    <r>
      <rPr>
        <sz val="11"/>
        <color theme="1"/>
        <rFont val="Calibri"/>
        <family val="2"/>
        <scheme val="minor"/>
      </rPr>
      <t xml:space="preserve"> (Latão Escuro) - </t>
    </r>
    <r>
      <rPr>
        <b/>
        <sz val="11"/>
        <color theme="1"/>
        <rFont val="Calibri"/>
        <family val="2"/>
        <scheme val="minor"/>
      </rPr>
      <t>167mm</t>
    </r>
  </si>
  <si>
    <r>
      <t>Concha de Embutir Retangular</t>
    </r>
    <r>
      <rPr>
        <sz val="11"/>
        <color theme="1"/>
        <rFont val="Calibri"/>
        <family val="2"/>
        <scheme val="minor"/>
      </rPr>
      <t xml:space="preserve"> (Inox) - </t>
    </r>
    <r>
      <rPr>
        <b/>
        <sz val="11"/>
        <color theme="1"/>
        <rFont val="Calibri"/>
        <family val="2"/>
        <scheme val="minor"/>
      </rPr>
      <t>30mm</t>
    </r>
  </si>
  <si>
    <r>
      <t>Pomo Formato "T"</t>
    </r>
    <r>
      <rPr>
        <sz val="11"/>
        <color theme="1"/>
        <rFont val="Calibri"/>
        <family val="2"/>
        <scheme val="minor"/>
      </rPr>
      <t xml:space="preserve"> (Preto Escovado) - </t>
    </r>
    <r>
      <rPr>
        <b/>
        <sz val="11"/>
        <color theme="1"/>
        <rFont val="Calibri"/>
        <family val="2"/>
        <scheme val="minor"/>
      </rPr>
      <t>70x37mm</t>
    </r>
  </si>
  <si>
    <r>
      <t>Pomo Redondo</t>
    </r>
    <r>
      <rPr>
        <sz val="11"/>
        <color theme="1"/>
        <rFont val="Calibri"/>
        <family val="2"/>
        <scheme val="minor"/>
      </rPr>
      <t xml:space="preserve"> (Madeira Carvalho Cru) -</t>
    </r>
    <r>
      <rPr>
        <b/>
        <sz val="11"/>
        <color theme="1"/>
        <rFont val="Calibri"/>
        <family val="2"/>
        <scheme val="minor"/>
      </rPr>
      <t xml:space="preserve"> 38mm</t>
    </r>
  </si>
  <si>
    <r>
      <t>Concha Embutir Porta Correr</t>
    </r>
    <r>
      <rPr>
        <sz val="11"/>
        <color theme="1"/>
        <rFont val="Calibri"/>
        <family val="2"/>
        <scheme val="minor"/>
      </rPr>
      <t xml:space="preserve"> (Branco Mate) - </t>
    </r>
    <r>
      <rPr>
        <b/>
        <sz val="11"/>
        <color theme="1"/>
        <rFont val="Calibri"/>
        <family val="2"/>
        <scheme val="minor"/>
      </rPr>
      <t>160mm</t>
    </r>
  </si>
  <si>
    <r>
      <t>Puxador Design "Sense"</t>
    </r>
    <r>
      <rPr>
        <sz val="11"/>
        <color theme="1"/>
        <rFont val="Calibri"/>
        <family val="2"/>
        <scheme val="minor"/>
      </rPr>
      <t xml:space="preserve"> (Latão Escuro) - </t>
    </r>
    <r>
      <rPr>
        <b/>
        <sz val="11"/>
        <color theme="1"/>
        <rFont val="Calibri"/>
        <family val="2"/>
        <scheme val="minor"/>
      </rPr>
      <t>103mm</t>
    </r>
  </si>
  <si>
    <r>
      <t>Puxador Design "Sense"</t>
    </r>
    <r>
      <rPr>
        <sz val="11"/>
        <color theme="1"/>
        <rFont val="Calibri"/>
        <family val="2"/>
        <scheme val="minor"/>
      </rPr>
      <t xml:space="preserve"> (Latão Escuro) - </t>
    </r>
    <r>
      <rPr>
        <b/>
        <sz val="11"/>
        <color theme="1"/>
        <rFont val="Calibri"/>
        <family val="2"/>
        <scheme val="minor"/>
      </rPr>
      <t>263mm</t>
    </r>
  </si>
  <si>
    <r>
      <t>Puxador Cava Embutido</t>
    </r>
    <r>
      <rPr>
        <sz val="11"/>
        <color theme="1"/>
        <rFont val="Calibri"/>
        <family val="2"/>
        <scheme val="minor"/>
      </rPr>
      <t xml:space="preserve"> (Latão Escovado) - </t>
    </r>
    <r>
      <rPr>
        <b/>
        <sz val="11"/>
        <color theme="1"/>
        <rFont val="Calibri"/>
        <family val="2"/>
        <scheme val="minor"/>
      </rPr>
      <t>180mm</t>
    </r>
  </si>
  <si>
    <r>
      <t>Puxador Design "Nexx"</t>
    </r>
    <r>
      <rPr>
        <sz val="11"/>
        <color theme="1"/>
        <rFont val="Calibri"/>
        <family val="2"/>
        <scheme val="minor"/>
      </rPr>
      <t xml:space="preserve"> (Bronze Escovado) - </t>
    </r>
    <r>
      <rPr>
        <b/>
        <sz val="11"/>
        <color theme="1"/>
        <rFont val="Calibri"/>
        <family val="2"/>
        <scheme val="minor"/>
      </rPr>
      <t>276mm</t>
    </r>
  </si>
  <si>
    <r>
      <t>Puxador Design "Moon"</t>
    </r>
    <r>
      <rPr>
        <sz val="11"/>
        <color theme="1"/>
        <rFont val="Calibri"/>
        <family val="2"/>
        <scheme val="minor"/>
      </rPr>
      <t xml:space="preserve"> (Bronze Escovado) - </t>
    </r>
    <r>
      <rPr>
        <b/>
        <sz val="11"/>
        <color theme="1"/>
        <rFont val="Calibri"/>
        <family val="2"/>
        <scheme val="minor"/>
      </rPr>
      <t>193mm</t>
    </r>
  </si>
  <si>
    <r>
      <t>Puxador Design "Rille"</t>
    </r>
    <r>
      <rPr>
        <sz val="11"/>
        <color theme="1"/>
        <rFont val="Calibri"/>
        <family val="2"/>
        <scheme val="minor"/>
      </rPr>
      <t xml:space="preserve"> (Latão Escuro Escovado) - </t>
    </r>
    <r>
      <rPr>
        <b/>
        <sz val="11"/>
        <color theme="1"/>
        <rFont val="Calibri"/>
        <family val="2"/>
        <scheme val="minor"/>
      </rPr>
      <t>190mm</t>
    </r>
  </si>
  <si>
    <r>
      <t>Puxador Design "Arpa"</t>
    </r>
    <r>
      <rPr>
        <sz val="11"/>
        <color theme="1"/>
        <rFont val="Calibri"/>
        <family val="2"/>
        <scheme val="minor"/>
      </rPr>
      <t xml:space="preserve"> (Preto Escovado) - </t>
    </r>
    <r>
      <rPr>
        <b/>
        <sz val="11"/>
        <color theme="1"/>
        <rFont val="Calibri"/>
        <family val="2"/>
        <scheme val="minor"/>
      </rPr>
      <t>212mm</t>
    </r>
  </si>
  <si>
    <r>
      <t>Puxador Design "Linkk"</t>
    </r>
    <r>
      <rPr>
        <sz val="11"/>
        <color theme="1"/>
        <rFont val="Calibri"/>
        <family val="2"/>
        <scheme val="minor"/>
      </rPr>
      <t xml:space="preserve"> (Latão Escovado) - </t>
    </r>
    <r>
      <rPr>
        <b/>
        <sz val="11"/>
        <color theme="1"/>
        <rFont val="Calibri"/>
        <family val="2"/>
        <scheme val="minor"/>
      </rPr>
      <t>175mm</t>
    </r>
  </si>
  <si>
    <r>
      <t>Puxador Design "Beam"</t>
    </r>
    <r>
      <rPr>
        <sz val="11"/>
        <color theme="1"/>
        <rFont val="Calibri"/>
        <family val="2"/>
        <scheme val="minor"/>
      </rPr>
      <t xml:space="preserve"> (Preto Titânio Brilho) - </t>
    </r>
    <r>
      <rPr>
        <b/>
        <sz val="11"/>
        <color theme="1"/>
        <rFont val="Calibri"/>
        <family val="2"/>
        <scheme val="minor"/>
      </rPr>
      <t>168mm</t>
    </r>
  </si>
  <si>
    <r>
      <t>Puxador Perfil Longo</t>
    </r>
    <r>
      <rPr>
        <sz val="11"/>
        <color theme="1"/>
        <rFont val="Calibri"/>
        <family val="2"/>
        <scheme val="minor"/>
      </rPr>
      <t xml:space="preserve"> (Preto Mate) - </t>
    </r>
    <r>
      <rPr>
        <b/>
        <sz val="11"/>
        <color theme="1"/>
        <rFont val="Calibri"/>
        <family val="2"/>
        <scheme val="minor"/>
      </rPr>
      <t>1100mm</t>
    </r>
  </si>
  <si>
    <r>
      <t>Puxador Design "Rille"</t>
    </r>
    <r>
      <rPr>
        <sz val="11"/>
        <color theme="1"/>
        <rFont val="Calibri"/>
        <family val="2"/>
        <scheme val="minor"/>
      </rPr>
      <t xml:space="preserve"> (Latão Escuro Escovado) - </t>
    </r>
    <r>
      <rPr>
        <b/>
        <sz val="11"/>
        <color theme="1"/>
        <rFont val="Calibri"/>
        <family val="2"/>
        <scheme val="minor"/>
      </rPr>
      <t>350mm</t>
    </r>
  </si>
  <si>
    <r>
      <t>Concha Embutir Formato Longo</t>
    </r>
    <r>
      <rPr>
        <sz val="11"/>
        <color theme="1"/>
        <rFont val="Calibri"/>
        <family val="2"/>
        <scheme val="minor"/>
      </rPr>
      <t xml:space="preserve"> (Preto Antracite) - </t>
    </r>
    <r>
      <rPr>
        <b/>
        <sz val="11"/>
        <color theme="1"/>
        <rFont val="Calibri"/>
        <family val="2"/>
        <scheme val="minor"/>
      </rPr>
      <t>300x55mm</t>
    </r>
  </si>
  <si>
    <r>
      <t>Puxador Design Longo</t>
    </r>
    <r>
      <rPr>
        <sz val="11"/>
        <color theme="1"/>
        <rFont val="Calibri"/>
        <family val="2"/>
        <scheme val="minor"/>
      </rPr>
      <t xml:space="preserve"> (Preto Escovado) - </t>
    </r>
    <r>
      <rPr>
        <b/>
        <sz val="11"/>
        <color theme="1"/>
        <rFont val="Calibri"/>
        <family val="2"/>
        <scheme val="minor"/>
      </rPr>
      <t>1071mm</t>
    </r>
  </si>
  <si>
    <r>
      <t>Puxador Cava Embutido Longo</t>
    </r>
    <r>
      <rPr>
        <sz val="11"/>
        <color theme="1"/>
        <rFont val="Calibri"/>
        <family val="2"/>
        <scheme val="minor"/>
      </rPr>
      <t xml:space="preserve"> (Latão Escovado) - </t>
    </r>
    <r>
      <rPr>
        <b/>
        <sz val="11"/>
        <color theme="1"/>
        <rFont val="Calibri"/>
        <family val="2"/>
        <scheme val="minor"/>
      </rPr>
      <t>1150mm</t>
    </r>
  </si>
  <si>
    <r>
      <t>Puxador Design Longo</t>
    </r>
    <r>
      <rPr>
        <sz val="11"/>
        <color theme="1"/>
        <rFont val="Calibri"/>
        <family val="2"/>
        <scheme val="minor"/>
      </rPr>
      <t xml:space="preserve"> (Preto Escovado) - </t>
    </r>
    <r>
      <rPr>
        <b/>
        <sz val="11"/>
        <color theme="1"/>
        <rFont val="Calibri"/>
        <family val="2"/>
        <scheme val="minor"/>
      </rPr>
      <t>1200mm</t>
    </r>
  </si>
  <si>
    <r>
      <t>Puxador Design Longo</t>
    </r>
    <r>
      <rPr>
        <sz val="11"/>
        <color theme="1"/>
        <rFont val="Calibri"/>
        <family val="2"/>
        <scheme val="minor"/>
      </rPr>
      <t xml:space="preserve"> (Latão Escuro Escovado) - </t>
    </r>
    <r>
      <rPr>
        <b/>
        <sz val="11"/>
        <color theme="1"/>
        <rFont val="Calibri"/>
        <family val="2"/>
        <scheme val="minor"/>
      </rPr>
      <t>1022mm</t>
    </r>
  </si>
  <si>
    <r>
      <t>Puxador Design Longo</t>
    </r>
    <r>
      <rPr>
        <sz val="11"/>
        <color theme="1"/>
        <rFont val="Calibri"/>
        <family val="2"/>
        <scheme val="minor"/>
      </rPr>
      <t xml:space="preserve"> (Bronze Escovado) - </t>
    </r>
    <r>
      <rPr>
        <b/>
        <sz val="11"/>
        <color theme="1"/>
        <rFont val="Calibri"/>
        <family val="2"/>
        <scheme val="minor"/>
      </rPr>
      <t>1096mm</t>
    </r>
  </si>
  <si>
    <t>Rodapés e Cantos (Nomes Exatos de Fornecedor)</t>
  </si>
  <si>
    <t>Ref / Modelo (Exato)</t>
  </si>
  <si>
    <t>Definição Prática para o Cliente</t>
  </si>
  <si>
    <t>Canto 90º para Rodapé Alumínio Escovado</t>
  </si>
  <si>
    <t>Canto 90º para Rodapé Preto Mate</t>
  </si>
  <si>
    <t>custo mod</t>
  </si>
  <si>
    <t>Custo Material (ML)</t>
  </si>
  <si>
    <t>Preço deVenda Cliente (por ML)</t>
  </si>
  <si>
    <t>Custo Unitário (por ML)</t>
  </si>
  <si>
    <t xml:space="preserve">PERFIS GOLA - PREÇO POR METRO LINEAR </t>
  </si>
  <si>
    <r>
      <t xml:space="preserve">Puxador Gola "C" - vert. Duplo - </t>
    </r>
    <r>
      <rPr>
        <sz val="11"/>
        <color theme="1"/>
        <rFont val="Calibri"/>
        <family val="2"/>
        <scheme val="minor"/>
      </rPr>
      <t>volpato</t>
    </r>
  </si>
  <si>
    <r>
      <t xml:space="preserve">Puxador Gola "J" </t>
    </r>
    <r>
      <rPr>
        <sz val="11"/>
        <color theme="1"/>
        <rFont val="Calibri"/>
        <family val="2"/>
        <scheme val="minor"/>
      </rPr>
      <t>(Preto Anod)</t>
    </r>
    <r>
      <rPr>
        <b/>
        <sz val="11"/>
        <color theme="1"/>
        <rFont val="Calibri"/>
        <family val="2"/>
        <scheme val="minor"/>
      </rPr>
      <t xml:space="preserve"> - </t>
    </r>
    <r>
      <rPr>
        <sz val="11"/>
        <color theme="1"/>
        <rFont val="Calibri"/>
        <family val="2"/>
        <scheme val="minor"/>
      </rPr>
      <t>volpato</t>
    </r>
  </si>
  <si>
    <r>
      <t xml:space="preserve">Puxador Gola "J" </t>
    </r>
    <r>
      <rPr>
        <sz val="11"/>
        <color theme="1"/>
        <rFont val="Calibri"/>
        <family val="2"/>
        <scheme val="minor"/>
      </rPr>
      <t>(Aluminio)</t>
    </r>
    <r>
      <rPr>
        <b/>
        <sz val="11"/>
        <color theme="1"/>
        <rFont val="Calibri"/>
        <family val="2"/>
        <scheme val="minor"/>
      </rPr>
      <t xml:space="preserve"> - </t>
    </r>
    <r>
      <rPr>
        <sz val="11"/>
        <color theme="1"/>
        <rFont val="Calibri"/>
        <family val="2"/>
        <scheme val="minor"/>
      </rPr>
      <t>volpato</t>
    </r>
  </si>
  <si>
    <r>
      <t xml:space="preserve">Puxador Gola "C" </t>
    </r>
    <r>
      <rPr>
        <sz val="11"/>
        <color theme="1"/>
        <rFont val="Calibri"/>
        <family val="2"/>
        <scheme val="minor"/>
      </rPr>
      <t>(Aluminio)</t>
    </r>
    <r>
      <rPr>
        <b/>
        <sz val="11"/>
        <color theme="1"/>
        <rFont val="Calibri"/>
        <family val="2"/>
        <scheme val="minor"/>
      </rPr>
      <t xml:space="preserve"> - </t>
    </r>
    <r>
      <rPr>
        <sz val="11"/>
        <color theme="1"/>
        <rFont val="Calibri"/>
        <family val="2"/>
        <scheme val="minor"/>
      </rPr>
      <t>volpato</t>
    </r>
  </si>
  <si>
    <r>
      <rPr>
        <b/>
        <sz val="11"/>
        <color theme="1"/>
        <rFont val="Calibri"/>
        <family val="2"/>
        <scheme val="minor"/>
      </rPr>
      <t>Rodapé PVC Alumínio Escovado</t>
    </r>
    <r>
      <rPr>
        <sz val="11"/>
        <color theme="1"/>
        <rFont val="Calibri"/>
        <family val="2"/>
        <scheme val="minor"/>
      </rPr>
      <t xml:space="preserve"> (Altura 100mm)</t>
    </r>
  </si>
  <si>
    <r>
      <rPr>
        <b/>
        <sz val="11"/>
        <color theme="1"/>
        <rFont val="Calibri"/>
        <family val="2"/>
        <scheme val="minor"/>
      </rPr>
      <t>Rodapé PVC Preto Mate</t>
    </r>
    <r>
      <rPr>
        <sz val="11"/>
        <color theme="1"/>
        <rFont val="Calibri"/>
        <family val="2"/>
        <scheme val="minor"/>
      </rPr>
      <t xml:space="preserve"> (Altura 100mm)</t>
    </r>
  </si>
  <si>
    <r>
      <rPr>
        <b/>
        <sz val="11"/>
        <color theme="1"/>
        <rFont val="Calibri"/>
        <family val="2"/>
        <scheme val="minor"/>
      </rPr>
      <t>Rodapé PVC Preto Mate</t>
    </r>
    <r>
      <rPr>
        <sz val="11"/>
        <color theme="1"/>
        <rFont val="Calibri"/>
        <family val="2"/>
        <scheme val="minor"/>
      </rPr>
      <t xml:space="preserve"> (Altura 150mm)</t>
    </r>
  </si>
  <si>
    <t>Os kits completos variam bastante consoante a capacidade e modelo.</t>
  </si>
  <si>
    <t>Descrição do Kit</t>
  </si>
  <si>
    <t>Custo</t>
  </si>
  <si>
    <t>Cestos do Lixo (Baldes Ecológicos)</t>
  </si>
  <si>
    <t>Preço Cliente</t>
  </si>
  <si>
    <r>
      <rPr>
        <b/>
        <sz val="11"/>
        <color theme="1"/>
        <rFont val="Calibri"/>
        <family val="2"/>
        <scheme val="minor"/>
      </rPr>
      <t>Balde Lixo - XLINE 60</t>
    </r>
    <r>
      <rPr>
        <sz val="11"/>
        <color theme="1"/>
        <rFont val="Calibri"/>
        <family val="2"/>
        <scheme val="minor"/>
      </rPr>
      <t xml:space="preserve"> - MULLEX</t>
    </r>
  </si>
  <si>
    <r>
      <rPr>
        <b/>
        <sz val="11"/>
        <color theme="1"/>
        <rFont val="Calibri"/>
        <family val="2"/>
        <scheme val="minor"/>
      </rPr>
      <t>Balde Lixo - XLINE 80/90</t>
    </r>
    <r>
      <rPr>
        <sz val="11"/>
        <color theme="1"/>
        <rFont val="Calibri"/>
        <family val="2"/>
        <scheme val="minor"/>
      </rPr>
      <t xml:space="preserve"> - MULLEX</t>
    </r>
  </si>
  <si>
    <r>
      <rPr>
        <b/>
        <sz val="11"/>
        <color theme="1"/>
        <rFont val="Calibri"/>
        <family val="2"/>
        <scheme val="minor"/>
      </rPr>
      <t>Balde Lixo - G2.0 40</t>
    </r>
    <r>
      <rPr>
        <sz val="11"/>
        <color theme="1"/>
        <rFont val="Calibri"/>
        <family val="2"/>
        <scheme val="minor"/>
      </rPr>
      <t xml:space="preserve"> - VIBO</t>
    </r>
  </si>
  <si>
    <t>Ref / Modelo (Exato da Fatura)</t>
  </si>
  <si>
    <t>Custo M.O.</t>
  </si>
  <si>
    <t>Definição Prática para Cliente</t>
  </si>
  <si>
    <t>Porta-Garrafas Extraível K-Line (M30)</t>
  </si>
  <si>
    <t>Porta-Garrafas Extraível Lâmina (M15)</t>
  </si>
  <si>
    <t>Porta-Garrafas Extraível Ring (M20)</t>
  </si>
  <si>
    <t>Porta-Garrafas Extraível Ring (M15)</t>
  </si>
  <si>
    <t>Separador para Porta-Garrafas K-Line</t>
  </si>
  <si>
    <t>Kit 4 Separadores Garrafas (M20)</t>
  </si>
  <si>
    <t>Kit 4 Separadores Garrafas (M15)</t>
  </si>
  <si>
    <t>Kit 8 Separadores Pequenos</t>
  </si>
  <si>
    <t>Porta-Talheres Star Cinza (M60)</t>
  </si>
  <si>
    <t>Tapete Antiderrapante Gaveta (M60)</t>
  </si>
  <si>
    <t>Tapete Antiderrapante Gaveta (M90)</t>
  </si>
  <si>
    <t>Tapete Antiderrapante Gaveta (M120)</t>
  </si>
  <si>
    <t>LUCRO - 170%</t>
  </si>
  <si>
    <t>Porta-Cruzetas Extraível Tek Antracite</t>
  </si>
  <si>
    <t>Varão Porta-Cruzetas Extraível (445mm)</t>
  </si>
  <si>
    <t>Varão Porta-Cruzetas Extraível (290mm)</t>
  </si>
  <si>
    <t>Acessórios Extraíveis para Roupeiros</t>
  </si>
  <si>
    <t>A instalação de calceiros e varões extraíveis exige fixação lateral ou superior no interior do roupeiro. Pode contabilizar 15 minutos por acessório.</t>
  </si>
  <si>
    <t>Suporte Calças Extraível Alumínio</t>
  </si>
  <si>
    <t>Suporte Calças Extraível Tek Nedia Antracite</t>
  </si>
  <si>
    <t>Perfil LED Exterior Alumínio (Leto)</t>
  </si>
  <si>
    <t>Perfil LED Exterior Preto (Leto)</t>
  </si>
  <si>
    <t>Perfil LED Embutir Alumínio (Ares)</t>
  </si>
  <si>
    <t>Perfil LED Canto 22º Preto (Alen)</t>
  </si>
  <si>
    <t>Difusor Fosco p/ Perfil (3MT)</t>
  </si>
  <si>
    <t>Difusor Fosco p/ Perfil (5MT)</t>
  </si>
  <si>
    <t>Difusor Preto p/ Perfil (3MT)</t>
  </si>
  <si>
    <t>Rolo Fita LED Luz Neutra (50MT)</t>
  </si>
  <si>
    <t>Rolo Fita LED Luz Quente (50MT)</t>
  </si>
  <si>
    <t>Foco LED Spot Preto 4000K</t>
  </si>
  <si>
    <t>Perfis e Fitas LED</t>
  </si>
  <si>
    <t>A aplicação do perfil (especialmente o de embutir) exige passar a fresadora, cortar o alumínio à medida, colar a fita LED e encaixar o difusor. Recomendo contabilizar 20 minutos por metro linear (7,67 € / MT).</t>
  </si>
  <si>
    <t>Transformador LED 24V (100W)</t>
  </si>
  <si>
    <t>Transformador LED 24V (60W)</t>
  </si>
  <si>
    <t>Transformador LED 24V (36W)</t>
  </si>
  <si>
    <t>Transformador LED 24V (20W)</t>
  </si>
  <si>
    <t>Transformador LED 24V (15W)</t>
  </si>
  <si>
    <t>Sensor Embutir p/ 1 Porta</t>
  </si>
  <si>
    <t>Sensor Embutir p/ 2 Portas</t>
  </si>
  <si>
    <t>Interruptor Touch Embutir Preto</t>
  </si>
  <si>
    <t>Comando Remoto LED 5 Canais</t>
  </si>
  <si>
    <t>Recetor Sinal p/ Comando LED</t>
  </si>
  <si>
    <t>Cabo Extensão LED (2MT)</t>
  </si>
  <si>
    <t>Cabo Derivação "Y" LED (F/MM)</t>
  </si>
  <si>
    <t>Cabo Derivação "Y" LED (M/FF)</t>
  </si>
  <si>
    <t>Fixar o transformador, furar as costas do móvel, ligar o sensor e arrumar os cabos no topo do móvel demora cerca de 10 minutos (3,83 €). Os cabos não levam mão de obra associada.</t>
  </si>
  <si>
    <t>Transformadores, Sensores e Cabos</t>
  </si>
  <si>
    <t>Furar tampos de cozinha ou secretárias (furo craniano ou corte em esquadria) para embutir tomadas é um trabalho de altíssima precisão e risco. Recomendo cobrar 30 minutos de mão de obra (11,50 €).</t>
  </si>
  <si>
    <t>Tomada Embutir Rotativa Backflip (Preto)</t>
  </si>
  <si>
    <t>Tomada Embutir Redonda Twist2 (Branca)</t>
  </si>
  <si>
    <t>Tomadas de Embutir (Bancadas / Secretárias)</t>
  </si>
  <si>
    <t>LUCRO - 40%</t>
  </si>
  <si>
    <t>Corrediça Antaro Tip-On 30kg (M500)</t>
  </si>
  <si>
    <t>Lateral Antaro Cinza (M500)</t>
  </si>
  <si>
    <t>Lateral Antaro Cinza Direita (M500)</t>
  </si>
  <si>
    <t>Lateral Antaro Cinza Esquerda (M500)</t>
  </si>
  <si>
    <t>Fixador Frontal Antaro Inserta</t>
  </si>
  <si>
    <t>Suporte Traseiro Antaro Alt.M (Dir)</t>
  </si>
  <si>
    <t>Suporte Traseiro Antaro Alt.M (Esq)</t>
  </si>
  <si>
    <t>Suporte Traseiro Gavetão Alt.D (Dir)</t>
  </si>
  <si>
    <t>Suporte Traseiro Gavetão Alt.D (Esq)</t>
  </si>
  <si>
    <t>Varão Lateral para Gavetão (Dir)</t>
  </si>
  <si>
    <t>Varão Lateral para Gavetão (Esq)</t>
  </si>
  <si>
    <t>Tampa Acabamento Antaro (Cinza)</t>
  </si>
  <si>
    <t>Tampa Acabamento Antaro (Branco)</t>
  </si>
  <si>
    <t>Frente Alumínio Gaveta Interna (Cinza)</t>
  </si>
  <si>
    <t>Suporte Fixação Gaveta Interna (Cinza)</t>
  </si>
  <si>
    <t>Varão Transversal Gaveta Interna</t>
  </si>
  <si>
    <t>Corrediça Merivobox 40kg (M500)</t>
  </si>
  <si>
    <t>Corrediça Merivobox Tip-On (M500)</t>
  </si>
  <si>
    <t>Laterais Merivobox Alt.M (Par)</t>
  </si>
  <si>
    <t>Suporte Traseiro Merivobox Alt.M</t>
  </si>
  <si>
    <t>Varões Merivobox (Para Gavetão)</t>
  </si>
  <si>
    <t>Fixador Frontal Merivobox (Aparafusar)</t>
  </si>
  <si>
    <t>Fixador Frontal Merivobox</t>
  </si>
  <si>
    <t>Frente Alumínio Gaveta Interna (1MT)</t>
  </si>
  <si>
    <t>Suporte Fixação Gaveta Interna (Par)</t>
  </si>
  <si>
    <t>MERIVOBOX (Gama Modular / Intermédia)</t>
  </si>
  <si>
    <t>Corrediça Legrabox 40kg (M450)</t>
  </si>
  <si>
    <t>Corrediça Legrabox 40kg (M500)</t>
  </si>
  <si>
    <t>Laterais Legrabox Alt.M Brancas (Par)</t>
  </si>
  <si>
    <t>Laterais Gavetão Legrabox Alt.F</t>
  </si>
  <si>
    <t>Suporte Traseiro Legrabox Alt.M</t>
  </si>
  <si>
    <t>Suporte Traseiro Legrabox Alt.F</t>
  </si>
  <si>
    <t>Fixador Frontal Legrabox Alt.M</t>
  </si>
  <si>
    <t>Fixador Frontal Legrabox Alt.C</t>
  </si>
  <si>
    <t>Frente Alumínio Gaveta Interna</t>
  </si>
  <si>
    <t>LEGRABOX (Gama Premium)</t>
  </si>
  <si>
    <t>Mão de obra: Estes acessórios menores geralmente não levam cobrança de mão de obra isolada, pois são aplicados durante a montagem da caixa do móvel.</t>
  </si>
  <si>
    <t>Barra de Fixação p/ Pés Niveladores</t>
  </si>
  <si>
    <t>Rodízio com Travão (30Kg)</t>
  </si>
  <si>
    <t>Contorno de Sifão (Gaveta de Lava-loiça)</t>
  </si>
  <si>
    <t>Contorno de Sifão Plástico Branco</t>
  </si>
  <si>
    <t>Fecho Magnético (Trinco) 10kg</t>
  </si>
  <si>
    <t>Fecho Livr/Ocupado p/ WC Inox</t>
  </si>
  <si>
    <t>Esquadro Metálico de Fixação</t>
  </si>
  <si>
    <t>Cantoneira de Fixação Branca</t>
  </si>
  <si>
    <t>Estrutura Decorativa Metálica Preta</t>
  </si>
  <si>
    <t>Pé Cónico Sistema Stili (Preto)</t>
  </si>
  <si>
    <t>Perfil Vertical Sistema Stili (Preto</t>
  </si>
  <si>
    <t>Acessórios, Pés, Fixações e Organização</t>
  </si>
  <si>
    <t>Nivelador Direito de Móveis (Branco)</t>
  </si>
  <si>
    <t>Nivelador Esquerdo de Móveis (Branco)</t>
  </si>
  <si>
    <t>Passa-fios de Embutir 60mm Preto</t>
  </si>
  <si>
    <t>Passa-fios de Embutir 60mm Castanho</t>
  </si>
  <si>
    <t>LUCRO - + de 50%</t>
  </si>
  <si>
    <t>Ref / Componente Exato</t>
  </si>
  <si>
    <t>Custo Un.</t>
  </si>
  <si>
    <t>Custo de Material:</t>
  </si>
  <si>
    <t>Mão de Obra (25 min):</t>
  </si>
  <si>
    <t>CUSTO TOTAL DE PRODUÇÃO:</t>
  </si>
  <si>
    <t>TANDEMBOX ANTARO</t>
  </si>
  <si>
    <t>GAVETA EXTERIOR</t>
  </si>
  <si>
    <t>GAVETA INTERIOR</t>
  </si>
  <si>
    <t>Mão de Obra:</t>
  </si>
  <si>
    <t>Componente Exato (Opção Mais Barata)</t>
  </si>
  <si>
    <t>CUSTO FINAL DE PRODUÇÃO:</t>
  </si>
  <si>
    <t>Tampa Acabamento Merivobox (Cinza Orion)</t>
  </si>
  <si>
    <t>LUCRO - 60%</t>
  </si>
  <si>
    <t>Definição Prática</t>
  </si>
  <si>
    <t>Dobradiça 110º Reta c/ Amortecedor</t>
  </si>
  <si>
    <t>Dobradiça Blum Onix 110º c/ Amortecedor</t>
  </si>
  <si>
    <t>Dobradiça 110º Reta (Com Mola)</t>
  </si>
  <si>
    <t>Dobradiça 110º Reta (Sem Mola)</t>
  </si>
  <si>
    <t>Dobradiça 110º Curva 17 (Sem Mola)</t>
  </si>
  <si>
    <t>Dobradiça Blum Onix 110º (Sem Mola)</t>
  </si>
  <si>
    <t>Dobradiça 155º Reta c/ Amortecedor</t>
  </si>
  <si>
    <t>Dobradiça 170º Reta</t>
  </si>
  <si>
    <t>Amortecedor para Dobradiça 170º</t>
  </si>
  <si>
    <t>Dobradiça Onix p/ Perfil de Alumínio</t>
  </si>
  <si>
    <t>Dobradiça Salice Silentia (Copo 35)</t>
  </si>
  <si>
    <t>Dobradiça Blum Compact c/ Calço</t>
  </si>
  <si>
    <t>Dobradiça Inox (SM.005)</t>
  </si>
  <si>
    <t>Dobradiça p/ Vidro (Cristallo) 110º</t>
  </si>
  <si>
    <t>Calço Blum Cruz Excêntrico</t>
  </si>
  <si>
    <t>Calço Blum Base 3mm</t>
  </si>
  <si>
    <t>Calço Cruz Excêntrico 6mm</t>
  </si>
  <si>
    <t>Calço Blum Onix H:0 (Afinação 3D)</t>
  </si>
  <si>
    <t>Calço Blum Onix H:0 (Bucha 5mm)</t>
  </si>
  <si>
    <t>Espelho para Dobradiça de Vidro</t>
  </si>
  <si>
    <t>Tampa Acabamento Dobradiça Onix</t>
  </si>
  <si>
    <t>Tampa Acabamento Dobradiça 110º</t>
  </si>
  <si>
    <t>DOBRADIÇAS E CALÇOS</t>
  </si>
  <si>
    <t>TAMPA P/ DOBRADIÇA 110º/16 "S/N" ONIX</t>
  </si>
  <si>
    <t>Sistema Tip-On (Pulsador) Preto</t>
  </si>
  <si>
    <t>Unidade Tip-On Blumotion</t>
  </si>
  <si>
    <t>Eixo Sincronização Tip-On (1,14m)</t>
  </si>
  <si>
    <t>Fecho Magnético Premium</t>
  </si>
  <si>
    <t>Fecho Magnético 6Kg (Branco)</t>
  </si>
  <si>
    <t>Fecho Magnético 6Kg (Castanho)</t>
  </si>
  <si>
    <t>Fecho Magnético 10Kg (Branco)</t>
  </si>
  <si>
    <t>Fecho Magnético 10Kg (Castanho)</t>
  </si>
  <si>
    <t>Fecho Magnético (IN.17.024)</t>
  </si>
  <si>
    <t>Batente de Encosto Níquel Pérola</t>
  </si>
  <si>
    <t>Batente de Encosto Inox Preto</t>
  </si>
  <si>
    <t>Mecanismo de Abertura Automática</t>
  </si>
  <si>
    <t>Pedal de Abertura p/ Gavetão</t>
  </si>
  <si>
    <t>TIP-ON P/PORTAS PRETO</t>
  </si>
  <si>
    <t xml:space="preserve">Ref / Modelo </t>
  </si>
  <si>
    <t>FECHOS E PULSADORES (TIP-ON)</t>
  </si>
  <si>
    <t>COMPASSOS E ELEVADORES (AVENTOS)</t>
  </si>
  <si>
    <t>Compasso Aventos HK Top (Tip-On)</t>
  </si>
  <si>
    <t>Compasso Aventos HK Top (Standard)</t>
  </si>
  <si>
    <t>Kit Capas Aventos HK Top (Cinza)</t>
  </si>
  <si>
    <t>Fixador de Porta p/ Aventos</t>
  </si>
  <si>
    <t>Compasso Aventos HL Top (Acumulador)</t>
  </si>
  <si>
    <t>Alavanca Aventos HL Top</t>
  </si>
  <si>
    <t>Barra Estabilizadora Aventos (1,07m)</t>
  </si>
  <si>
    <t>Capa Aventos Branca (Direita)</t>
  </si>
  <si>
    <t>Capa Aventos Branca (Esquerda)</t>
  </si>
  <si>
    <t>Capa Aventos Cinza Escuro (Direita)</t>
  </si>
  <si>
    <t>Capa Aventos Cinza Escuro (Esquerda)</t>
  </si>
  <si>
    <t>Fixador Frontal p/ Aventos</t>
  </si>
  <si>
    <t>CORREDIÇAS E SISTEMAS DE CORRER</t>
  </si>
  <si>
    <t>Corrediça Oculta Madeira Tip-On (Par)</t>
  </si>
  <si>
    <t>Corrediça Movento Amortecida (M250)</t>
  </si>
  <si>
    <t>Corrediça Movento Tip-On (M250)</t>
  </si>
  <si>
    <t>Corrediça Standard Extração Total</t>
  </si>
  <si>
    <t>Acoplamento p/ Corrediça Oculta</t>
  </si>
  <si>
    <t>Sistema Porta de Correr Oculta Tek</t>
  </si>
  <si>
    <t>Sistema Porta de Correr Klein Lite</t>
  </si>
  <si>
    <t>Custo Total</t>
  </si>
  <si>
    <t>Nenhuma</t>
  </si>
  <si>
    <t xml:space="preserve">com lucro calculado parceladamente nas placas e nas orlas, </t>
  </si>
  <si>
    <t>NÃO FAZER ORÇAMENTO ABAIXO DO VALOR A VERMELHO</t>
  </si>
  <si>
    <t>F067 Hidrofugo 16mm</t>
  </si>
  <si>
    <t>J. PINTO LEITÃO</t>
  </si>
  <si>
    <t>F755 Normal 16mm</t>
  </si>
  <si>
    <t>Nome do Sistema</t>
  </si>
  <si>
    <t>Custo total (material + mo)</t>
  </si>
  <si>
    <t>V250 DOBRADIÇA 110º RECTA C/ MOLA</t>
  </si>
  <si>
    <t>INTERFER</t>
  </si>
  <si>
    <t>PLACAS</t>
  </si>
  <si>
    <t>LAMELLO TENSO P-10 C/ GANCHOS</t>
  </si>
  <si>
    <t>LAMELLO TENSO P-10 S/ GANCHOS</t>
  </si>
  <si>
    <t>Sincron Como Ash-02 - 18mm</t>
  </si>
  <si>
    <t>Luxe Magnolia - 18mm</t>
  </si>
  <si>
    <t xml:space="preserve"> </t>
  </si>
  <si>
    <t>PLACA / REFERÊNCIA - INTERIOR:</t>
  </si>
  <si>
    <t>TR-MAX G.NUBE - 19mm</t>
  </si>
  <si>
    <t>Metaldeco Preto - 18mm</t>
  </si>
  <si>
    <t>Frente Metaldeco Preto - 18mm</t>
  </si>
  <si>
    <t>REGRA DE PINTURA</t>
  </si>
  <si>
    <t>Material</t>
  </si>
  <si>
    <t>PREÇO CLIENTE</t>
  </si>
  <si>
    <t>TIPO DE SISTEMA</t>
  </si>
  <si>
    <t>Nº DOBRADIÇAS</t>
  </si>
  <si>
    <t>TIPO DE SISTEMA:</t>
  </si>
  <si>
    <t>PINTURA - INTERIOR CAIXOTE:</t>
  </si>
  <si>
    <t>CUSTO PINTURA:</t>
  </si>
  <si>
    <t>PREÇO PINTURA:</t>
  </si>
  <si>
    <t>DIVISÓRIA VERTICAL</t>
  </si>
  <si>
    <t>GAVETA ANTARO EXTERIOR</t>
  </si>
  <si>
    <t>GAVETA MERIVOBOX EXTERIOR</t>
  </si>
  <si>
    <t>GAVETA LEGRABOX EXTERIOR</t>
  </si>
  <si>
    <t>PREÇO VENDA</t>
  </si>
  <si>
    <t>CUSTO</t>
  </si>
  <si>
    <t>QUANTIDADE COLUNAS IGUAIS:</t>
  </si>
  <si>
    <t>QUANTIDADE CAIXOTES IGUAIS:</t>
  </si>
  <si>
    <t>PINTURA - PORTA:</t>
  </si>
  <si>
    <t>TIPO DE SITEMA - PORTA:</t>
  </si>
  <si>
    <t>TIPO DE SISTEMA - PORTA:</t>
  </si>
  <si>
    <t xml:space="preserve">PREÇO </t>
  </si>
  <si>
    <t>PREÇO</t>
  </si>
  <si>
    <t>GAVETA MERIVOBOX INTERIOR</t>
  </si>
  <si>
    <t>GAVETA LEGRABOX INTERIOR</t>
  </si>
  <si>
    <t>CUSTO EXTRA DO TIPO DE SISTEMA</t>
  </si>
  <si>
    <t>Dobradiça Standard (com mola)</t>
  </si>
  <si>
    <t>Dobradiça Amortecida</t>
  </si>
  <si>
    <t>Dobradiça Livre (sem mola)</t>
  </si>
  <si>
    <t>Aventos HK Top (standard)</t>
  </si>
  <si>
    <t>Aventos HL Top (elevador vertical)</t>
  </si>
  <si>
    <t>GAVETAS</t>
  </si>
  <si>
    <t>REFRENCIAS USADAS</t>
  </si>
  <si>
    <r>
      <t xml:space="preserve">1x V250 DOBRADIÇA 110º RECTA C/ MOLA </t>
    </r>
    <r>
      <rPr>
        <b/>
        <sz val="11"/>
        <color theme="1"/>
        <rFont val="Calibri"/>
        <family val="2"/>
        <scheme val="minor"/>
      </rPr>
      <t>(CASFERIM)</t>
    </r>
    <r>
      <rPr>
        <sz val="11"/>
        <color theme="1"/>
        <rFont val="Calibri"/>
        <family val="2"/>
        <scheme val="minor"/>
      </rPr>
      <t xml:space="preserve">
1x V500 BASE CRUZ EXCENTRICO P/ DOBRADIÇA BLUM </t>
    </r>
    <r>
      <rPr>
        <b/>
        <sz val="11"/>
        <color theme="1"/>
        <rFont val="Calibri"/>
        <family val="2"/>
        <scheme val="minor"/>
      </rPr>
      <t>(CASFERIM</t>
    </r>
    <r>
      <rPr>
        <sz val="11"/>
        <color theme="1"/>
        <rFont val="Calibri"/>
        <family val="2"/>
        <scheme val="minor"/>
      </rPr>
      <t>)</t>
    </r>
  </si>
  <si>
    <r>
      <t xml:space="preserve">1x DOBRAD COPO 35 BLUM 110º 71T/16 </t>
    </r>
    <r>
      <rPr>
        <b/>
        <sz val="11"/>
        <color theme="1"/>
        <rFont val="Calibri"/>
        <family val="2"/>
        <scheme val="minor"/>
      </rPr>
      <t>(LAGE &amp; SA)</t>
    </r>
    <r>
      <rPr>
        <sz val="11"/>
        <color theme="1"/>
        <rFont val="Calibri"/>
        <family val="2"/>
        <scheme val="minor"/>
      </rPr>
      <t xml:space="preserve">
1x V500 BASE CRUZ EXCENTRICO P/ DOBRADIÇA BLUM </t>
    </r>
    <r>
      <rPr>
        <b/>
        <sz val="11"/>
        <color theme="1"/>
        <rFont val="Calibri"/>
        <family val="2"/>
        <scheme val="minor"/>
      </rPr>
      <t>(CASFERIM)</t>
    </r>
  </si>
  <si>
    <r>
      <t xml:space="preserve">1x V50 DOBRADIÇA 110º RECTA S/ MOLA </t>
    </r>
    <r>
      <rPr>
        <b/>
        <sz val="11"/>
        <color theme="1"/>
        <rFont val="Calibri"/>
        <family val="2"/>
        <scheme val="minor"/>
      </rPr>
      <t>(CASFERIM)</t>
    </r>
    <r>
      <rPr>
        <sz val="11"/>
        <color theme="1"/>
        <rFont val="Calibri"/>
        <family val="2"/>
        <scheme val="minor"/>
      </rPr>
      <t xml:space="preserve">
1x V500 BASE CRUZ EXCENTRICO P/ DOBRADIÇA BLUM </t>
    </r>
    <r>
      <rPr>
        <b/>
        <sz val="11"/>
        <color theme="1"/>
        <rFont val="Calibri"/>
        <family val="2"/>
        <scheme val="minor"/>
      </rPr>
      <t>(CASFERIM)</t>
    </r>
  </si>
  <si>
    <r>
      <t xml:space="preserve">1x AVENTOS HK TOP ACUMULADOR FORÇAS FR=1730-5200 </t>
    </r>
    <r>
      <rPr>
        <b/>
        <sz val="11"/>
        <color theme="1"/>
        <rFont val="Calibri"/>
        <family val="2"/>
        <scheme val="minor"/>
      </rPr>
      <t>(CASFERIM)</t>
    </r>
    <r>
      <rPr>
        <sz val="11"/>
        <color theme="1"/>
        <rFont val="Calibri"/>
        <family val="2"/>
        <scheme val="minor"/>
      </rPr>
      <t xml:space="preserve">
1x KIT CAPAS HK TOP CINZA CLARO </t>
    </r>
    <r>
      <rPr>
        <b/>
        <sz val="11"/>
        <color theme="1"/>
        <rFont val="Calibri"/>
        <family val="2"/>
        <scheme val="minor"/>
      </rPr>
      <t>(CASFERIM)</t>
    </r>
    <r>
      <rPr>
        <sz val="11"/>
        <color theme="1"/>
        <rFont val="Calibri"/>
        <family val="2"/>
        <scheme val="minor"/>
      </rPr>
      <t xml:space="preserve">
1x KIT FIXADOR PORTA P/AVENTOS </t>
    </r>
    <r>
      <rPr>
        <b/>
        <sz val="11"/>
        <color theme="1"/>
        <rFont val="Calibri"/>
        <family val="2"/>
        <scheme val="minor"/>
      </rPr>
      <t>(CASFERIM)</t>
    </r>
  </si>
  <si>
    <r>
      <t xml:space="preserve">1x ACUMULADOR AVENTOS HL TOP 22L25 390 X 580 (KIT) </t>
    </r>
    <r>
      <rPr>
        <b/>
        <sz val="11"/>
        <color theme="1"/>
        <rFont val="Calibri"/>
        <family val="2"/>
        <scheme val="minor"/>
      </rPr>
      <t>(LAGE &amp; SA)</t>
    </r>
    <r>
      <rPr>
        <sz val="11"/>
        <color theme="1"/>
        <rFont val="Calibri"/>
        <family val="2"/>
        <scheme val="minor"/>
      </rPr>
      <t xml:space="preserve">
1x ALAVANCA AVENTOS HL TOP 22L3800 390 X 540 (KIT) </t>
    </r>
    <r>
      <rPr>
        <b/>
        <sz val="11"/>
        <color theme="1"/>
        <rFont val="Calibri"/>
        <family val="2"/>
        <scheme val="minor"/>
      </rPr>
      <t>(LAGE &amp; SA)</t>
    </r>
    <r>
      <rPr>
        <sz val="11"/>
        <color theme="1"/>
        <rFont val="Calibri"/>
        <family val="2"/>
        <scheme val="minor"/>
      </rPr>
      <t xml:space="preserve">
1x BARRA AVENTOS HL TOP 22Q1076U 1076MM </t>
    </r>
    <r>
      <rPr>
        <b/>
        <sz val="11"/>
        <color theme="1"/>
        <rFont val="Calibri"/>
        <family val="2"/>
        <scheme val="minor"/>
      </rPr>
      <t>(LAGE &amp; SA)</t>
    </r>
    <r>
      <rPr>
        <sz val="11"/>
        <color theme="1"/>
        <rFont val="Calibri"/>
        <family val="2"/>
        <scheme val="minor"/>
      </rPr>
      <t xml:space="preserve">
1x CAPA ACUMULADOR BLUM HF/HS/HL TOP BRANCO DRT </t>
    </r>
    <r>
      <rPr>
        <b/>
        <sz val="11"/>
        <color theme="1"/>
        <rFont val="Calibri"/>
        <family val="2"/>
        <scheme val="minor"/>
      </rPr>
      <t>(LAGE &amp; SA)</t>
    </r>
    <r>
      <rPr>
        <sz val="11"/>
        <color theme="1"/>
        <rFont val="Calibri"/>
        <family val="2"/>
        <scheme val="minor"/>
      </rPr>
      <t xml:space="preserve">
1x CAPA ACUMULADOR BLUM HF/HS/HL TOP BRANCO ESQ </t>
    </r>
    <r>
      <rPr>
        <b/>
        <sz val="11"/>
        <color theme="1"/>
        <rFont val="Calibri"/>
        <family val="2"/>
        <scheme val="minor"/>
      </rPr>
      <t>(LAGE &amp; SA)</t>
    </r>
    <r>
      <rPr>
        <sz val="11"/>
        <color theme="1"/>
        <rFont val="Calibri"/>
        <family val="2"/>
        <scheme val="minor"/>
      </rPr>
      <t xml:space="preserve">
2x FIXADOR FRONTAL AVENTOS HL/HS/HK </t>
    </r>
    <r>
      <rPr>
        <b/>
        <sz val="11"/>
        <color theme="1"/>
        <rFont val="Calibri"/>
        <family val="2"/>
        <scheme val="minor"/>
      </rPr>
      <t>(LAGE &amp; SA)</t>
    </r>
  </si>
  <si>
    <t>Normal</t>
  </si>
  <si>
    <t>TIPO DE DOBRADIÇA</t>
  </si>
  <si>
    <t>PREÇO EXTRA TIPO DE SISTEMA</t>
  </si>
  <si>
    <t>Tip-on (Pulsador Preto) / Tic-Tac</t>
  </si>
  <si>
    <t>PREÇO UNITÁRIO DOBRADIÇAS</t>
  </si>
  <si>
    <t>Avento Porta Micro-ondas Kessebohmer</t>
  </si>
  <si>
    <r>
      <t xml:space="preserve">1x FERRAGEM MICRO-ONDAS KESSEBOHMER FREE SLIDE M060 </t>
    </r>
    <r>
      <rPr>
        <b/>
        <sz val="11"/>
        <color theme="1"/>
        <rFont val="Calibri"/>
        <family val="2"/>
        <scheme val="minor"/>
      </rPr>
      <t>(LAGE &amp; SA)</t>
    </r>
  </si>
  <si>
    <t>ACUMULADOR AVENTOS HK-XS 20K1501</t>
  </si>
  <si>
    <t>FIXADOR FRONTAL AVENTOS HK-XS 20K4101</t>
  </si>
  <si>
    <t>FIXADOR LATERAL AVENTOS HK-XS 20K5101</t>
  </si>
  <si>
    <t>TIP-ON-BLUMOTION UNIDADE MBX L3 350 X 600MM</t>
  </si>
  <si>
    <t>TIP-ON-BLUMOTION EIXO SINCRON. 1125MM</t>
  </si>
  <si>
    <t>Compasso Aventos HK-XS (Acumulador)</t>
  </si>
  <si>
    <t>Fixador Frontal p/ Aventos HK-XS</t>
  </si>
  <si>
    <t>Fixador Lateral p/ Aventos HK-XS</t>
  </si>
  <si>
    <t>Unidade Tip-On Blumotion (Gaveta)</t>
  </si>
  <si>
    <t>Eixo Sincronização Tip-On (1,12m)</t>
  </si>
  <si>
    <t>Aventos HK-XS</t>
  </si>
  <si>
    <t>Sistema Tip-On Blumotion (Gavetas MBX)</t>
  </si>
  <si>
    <r>
      <t xml:space="preserve">1x ACUMULADOR AVENTOS HK-XS 20K1501 </t>
    </r>
    <r>
      <rPr>
        <b/>
        <sz val="11"/>
        <color theme="1"/>
        <rFont val="Calibri"/>
        <family val="2"/>
        <scheme val="minor"/>
      </rPr>
      <t>(LAGE &amp; SA)</t>
    </r>
    <r>
      <rPr>
        <sz val="11"/>
        <color theme="1"/>
        <rFont val="Calibri"/>
        <family val="2"/>
        <scheme val="minor"/>
      </rPr>
      <t xml:space="preserve">
1x FIXADOR FRONTAL AVENTOS HK-XS 20K4101 </t>
    </r>
    <r>
      <rPr>
        <b/>
        <sz val="11"/>
        <color theme="1"/>
        <rFont val="Calibri"/>
        <family val="2"/>
        <scheme val="minor"/>
      </rPr>
      <t>(LAGE &amp; SA)</t>
    </r>
    <r>
      <rPr>
        <sz val="11"/>
        <color theme="1"/>
        <rFont val="Calibri"/>
        <family val="2"/>
        <scheme val="minor"/>
      </rPr>
      <t xml:space="preserve">
1x FIXADOR LATERAL AVENTOS HK-XS 20K5101 </t>
    </r>
    <r>
      <rPr>
        <b/>
        <sz val="11"/>
        <color theme="1"/>
        <rFont val="Calibri"/>
        <family val="2"/>
        <scheme val="minor"/>
      </rPr>
      <t>(LAGE &amp; SA)</t>
    </r>
  </si>
  <si>
    <t>PORTAS</t>
  </si>
  <si>
    <r>
      <t xml:space="preserve">1x TIP-ON-BLUMOTION UNIDADE MBX L3 350 X 600MM </t>
    </r>
    <r>
      <rPr>
        <b/>
        <sz val="11"/>
        <color theme="1"/>
        <rFont val="Calibri"/>
        <family val="2"/>
        <scheme val="minor"/>
      </rPr>
      <t>(LAGE &amp; SA)</t>
    </r>
    <r>
      <rPr>
        <sz val="11"/>
        <color theme="1"/>
        <rFont val="Calibri"/>
        <family val="2"/>
        <scheme val="minor"/>
      </rPr>
      <t xml:space="preserve"> 1x TIP-ON-BLUMOTION EIXO SINCRON. 1125MM </t>
    </r>
    <r>
      <rPr>
        <b/>
        <sz val="11"/>
        <color theme="1"/>
        <rFont val="Calibri"/>
        <family val="2"/>
        <scheme val="minor"/>
      </rPr>
      <t>(LAGE &amp; SA)</t>
    </r>
  </si>
  <si>
    <t>CUSTO UNITÁRIO DOBRADIÇA</t>
  </si>
  <si>
    <t>TOPOS LATERAIS:</t>
  </si>
  <si>
    <t>EXTRAS</t>
  </si>
  <si>
    <t>EXTRAS - COLUNA</t>
  </si>
  <si>
    <t>Sim</t>
  </si>
  <si>
    <t>QUANTIDADE:</t>
  </si>
  <si>
    <t>CUSTO TOTAL (COM EXTRAS)                         =</t>
  </si>
  <si>
    <t>PREÇO TOTAL (COM EXTRAS) =</t>
  </si>
  <si>
    <t>TOPOS CIMA/BAIXO</t>
  </si>
  <si>
    <t>TOPOS LATERAIS</t>
  </si>
  <si>
    <t>Kit 4 Pés Niveladores (Armário Inferior)</t>
  </si>
  <si>
    <r>
      <t xml:space="preserve">2x NIVELADOR MOVEIS Nº90 C.F. BRANCO DRT </t>
    </r>
    <r>
      <rPr>
        <b/>
        <sz val="11"/>
        <color theme="1"/>
        <rFont val="Arial"/>
        <family val="2"/>
      </rPr>
      <t>(LAGE &amp; SA)</t>
    </r>
    <r>
      <rPr>
        <sz val="11"/>
        <color theme="1"/>
        <rFont val="Arial"/>
        <family val="2"/>
      </rPr>
      <t xml:space="preserve"> 2x NIVELADOR MOVEIS Nº90 C.F. BRANCO ESQ </t>
    </r>
    <r>
      <rPr>
        <b/>
        <sz val="11"/>
        <color theme="1"/>
        <rFont val="Arial"/>
        <family val="2"/>
      </rPr>
      <t>(LAGE &amp; SA)</t>
    </r>
  </si>
  <si>
    <t>FUNDO DE GAVETAS</t>
  </si>
  <si>
    <t>sempre que for uma coluna de gavetas colocar "1" no número de portas</t>
  </si>
  <si>
    <t xml:space="preserve">       = </t>
  </si>
  <si>
    <t>PREÇO UNITÁRIO</t>
  </si>
  <si>
    <t>PREÇO TOTAL</t>
  </si>
  <si>
    <t xml:space="preserve">      = </t>
  </si>
  <si>
    <t xml:space="preserve">TOTAL PREÇO CAIXOTE </t>
  </si>
  <si>
    <t>EXTRAS - CAIXOTES INFERIORES</t>
  </si>
  <si>
    <t>EXTRAS - CAIXOTES SUPERIORES</t>
  </si>
  <si>
    <t>sempre que for um caixote de gavetas colocar "1" no número de portas</t>
  </si>
  <si>
    <t>PÉS FIXAÇÃO</t>
  </si>
  <si>
    <t>Kit 6 Pés Niveladores (Armário Inferior)</t>
  </si>
  <si>
    <t>3x NIVELADOR ... DRT + 3x NIVELADOR ... ESQ</t>
  </si>
  <si>
    <t xml:space="preserve">CUSTO TOTAL (CAIXOTE + PORTAS + EXTRAS)                                                                                                                                                                                            =                                                                          </t>
  </si>
  <si>
    <t xml:space="preserve">CUSTO TOTAL (CAIXOTE + PORTAS + EXTRAS)                                                                                                                                                                                                                          =                                                                          </t>
  </si>
  <si>
    <t>PREÇO TOTAL (CAIXOTE + PORTAS + EXTRAS)                                                                                                                                                                                                                          =</t>
  </si>
  <si>
    <t>PREÇO TOTAL (CAIXOTE + PORTAS + EXTRAS)                                                                                                                                                                                           =</t>
  </si>
  <si>
    <t>Nº CAIXOTES IGUAIS:</t>
  </si>
  <si>
    <t>Nº CAIXOTES * CUSTO UNITÁRIO</t>
  </si>
  <si>
    <t>para apenas 1 coluna, colocar "1" na quantidade de colunas iguais</t>
  </si>
  <si>
    <t>Nº CAIXOTES * PREÇO UNITÁRIO</t>
  </si>
  <si>
    <t>para apenas 1 caixote, colocar "1" na quantidade de caixotes iguais</t>
  </si>
  <si>
    <t xml:space="preserve">CUSTO TOTAL (CAIXOTE + PORTAS + EXTRAS)                                                                                                                                   =                                                                          </t>
  </si>
  <si>
    <t>PREÇO TOTAL (CAIXOTE + PORTAS + EXTRAS)                                                                                                                                    =</t>
  </si>
  <si>
    <t>FORNECEDORES EXTRAS</t>
  </si>
  <si>
    <t>NOTA:</t>
  </si>
  <si>
    <t>imagem meramente ilustrativa</t>
  </si>
  <si>
    <r>
      <rPr>
        <b/>
        <sz val="11"/>
        <color theme="1"/>
        <rFont val="Calibri"/>
        <family val="2"/>
        <scheme val="minor"/>
      </rPr>
      <t>1º</t>
    </r>
    <r>
      <rPr>
        <sz val="11"/>
        <color theme="1"/>
        <rFont val="Calibri"/>
        <family val="2"/>
        <scheme val="minor"/>
      </rPr>
      <t xml:space="preserve"> Clicar em "Localizar e Selecionar" na aba superior do excel</t>
    </r>
  </si>
  <si>
    <r>
      <rPr>
        <b/>
        <sz val="11"/>
        <color theme="1"/>
        <rFont val="Calibri"/>
        <family val="2"/>
        <scheme val="minor"/>
      </rPr>
      <t>2º</t>
    </r>
    <r>
      <rPr>
        <sz val="11"/>
        <color theme="1"/>
        <rFont val="Calibri"/>
        <family val="2"/>
        <scheme val="minor"/>
      </rPr>
      <t xml:space="preserve"> Escrever a referência presente na fatura do fornecedor</t>
    </r>
  </si>
  <si>
    <r>
      <rPr>
        <b/>
        <sz val="11"/>
        <color theme="1"/>
        <rFont val="Calibri"/>
        <family val="2"/>
        <scheme val="minor"/>
      </rPr>
      <t>3º</t>
    </r>
    <r>
      <rPr>
        <sz val="11"/>
        <color theme="1"/>
        <rFont val="Calibri"/>
        <family val="2"/>
        <scheme val="minor"/>
      </rPr>
      <t xml:space="preserve"> Alterar o preço</t>
    </r>
  </si>
  <si>
    <t>COMPRIMENTO</t>
  </si>
  <si>
    <t>LARGURA</t>
  </si>
  <si>
    <t>ESPESSURA</t>
  </si>
  <si>
    <t>CUSTO DA PLACA COMPLETA</t>
  </si>
  <si>
    <t>CATEGORIA</t>
  </si>
  <si>
    <t>ÁREA M2</t>
  </si>
  <si>
    <t>CUSTO M2 DO FORNECEDOR</t>
  </si>
  <si>
    <t>REFERENCIA DO FORNECEDOR DA PLACA</t>
  </si>
  <si>
    <t>NOME INTERNO</t>
  </si>
  <si>
    <t>MDF Hidrófugo - 10mm</t>
  </si>
  <si>
    <t>MDF Hidrófugo - 16mm</t>
  </si>
  <si>
    <t>MDF Hidrófugo - 19mm</t>
  </si>
  <si>
    <t>MDF Hidrófugo - 22mm</t>
  </si>
  <si>
    <t>MDF Hidrófugo - 40mm</t>
  </si>
  <si>
    <t>Melamina Branca Hidrófuga B3768 - 16mm</t>
  </si>
  <si>
    <t>Melamina L167 Hidrófuga - 16mm</t>
  </si>
  <si>
    <t>Melamina F067 Hidrófuga - 16mm</t>
  </si>
  <si>
    <t>Melamina Branca B3768 - 10mm</t>
  </si>
  <si>
    <t>Melamina L167 - 10mm</t>
  </si>
  <si>
    <t>Melamina F067 - 10mm</t>
  </si>
  <si>
    <t>Melamina Linho Agadir F755 - 10mm</t>
  </si>
  <si>
    <t>Melamina Linho Agadir F755 - 16mm</t>
  </si>
  <si>
    <t>Folheado Carvalho A/B - 10mm</t>
  </si>
  <si>
    <t>Folheado Sucupira A/B - 19mm</t>
  </si>
  <si>
    <t>Melamina Branca B3822 - 10mm</t>
  </si>
  <si>
    <t>Melamina Branca B3822 - 16mm</t>
  </si>
  <si>
    <t>Melamina L167 - 16mm</t>
  </si>
  <si>
    <t>Melamina F067 - 16mm</t>
  </si>
  <si>
    <t>Melamina F067 - 8mm</t>
  </si>
  <si>
    <t>Melamina Madeira M2112 - 16mm</t>
  </si>
  <si>
    <t>Melamina Madeira M2112 - 10mm</t>
  </si>
  <si>
    <t>Melamina Linho Castanho F6012 - 16mm</t>
  </si>
  <si>
    <t>Melamina L3031 - 19mm</t>
  </si>
  <si>
    <t>Melamina Linho Castanho F6012 - 10mm</t>
  </si>
  <si>
    <t>Melamina Branca B3768 - 16mm</t>
  </si>
  <si>
    <t>MDF</t>
  </si>
  <si>
    <t>Melamina Branca</t>
  </si>
  <si>
    <t>Melamina Cores</t>
  </si>
  <si>
    <t>Melamina Fantasia</t>
  </si>
  <si>
    <t>Madeira Folheada</t>
  </si>
  <si>
    <t>Melamina Madeiras</t>
  </si>
  <si>
    <t>Melamina F167 Hidrófuga - 16mm</t>
  </si>
  <si>
    <t>Contraplacado Bétula Carvalho - 18mm</t>
  </si>
  <si>
    <t>Contraplacado Bétula Carvalho - 15mm</t>
  </si>
  <si>
    <t>Valchromat Preto - 19mm</t>
  </si>
  <si>
    <t>Folheado Carvalho A/B - 40mm</t>
  </si>
  <si>
    <t>Contraplacado Bétula WBP - 9mm</t>
  </si>
  <si>
    <t>Folheado Carvalho A/B - 16mm</t>
  </si>
  <si>
    <t>Painel Madeira Tricapa - 27mm</t>
  </si>
  <si>
    <t>Placa OSB 3 - 15mm</t>
  </si>
  <si>
    <t>Contraplacado Bétula Nogueira - 18mm</t>
  </si>
  <si>
    <t>Contraplacado Bétula WBP - 15mm</t>
  </si>
  <si>
    <t>Contraplacado Bétula Carvalho - 12mm</t>
  </si>
  <si>
    <t>Folheado Carvalho A/B - 19mm</t>
  </si>
  <si>
    <t>Contraplacado Chopo - 12mm</t>
  </si>
  <si>
    <t>Folheado Carvalho A/B - 30mm</t>
  </si>
  <si>
    <t>Contraplacado Antiderrapante - 12mm</t>
  </si>
  <si>
    <t>Folheado Palissandro - 19mm</t>
  </si>
  <si>
    <t>Contraplacado Bétula WBP - 18mm</t>
  </si>
  <si>
    <t>MDF Cru Standard - 5mm</t>
  </si>
  <si>
    <t>MDF Hidrófugo - 12mm</t>
  </si>
  <si>
    <t>Folheado Nogueira (MDF) - 19mm</t>
  </si>
  <si>
    <t>Contraplacado Bétula Carvalho - 10mm</t>
  </si>
  <si>
    <t>Melamina Branca W100 - 19mm</t>
  </si>
  <si>
    <t>Folheado Carvalho A/B - 20mm</t>
  </si>
  <si>
    <t>Melamina Cinza Claro U707 - 19mm</t>
  </si>
  <si>
    <t>Melamina Verde Opala U608 - 19mm</t>
  </si>
  <si>
    <t>Melamina Cinza Rato U750 - 19mm</t>
  </si>
  <si>
    <t>Melamina Preta U999 - 19mm</t>
  </si>
  <si>
    <t>Melamina Branco Porcelana W1200 - 19mm</t>
  </si>
  <si>
    <t>Melamina Carvalho H1357 - 19mm</t>
  </si>
  <si>
    <t>Contraplacados</t>
  </si>
  <si>
    <t>Acabamentos Especiais</t>
  </si>
  <si>
    <t>Estruturais</t>
  </si>
  <si>
    <t>Super Mate Anti-Dedada Cinza - 19mm</t>
  </si>
  <si>
    <t>Termolaminado Bege Alto Brilho - 20mm</t>
  </si>
  <si>
    <t>Melamina Carvalho H3146 - 19mm</t>
  </si>
  <si>
    <t>Melamina Cinza Prata L166 - 16mm</t>
  </si>
  <si>
    <t>Melamina Branco Porcelana W1200 - 8mm</t>
  </si>
  <si>
    <t>Melamina Carvalho H1384 - 19mm</t>
  </si>
  <si>
    <t>Termolaminado Cinza Alto Brilho - 19mm</t>
  </si>
  <si>
    <t>Compacto Fenólico Preto - 12mm</t>
  </si>
  <si>
    <t>Compacto Fenólico Branco - 12mm</t>
  </si>
  <si>
    <t>Melamina Preta P001 - 19,6mm</t>
  </si>
  <si>
    <t>Super Mate Anti-Dedada Preto C182 - 19,6mm</t>
  </si>
  <si>
    <t>Contraplacado Bétula Marítimo - 18mm</t>
  </si>
  <si>
    <t>Melamina Cinza G075 - 20mm</t>
  </si>
  <si>
    <t>Super Mate Preto Sedoso N005 - 19,6mm</t>
  </si>
  <si>
    <t>Melamina Cinza Prata Alto Brilho G029 - 20mm</t>
  </si>
  <si>
    <t>Melamina Cinza Textura P114 - 19,6mm</t>
  </si>
  <si>
    <t>Super Mate Anti-Dedada Preto C104 - 19,6mm</t>
  </si>
  <si>
    <t>Melamina Branco Acetinado B117 - 19,6mm</t>
  </si>
  <si>
    <t>Compacto Fenólico Cinza - 12mm</t>
  </si>
  <si>
    <t>Melamina Cinza Claro Alto Brilho G003 - 20mm</t>
  </si>
  <si>
    <t>Compacto Fenólico Cinza Alumínio - 16mm</t>
  </si>
  <si>
    <t>Melamina Branco Suave B070 - 20mm</t>
  </si>
  <si>
    <t>Melamina Branca Mate Hidrófuga B030 - 16mm</t>
  </si>
  <si>
    <t>L167 Hidrofugo 16mm</t>
  </si>
  <si>
    <t>TR-MAX G.Nube - 19mm</t>
  </si>
  <si>
    <t>Luxe Magnolia Alto Brilho - 18mm</t>
  </si>
  <si>
    <t>Compactos Fenólicos</t>
  </si>
  <si>
    <t>Apenas alterar o que está a amarelo consoante a subida ou descida de preços dos fornecedores. Ou, se necessário, acrescencar novos extras (adicionar descrição, custo e fornecedor).</t>
  </si>
  <si>
    <t>FORNECEDORES MADEIRAS</t>
  </si>
  <si>
    <t>Apenas alterar o que está a amarelo consoante a subida ou descida de preços dos fornecedores. Ou, se necessário, acrescencar novas madeiras alterar apenas o que tem o título a laranja (nome interno, refrencia, comprimento, largura, espessura, custo da placa ou do m2, fornecedor e categoria).</t>
  </si>
  <si>
    <t>CUSTO PARA A EMPRESA M2</t>
  </si>
  <si>
    <t>Nesta tabela apenas dá para visualizar o custo dos fornecedores! Se pertendes escolher o melhor fornecedor para algum tipo de material, vai ao excel "Comparação Preços"</t>
  </si>
  <si>
    <t>COMO ATUALIZAR OS PREÇOS:</t>
  </si>
  <si>
    <r>
      <rPr>
        <sz val="11"/>
        <color rgb="FFFF0000"/>
        <rFont val="Calibri"/>
        <family val="2"/>
        <scheme val="minor"/>
      </rPr>
      <t>ATENÇÃO</t>
    </r>
    <r>
      <rPr>
        <sz val="11"/>
        <color theme="1"/>
        <rFont val="Calibri"/>
        <family val="2"/>
        <scheme val="minor"/>
      </rPr>
      <t xml:space="preserve"> isto já irá atualizar o preço e o custo dos orçamentos, desta forma não é necessário fazer mais alterações</t>
    </r>
  </si>
  <si>
    <t>PREÇO MAIS BARATO M2</t>
  </si>
  <si>
    <t>MELHOR FORNECEDOR</t>
  </si>
  <si>
    <t>REFERENCIA PARA ENCOMENDA</t>
  </si>
  <si>
    <t>CUSTO COM MÃO DE OBRA</t>
  </si>
  <si>
    <t>TIPO ORLA:</t>
  </si>
  <si>
    <t>COSTA:</t>
  </si>
  <si>
    <t>TIPO DE DOBRADIÇA:</t>
  </si>
  <si>
    <t>DADOS DO CLIENTE</t>
  </si>
  <si>
    <t>NOME:</t>
  </si>
  <si>
    <t>MORADA DA OBRA:</t>
  </si>
  <si>
    <t>DATA DO ORÇAMENTO:</t>
  </si>
  <si>
    <t>Quantidade</t>
  </si>
  <si>
    <t>Descrição do Artigo</t>
  </si>
  <si>
    <t>Preço Total</t>
  </si>
  <si>
    <t>Categoria</t>
  </si>
  <si>
    <t>Puxadores</t>
  </si>
  <si>
    <t>Preço Unitário Para Cliente</t>
  </si>
  <si>
    <t>Rodapés</t>
  </si>
  <si>
    <t>Acessórios Cozinha</t>
  </si>
  <si>
    <r>
      <rPr>
        <b/>
        <sz val="11"/>
        <color theme="1"/>
        <rFont val="Calibri"/>
        <family val="2"/>
        <scheme val="minor"/>
      </rPr>
      <t>Rodapé PVC Branco Mate Lacado</t>
    </r>
    <r>
      <rPr>
        <sz val="11"/>
        <color theme="1"/>
        <rFont val="Calibri"/>
        <family val="2"/>
        <scheme val="minor"/>
      </rPr>
      <t xml:space="preserve"> (Altura 100mm)</t>
    </r>
  </si>
  <si>
    <r>
      <rPr>
        <b/>
        <sz val="11"/>
        <color theme="1"/>
        <rFont val="Calibri"/>
        <family val="2"/>
        <scheme val="minor"/>
      </rPr>
      <t>Rodapé PVC Branco Mate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Lacado</t>
    </r>
    <r>
      <rPr>
        <sz val="11"/>
        <color theme="1"/>
        <rFont val="Calibri"/>
        <family val="2"/>
        <scheme val="minor"/>
      </rPr>
      <t>(Altura 120mm)</t>
    </r>
  </si>
  <si>
    <t>Cestos do Lixo</t>
  </si>
  <si>
    <t>LED´S</t>
  </si>
  <si>
    <r>
      <rPr>
        <b/>
        <sz val="11"/>
        <color theme="1"/>
        <rFont val="Calibri"/>
        <family val="2"/>
        <scheme val="minor"/>
      </rPr>
      <t>Fundo Gavetão - Balde Lixo - 9X BASE BALDE 70/80</t>
    </r>
    <r>
      <rPr>
        <sz val="11"/>
        <color theme="1"/>
        <rFont val="Calibri"/>
        <family val="2"/>
        <scheme val="minor"/>
      </rPr>
      <t xml:space="preserve"> - GOLLINUCCI</t>
    </r>
  </si>
  <si>
    <t>LUCRO - 97,5%</t>
  </si>
  <si>
    <t>Tomada Suiça Superfície U-Dock (Preta)</t>
  </si>
  <si>
    <t>GAVETÃO ANTARO EXTERIOR</t>
  </si>
  <si>
    <t>GAVETÃO MERIVOBOX EXTERIOR</t>
  </si>
  <si>
    <t>GAVETÃO LEGRABOX EXTERIOR</t>
  </si>
  <si>
    <t>GAVETÃO ANTARO INTERIOR</t>
  </si>
  <si>
    <t>GAVETÃO MERIVOBOX INTERIOR</t>
  </si>
  <si>
    <t>GAVETÃO LEGRABOX INTERIOR</t>
  </si>
  <si>
    <t>GAVETÃO EXTERIOR</t>
  </si>
  <si>
    <t>GAVETÃO INTERIOR</t>
  </si>
  <si>
    <t>GAVTEÃO INTERIOR</t>
  </si>
  <si>
    <t>LUCRO - 80%</t>
  </si>
  <si>
    <t>GAVETA / GAVETÃO EXTERIOR:</t>
  </si>
  <si>
    <t>GAVETA / GAVETÃO INTERIOR:</t>
  </si>
  <si>
    <t>KIT LED ARES (FITA LED + PERFIL ARES + DIFUSOR FOSCO)</t>
  </si>
  <si>
    <t>KIT LED ALEN (FITA LED + PERFIL ARES + DIFUSOR FOSCO)</t>
  </si>
  <si>
    <t>Tomadas</t>
  </si>
  <si>
    <t>GERAL COZINHAS</t>
  </si>
  <si>
    <t>ORÇAMENTO CLIENTE:</t>
  </si>
  <si>
    <t>ORÇAMENTO CLIENTE + EXTRAS:</t>
  </si>
  <si>
    <t>Rodapés (metros)</t>
  </si>
  <si>
    <t>LED´S (metros)</t>
  </si>
  <si>
    <t>Melamina (Hidrof.) BRANCO - B3768 - 10mm</t>
  </si>
  <si>
    <t>TOPOS CIMA/BAIXO (TAMPO):</t>
  </si>
  <si>
    <t>PRATELEIRA HORIZONTAL:</t>
  </si>
  <si>
    <t>DIVISÓRIA VERTICAL:</t>
  </si>
  <si>
    <t>Agl Eurodekor E1E05 H1316 ST17 - 19mm</t>
  </si>
  <si>
    <t>Melamina CARVALHO - EGGER - H1316 ST17 - 19mm</t>
  </si>
  <si>
    <t>Agl Eurodekor E1E05 H3368 ST9 - 19mm</t>
  </si>
  <si>
    <t>Melamina CARVALHO - EGGER - H3368 ST9 - 19mm</t>
  </si>
  <si>
    <t>Agl Eurodekor E1E05 H1715 ST12 - 19mm</t>
  </si>
  <si>
    <t>Agl Eurodekor E1E05 W1000 ST9 - 19mm</t>
  </si>
  <si>
    <t>Melamina Preto - EGGER - U999 ST7 - 19mm</t>
  </si>
  <si>
    <t>Agl Eurodekor E1E05 H1386 ST40 - 19mm</t>
  </si>
  <si>
    <t>Melamina CARVALHO - EGGER - H1386 ST40 - 19mm</t>
  </si>
  <si>
    <t>Agl Eurodekor E1E05 U156 ST9 - 19mm</t>
  </si>
  <si>
    <t>Melamina NOGUEIRA - EGGER - H1715 ST12 - 19mm</t>
  </si>
  <si>
    <t>Melamina BRANCO - EGGER - W1000 ST9 - 19mm</t>
  </si>
  <si>
    <t>Melamina BEGE ROSADO - EGGER - U156 ST9 - 19mm</t>
  </si>
  <si>
    <t>ARMÁRIO COZINHA - COLUNA  / 60(L)x240(A)x60(P) / 7 Portas / 2 Gavetas / INT: Melamina F067 Hidrófuga - 16mm / EXT: MDF Hidrófugo - 19mm</t>
  </si>
  <si>
    <t>MARGEM REVENDEDOR (ANDREIA)</t>
  </si>
  <si>
    <t>MARGEM CLIENTE NORMAL</t>
  </si>
  <si>
    <t>PREÇO REVENDEOR</t>
  </si>
  <si>
    <t>SILWOOD | ORÇAMENTO DE MATERIAIS (REVENDA)</t>
  </si>
  <si>
    <t>NOME DO REVENDEDOR:</t>
  </si>
  <si>
    <t>ANDREIA</t>
  </si>
  <si>
    <t>DATA:</t>
  </si>
  <si>
    <t>DESCRIÇÃO DO MATERIAL (PLACA / ORLA / FERRAGEM)</t>
  </si>
  <si>
    <t>QUANTIDADE</t>
  </si>
  <si>
    <t>PREÇO UNIT.</t>
  </si>
  <si>
    <t>TOTAL</t>
  </si>
  <si>
    <t>TOTAL A PAGAR:</t>
  </si>
  <si>
    <t>md</t>
  </si>
  <si>
    <t>Fonecedor</t>
  </si>
  <si>
    <t>CUSTO MATERIAL</t>
  </si>
  <si>
    <t>Orla - Madeira Carvalho 0,5mm</t>
  </si>
  <si>
    <t>MODULO 60</t>
  </si>
  <si>
    <t>Termolaminado - B116 BRI POLYREY BEGE NATUR - 20mm</t>
  </si>
  <si>
    <t>MDF - U702 PM/ST9 EGGER CINZA CAXEMIRA - 19mm</t>
  </si>
  <si>
    <t>Melamina - H1316 ST17 EGGER CARVALHO BOOKMATCH - 19mm</t>
  </si>
  <si>
    <t>Melamina - H3368 ST9 EGGER CARVALHO NATURAL - 19mm</t>
  </si>
  <si>
    <t>Melamina - U705 ST9 EGGER CINZA ANGORA - 19mm</t>
  </si>
  <si>
    <t>Melamina - U999 ST7 EGGER PRETO - 19mm</t>
  </si>
  <si>
    <t>Melamina - H1386 ST40 EGGER CARVALHO CASTANHO - 19mm</t>
  </si>
  <si>
    <t>Melamina - U156 ST9 EGGER BEGE ROSADO - 19mm</t>
  </si>
  <si>
    <t>Lunawood - ST 212ºC TRIPLE SHAD (A) - 3000mm (32*140)</t>
  </si>
  <si>
    <t>MDF HIDROFUGO - 19mm</t>
  </si>
  <si>
    <t>Contraplacado Betula - Afizelia Dossier A/B - 18mm</t>
  </si>
  <si>
    <t>Aglomerite - B3768 SC SONAE PRIME WHITE - 16mm</t>
  </si>
  <si>
    <t>Aglomerite hidr. - F067 SC SONAE CINZA ALUMINIO - 16mm</t>
  </si>
  <si>
    <t>Aglomerite - L166 SC SONAE CINZA CLARO - 16mm</t>
  </si>
  <si>
    <t>Aglomerite - L166 SC SONAE CINZA CLARO - 19mm</t>
  </si>
  <si>
    <t>Aglomerite - F755 TL SONAE AGADIR LINHO - 19mm</t>
  </si>
  <si>
    <t>F067 10mm - 10mm</t>
  </si>
  <si>
    <t>F067 10mm</t>
  </si>
  <si>
    <t>Melamina - FANTASIAS - F755 - 10 mm - 10mm</t>
  </si>
  <si>
    <t>Aglomerado TL F755 SONAE AGADIR LINHO - 10mm</t>
  </si>
  <si>
    <t>F755 normal 16mm - 16mm</t>
  </si>
  <si>
    <t>F755 normal 16mm</t>
  </si>
  <si>
    <t>F067 Hidrofugo 16mm - 16mm</t>
  </si>
  <si>
    <t>Hidrofugo - M6341 FUN SONAE ITALIAN ECHO - 19mm</t>
  </si>
  <si>
    <t>WOODSIDE</t>
  </si>
  <si>
    <t>eurodekor - U156 ST9 EGGER BEGE ROSADO - 19mm</t>
  </si>
  <si>
    <t>innovus - F067 SC SONAE CINZA ALUMINIO - 8mm</t>
  </si>
  <si>
    <t>Sand aglomerado - D091 GLOSS BRANCO BRILHO - 18mm</t>
  </si>
  <si>
    <t>B3768 hid 16mm - 16mm</t>
  </si>
  <si>
    <t>B3768 hid 16mm</t>
  </si>
  <si>
    <t>Innovus - F6012 TL SONAE BROWN TWIST - 19mm</t>
  </si>
  <si>
    <t>Eurodeko -W1000 ST9 EGGER BRANCO PREMIUM - 19mm</t>
  </si>
  <si>
    <t>Eurodekor - H1714 ST19 EGGER NOGUEIRA LINCOLN - 19mm</t>
  </si>
  <si>
    <t>Eurodekor - U775 ST9 EGGER CINZA BRUMA  - 19mm</t>
  </si>
  <si>
    <t>Melamina - F6012 TL SONAE BROWN TWIST - 16mm</t>
  </si>
  <si>
    <t>F579 - 19mm</t>
  </si>
  <si>
    <t>Aglomerado Std - F579 ST20 METAL CHAMPAGNE ESCOVADO - 19mm</t>
  </si>
  <si>
    <t>167 - 12mm</t>
  </si>
  <si>
    <t>Contraplacado WBP Anti Derrapende (167 Gr - 12 mm</t>
  </si>
  <si>
    <t>Contraplacado WBP Anti Derrapende (167 G - 12 mm</t>
  </si>
  <si>
    <t>Contraplacado WBP Anti Derrapende (167 - 12 mm</t>
  </si>
  <si>
    <t>Contraplacado WBP Anti Derrapende (16 - 12 mm</t>
  </si>
  <si>
    <t>Contraplacado WBP Anti Derrapende (1 - 12 mm</t>
  </si>
  <si>
    <t>Contraplacado WBP Anti Derrapende ( - 12 mm</t>
  </si>
  <si>
    <t>Contraplacado WBP Anti Derrapende  - 12 mm</t>
  </si>
  <si>
    <t>B3822 SC S - 10mm</t>
  </si>
  <si>
    <t>Melamina - LISOS - B3822 SC S- 10 mm</t>
  </si>
  <si>
    <t>B3822 SC SO - 10mm</t>
  </si>
  <si>
    <t>Melamina - LISOS - B3822 SC SO- 10 mm</t>
  </si>
  <si>
    <t>B3822 SC SON - 10mm</t>
  </si>
  <si>
    <t>Melamina - LISOS - B3822 SC SON- 10 mm</t>
  </si>
  <si>
    <t>B3822 SC SONA - 10mm</t>
  </si>
  <si>
    <t>Melamina - LISOS - B3822 SC SONA- 10 mm</t>
  </si>
  <si>
    <t>B3822 SC SONAE - 10mm</t>
  </si>
  <si>
    <t>Melamina - LISOS - B3822 SC SONAE- 10 mm</t>
  </si>
  <si>
    <t>Melamina - LISOS - B3822 SC SONAE - 10 mm</t>
  </si>
  <si>
    <t>B3822 SC SONAE B - 10mm</t>
  </si>
  <si>
    <t>Melamina - LISOS - B3822 SC SONAE B- 10 mm</t>
  </si>
  <si>
    <t>B3822 SC SONAE BR - 10mm</t>
  </si>
  <si>
    <t>Melamina - LISOS - B3822 SC SONAE BR- 10 mm</t>
  </si>
  <si>
    <t>B3822 SC SONAE BRA - 10mm</t>
  </si>
  <si>
    <t>Melamina - LISOS - B3822 SC SONAE BRA- 10 mm</t>
  </si>
  <si>
    <t>B3822 SC SONAE BRAN - 10mm</t>
  </si>
  <si>
    <t>Melamina - LISOS - B3822 SC SONAE BRAN- 10 mm</t>
  </si>
  <si>
    <t>B3822 SC SONAE BRANC - 10mm</t>
  </si>
  <si>
    <t>Melamina - LISOS - B3822 SC SONAE BRANC- 10 mm</t>
  </si>
  <si>
    <t>B3822 SC SONAE BRANCO - 10mm</t>
  </si>
  <si>
    <t>Melamina - LISOS - B3822 SC SONAE BRANCO- 10 mm</t>
  </si>
  <si>
    <t>B3822 SC S - 16mm</t>
  </si>
  <si>
    <t>Melamina - LISOS - B3822 SC S- 16 mm</t>
  </si>
  <si>
    <t>B3822 SC SO - 16mm</t>
  </si>
  <si>
    <t>Melamina - LISOS - B3822 SC SO- 16 mm</t>
  </si>
  <si>
    <t>B3822 SC SON - 16mm</t>
  </si>
  <si>
    <t>Melamina - LISOS - B3822 SC SON- 16 mm</t>
  </si>
  <si>
    <t>B3822 SC SONA - 16mm</t>
  </si>
  <si>
    <t>Melamina - LISOS - B3822 SC SONA- 16 mm</t>
  </si>
  <si>
    <t>B3822 SC SONAE - 16mm</t>
  </si>
  <si>
    <t>Melamina - LISOS - B3822 SC SONAE- 16 mm</t>
  </si>
  <si>
    <t>Melamina - LISOS - B3822 SC SONAE - 16 mm</t>
  </si>
  <si>
    <t>B3822 SC SONAE B - 16mm</t>
  </si>
  <si>
    <t>Melamina - LISOS - B3822 SC SONAE B- 16 mm</t>
  </si>
  <si>
    <t>B3822 SC SONAE BR - 16mm</t>
  </si>
  <si>
    <t>Melamina - LISOS - B3822 SC SONAE BR- 16 mm</t>
  </si>
  <si>
    <t>B3822 SC SONAE BRA - 16mm</t>
  </si>
  <si>
    <t>Melamina - LISOS - B3822 SC SONAE BRA- 16 mm</t>
  </si>
  <si>
    <t>B3822 SC SONAE BRAN - 16mm</t>
  </si>
  <si>
    <t>Melamina - LISOS - B3822 SC SONAE BRAN- 16 mm</t>
  </si>
  <si>
    <t>B3822 SC SONAE BRANC - 16mm</t>
  </si>
  <si>
    <t>Melamina - LISOS - B3822 SC SONAE BRANC- 16 mm</t>
  </si>
  <si>
    <t>B3822 SC SONAE BRANCO - 16mm</t>
  </si>
  <si>
    <t>Melamina - LISOS - B3822 SC SONAE BRANCO- 16 mm</t>
  </si>
  <si>
    <t>F167 SC D - 16mm</t>
  </si>
  <si>
    <t>Melamina - HIDRO F167 SC D- 16mm</t>
  </si>
  <si>
    <t>F167 SC DO - 16mm</t>
  </si>
  <si>
    <t>Melamina - HIDRO F167 SC DO- 16mm</t>
  </si>
  <si>
    <t>F167 SC DON - 16mm</t>
  </si>
  <si>
    <t>Melamina - HIDRO F167 SC DON- 16mm</t>
  </si>
  <si>
    <t>F167 SC DONA - 16mm</t>
  </si>
  <si>
    <t>Melamina - HIDRO F167 SC DONA- 16mm</t>
  </si>
  <si>
    <t>F167 SC DONAE - 16mm</t>
  </si>
  <si>
    <t>Melamina - HIDRO F167 SC DONAE- 16mm</t>
  </si>
  <si>
    <t>Melamina - HIDRO F167 SC DONAE - 16mm</t>
  </si>
  <si>
    <t>F167 SC DONAE C - 16mm</t>
  </si>
  <si>
    <t>Melamina - HIDRO F167 SC DONAE C- 16mm</t>
  </si>
  <si>
    <t>F167 SC DONAE CI - 16mm</t>
  </si>
  <si>
    <t>Melamina - HIDRO F167 SC DONAE CI- 16mm</t>
  </si>
  <si>
    <t>F167 SC DONAE CIN - 16mm</t>
  </si>
  <si>
    <t>Melamina - HIDRO F167 SC DONAE CIN- 16mm</t>
  </si>
  <si>
    <t>F167 SC DONAE CINZ - 16mm</t>
  </si>
  <si>
    <t>Melamina - HIDRO F167 SC DONAE CINZ- 16mm</t>
  </si>
  <si>
    <t>F167 SC DONAE CINZA - 16mm</t>
  </si>
  <si>
    <t>Melamina - HIDRO F167 SC DONAE CINZA- 16mm</t>
  </si>
  <si>
    <t>Melamina - HIDRO F167 SC DONAE CINZA - 16mm</t>
  </si>
  <si>
    <t>F167 SC DONAE CINZA E - 16mm</t>
  </si>
  <si>
    <t>Melamina - HIDRO F167 SC DONAE CINZA E- 16mm</t>
  </si>
  <si>
    <t>F167 SC DONAE CINZA ES - 16mm</t>
  </si>
  <si>
    <t>Melamina - HIDRO F167 SC DONAE CINZA ES- 16mm</t>
  </si>
  <si>
    <t>F167 SC DONAE CINZA ESC - 16mm</t>
  </si>
  <si>
    <t>Melamina - HIDRO F167 SC DONAE CINZA ESC- 16mm</t>
  </si>
  <si>
    <t>F167 SC DONAE CINZA ESCU - 16mm</t>
  </si>
  <si>
    <t>Melamina - HIDRO F167 SC DONAE CINZA ESCU- 16mm</t>
  </si>
  <si>
    <t>F167 SC DONAE CINZA ESCUR - 16mm</t>
  </si>
  <si>
    <t>Melamina - HIDRO F167 SC DONAE CINZA ESCUR- 16mm</t>
  </si>
  <si>
    <t>F167 SC DONAE CINZA ESCURO - 16mm</t>
  </si>
  <si>
    <t>Melamina - HIDRO F167 SC DONAE CINZA ESCURO- 16mm</t>
  </si>
  <si>
    <t>F167 SC DNAE CINZA ESCURO - 16mm</t>
  </si>
  <si>
    <t>Melamina - HIDRO F167 SC DNAE CINZA ESCURO- 16mm</t>
  </si>
  <si>
    <t>F167 SC NAE CINZA ESCURO - 16mm</t>
  </si>
  <si>
    <t>Melamina - HIDRO F167 SC NAE CINZA ESCURO- 16mm</t>
  </si>
  <si>
    <t>F167 SC SNAE CINZA ESCURO - 16mm</t>
  </si>
  <si>
    <t>Melamina - HIDRO F167 SC SNAE CINZA ESCURO- 16mm</t>
  </si>
  <si>
    <t>F167 SC SONAE CINZA ESCURO - 16mm</t>
  </si>
  <si>
    <t>Melamina - HIDRO F167 SC SONAE CINZA ESCURO- 16mm</t>
  </si>
  <si>
    <t>F167 SC S - 16mm</t>
  </si>
  <si>
    <t>Melamina - HIDRO F167 SC S- 16mm</t>
  </si>
  <si>
    <t>F167 SC SO - 16mm</t>
  </si>
  <si>
    <t>Melamina - HIDRO F167 SC SO- 16mm</t>
  </si>
  <si>
    <t>F167 SC SON - 16mm</t>
  </si>
  <si>
    <t>Melamina - HIDRO F167 SC SON- 16mm</t>
  </si>
  <si>
    <t>F167 SC SONA - 16mm</t>
  </si>
  <si>
    <t>Melamina - HIDRO F167 SC SONA- 16mm</t>
  </si>
  <si>
    <t>F167 SC SONAE - 16mm</t>
  </si>
  <si>
    <t>Melamina - HIDRO F167 SC SONAE- 16mm</t>
  </si>
  <si>
    <t>Melamina - HIDRO F167 SC SONAE - 16mm</t>
  </si>
  <si>
    <t>F167 SC SONAE C - 16mm</t>
  </si>
  <si>
    <t>Melamina - HIDRO F167 SC SONAE C- 16mm</t>
  </si>
  <si>
    <t>F167 SC SONAE CI - 16mm</t>
  </si>
  <si>
    <t>Melamina - HIDRO F167 SC SONAE CI- 16mm</t>
  </si>
  <si>
    <t>F167 SC SONAE CIN - 16mm</t>
  </si>
  <si>
    <t>Melamina - HIDRO F167 SC SONAE CIN- 16mm</t>
  </si>
  <si>
    <t>F167 SC SONAE CINZ - 16mm</t>
  </si>
  <si>
    <t>Melamina - HIDRO F167 SC SONAE CINZ- 16mm</t>
  </si>
  <si>
    <t>F167 SC SONAE CINZA - 16mm</t>
  </si>
  <si>
    <t>Melamina - HIDRO F167 SC SONAE CINZA- 16mm</t>
  </si>
  <si>
    <t>Melamina - HIDRO F167 SC SONAE CINZA - 16mm</t>
  </si>
  <si>
    <t>F167 SC SONAE CINZA E - 16mm</t>
  </si>
  <si>
    <t>Melamina - HIDRO F167 SC SONAE CINZA E- 16mm</t>
  </si>
  <si>
    <t>F167 SC SONAE CINZA ES - 16mm</t>
  </si>
  <si>
    <t>Melamina - HIDRO F167 SC SONAE CINZA ES- 16mm</t>
  </si>
  <si>
    <t>F167 SC SONAE CINZA ESC - 16mm</t>
  </si>
  <si>
    <t>Melamina - HIDRO F167 SC SONAE CINZA ESC- 16mm</t>
  </si>
  <si>
    <t>F167 SC SONAE CINZA ESCU - 16mm</t>
  </si>
  <si>
    <t>Melamina - HIDRO F167 SC SONAE CINZA ESCU- 16mm</t>
  </si>
  <si>
    <t>F167 SC SONAE CINZA ESCUR - 16mm</t>
  </si>
  <si>
    <t>Melamina - HIDRO F167 SC SONAE CINZA ESCUR- 16mm</t>
  </si>
  <si>
    <t>M2112 MADEIRAS - 10mm</t>
  </si>
  <si>
    <t>Melamina - MADEIRAS -M2112 - 10mm</t>
  </si>
  <si>
    <t>Melamina - MADEIRAS M2112 - 10mm</t>
  </si>
  <si>
    <t>Melamina - MADEIRASM2112 - 10mm</t>
  </si>
  <si>
    <t>Melamina - MADEIRAM2112 - 10mm</t>
  </si>
  <si>
    <t>Melamina - MADEIRM2112 - 10mm</t>
  </si>
  <si>
    <t>Melamina - MADEIM2112 - 10mm</t>
  </si>
  <si>
    <t>Melamina - MADEM2112 - 10mm</t>
  </si>
  <si>
    <t>Melamina - MADM2112 - 10mm</t>
  </si>
  <si>
    <t>Melamina - MAM2112 - 10mm</t>
  </si>
  <si>
    <t>Melamina - MM2112 - 10mm</t>
  </si>
  <si>
    <t>Melamina - M2112 - 10mm</t>
  </si>
  <si>
    <t>Melamina - M2112 S- 10mm</t>
  </si>
  <si>
    <t>Melamina - M2112 SO- 10mm</t>
  </si>
  <si>
    <t>Melamina - M2112 SON- 10mm</t>
  </si>
  <si>
    <t>Melamina - M2112 SONA- 10mm</t>
  </si>
  <si>
    <t>Melamina - M2112 SONAE- 10mm</t>
  </si>
  <si>
    <t>Melamina - M2112 SONAE - 10mm</t>
  </si>
  <si>
    <t>Melamina - M2112 SONAE P- 10mm</t>
  </si>
  <si>
    <t>Melamina - M2112 SONAE PI- 10mm</t>
  </si>
  <si>
    <t>Melamina - M2112 SONAE PIE- 10mm</t>
  </si>
  <si>
    <t>Melamina - M2112 SONAE PIEN- 10mm</t>
  </si>
  <si>
    <t>Melamina - M2112 SONAE PIEN - 10mm</t>
  </si>
  <si>
    <t>Melamina - M2112 SONAE PIEN B- 10mm</t>
  </si>
  <si>
    <t>Melamina - M2112 SONAE PIEN BE- 10mm</t>
  </si>
  <si>
    <t>Melamina - M2112 SONAE PIEN BEE- 10mm</t>
  </si>
  <si>
    <t>Melamina - M2112 SONAE PIEN BEEC- 10mm</t>
  </si>
  <si>
    <t>Melamina - M2112 SONAE PIEN BEECH- 10mm</t>
  </si>
  <si>
    <t>M2112 MADEIRAS - 16mm</t>
  </si>
  <si>
    <t>Melamina - MADEIRAS -M2112 - 16mm</t>
  </si>
  <si>
    <t>Melamina - MADEIRAS M2112 - 16mm</t>
  </si>
  <si>
    <t>Melamina - MADEIRASM2112 - 16mm</t>
  </si>
  <si>
    <t>Melamina - MADEIRAM2112 - 16mm</t>
  </si>
  <si>
    <t>Melamina - MADEIRM2112 - 16mm</t>
  </si>
  <si>
    <t>Melamina - MADEIM2112 - 16mm</t>
  </si>
  <si>
    <t>Melamina - MADEM2112 - 16mm</t>
  </si>
  <si>
    <t>Melamina - MADM2112 - 16mm</t>
  </si>
  <si>
    <t>Melamina - MAM2112 - 16mm</t>
  </si>
  <si>
    <t>Melamina - MM2112 - 16mm</t>
  </si>
  <si>
    <t>Melamina - M2112 - 16mm</t>
  </si>
  <si>
    <t>Melamina -M2112 - 16mm</t>
  </si>
  <si>
    <t>Melamina - M2112 SONAE PIEN BEECH- 16mm</t>
  </si>
  <si>
    <t>Melamina - M2112 SONAE PIEN BEECH - 10mm</t>
  </si>
  <si>
    <t>Melamina - M2112 SONAE PIEN BEECH - 16mm</t>
  </si>
  <si>
    <t>F026 FA C/F - 20mm</t>
  </si>
  <si>
    <t>Aglom. sandw - CINZA -F026 FA C/F - 20mm</t>
  </si>
  <si>
    <t>Aglom. sandw - CINZA F026 FA C/F - 20mm</t>
  </si>
  <si>
    <t>Aglom. sandw - CINZAF026 FA C/F - 20mm</t>
  </si>
  <si>
    <t>Aglom. sandw - CINZF026 FA C/F - 20mm</t>
  </si>
  <si>
    <t>CINF026 FA C/F - 20mm</t>
  </si>
  <si>
    <t>Aglom. sandw - CINF026 FA C/F - 20mm</t>
  </si>
  <si>
    <t>CIF026 FA C/F - 20mm</t>
  </si>
  <si>
    <t>Aglom. sandw - CIF026 FA C/F - 20mm</t>
  </si>
  <si>
    <t>CF026 FA C/F - 20mm</t>
  </si>
  <si>
    <t>Aglom. sandw - CF026 FA C/F - 20mm</t>
  </si>
  <si>
    <t>Aglom. sandw - F026 FA C/F - 20mm</t>
  </si>
  <si>
    <t>F026 FA C/F C - 20mm</t>
  </si>
  <si>
    <t>Aglom. sandw - F026 FA C/F C- 20mm</t>
  </si>
  <si>
    <t>F026 FA C/F CI - 20mm</t>
  </si>
  <si>
    <t>Aglom. sandw - F026 FA C/F CI- 20mm</t>
  </si>
  <si>
    <t>F026 FA C/F CIN - 20mm</t>
  </si>
  <si>
    <t>Aglom. sandw - F026 FA C/F CIN- 20mm</t>
  </si>
  <si>
    <t>F026 FA C/F CINZ - 20mm</t>
  </si>
  <si>
    <t>Aglom. sandw - F026 FA C/F CINZ- 20mm</t>
  </si>
  <si>
    <t>F026 FA C/F CINZA - 20mm</t>
  </si>
  <si>
    <t>Aglom. sandw - F026 FA C/F CINZA- 20mm</t>
  </si>
  <si>
    <t>Aglom. sandw - F026 FA C/F CINZA - 20mm</t>
  </si>
  <si>
    <t>F026 FA C/F PCINZA - 20mm</t>
  </si>
  <si>
    <t>Aglom. sandw - F026 FA C/F PCINZA - 20mm</t>
  </si>
  <si>
    <t>F026 FA C/F POCINZA - 20mm</t>
  </si>
  <si>
    <t>Aglom. sandw - F026 FA C/F POCINZA - 20mm</t>
  </si>
  <si>
    <t>F026 FA C/F POLCINZA - 20mm</t>
  </si>
  <si>
    <t>Aglom. sandw - F026 FA C/F POLCINZA - 20mm</t>
  </si>
  <si>
    <t>F026 FA C/F POLYCINZA - 20mm</t>
  </si>
  <si>
    <t>Aglom. sandw - F026 FA C/F POLYCINZA - 20mm</t>
  </si>
  <si>
    <t>F026 FA C/F POLYRCINZA - 20mm</t>
  </si>
  <si>
    <t>Aglom. sandw - F026 FA C/F POLYRCINZA - 20mm</t>
  </si>
  <si>
    <t>F026 FA C/F POLYRECINZA - 20mm</t>
  </si>
  <si>
    <t>Aglom. sandw - F026 FA C/F POLYRECINZA - 20mm</t>
  </si>
  <si>
    <t>F026 FA C/F POLYREYCINZA - 20mm</t>
  </si>
  <si>
    <t>Aglom. sandw - F026 FA C/F POLYREYCINZA - 20mm</t>
  </si>
  <si>
    <t>F026 FA C/F POLYREY CINZA - 20mm</t>
  </si>
  <si>
    <t>Aglom. sandw - F026 FA C/F POLYREY CINZA - 20mm</t>
  </si>
  <si>
    <t>0074 FH CINZA - 12mm</t>
  </si>
  <si>
    <t>Compacto Fund. 0074 FH CINZA O- 12mm</t>
  </si>
  <si>
    <t>Compacto Fund. 0074 FH CINZA - 12mm</t>
  </si>
  <si>
    <t>Compacto Fund. 0074 FH CINZA P- 12mm</t>
  </si>
  <si>
    <t>Compacto Fund. 0074 FH CINZA PA- 12mm</t>
  </si>
  <si>
    <t>Compacto Fund. 0074 FH CINZA PAS- 12mm</t>
  </si>
  <si>
    <t>Compacto Fund. 0074 FH CINZA PAST- 12mm</t>
  </si>
  <si>
    <t>Compacto Fund. 0074 FH CINZA PASTE- 12mm</t>
  </si>
  <si>
    <t>Compacto Fund. 0074 FH CINZA PASTEL- 12mm</t>
  </si>
  <si>
    <t>D003 - 19mm</t>
  </si>
  <si>
    <t>Termolaminado - D003 - 19mm</t>
  </si>
  <si>
    <t>D003 CINZA CLARO ALTO BRILHO - 19mm</t>
  </si>
  <si>
    <t>Termolaminado - D003 CINZA CLARO ALTO BRILHO- 19mm</t>
  </si>
  <si>
    <t>Aglom. sandw -F026 FA C/F - 20mm</t>
  </si>
  <si>
    <t>Aglom. sandw - F026 FA C/F P- 20mm</t>
  </si>
  <si>
    <t>Aglom. sandw - F026 FA C/F PO- 20mm</t>
  </si>
  <si>
    <t>Aglom. sandw - F026 FA C/F POL- 20mm</t>
  </si>
  <si>
    <t>Aglom. sandw - F026 FA C/F POLY- 20mm</t>
  </si>
  <si>
    <t>Aglom. sandw - F026 FA C/F POLYR- 20mm</t>
  </si>
  <si>
    <t>Aglom. sandw - F026 FA C/F POLYRE- 20mm</t>
  </si>
  <si>
    <t>F026 FA C/F POLYRE - 20mm</t>
  </si>
  <si>
    <t>Aglom. sandw - F026 FA C/F POLYREY- 20mm</t>
  </si>
  <si>
    <t>Aglom. sandw - F026 FA C/F POLYREY - 20mm</t>
  </si>
  <si>
    <t>Aglom. sandw - F026 FA C/F POLYREY C- 20mm</t>
  </si>
  <si>
    <t>Aglom. sandw - F026 FA C/F POLYREY CI- 20mm</t>
  </si>
  <si>
    <t>Aglom. sandw - F026 FA C/F POLYREY CIN- 20mm</t>
  </si>
  <si>
    <t>Aglom. sandw - F026 FA C/F POLYREY CINZ- 20mm</t>
  </si>
  <si>
    <t>Aglom. sandw - F026 FA C/F POLYREY CINZA- 20mm</t>
  </si>
  <si>
    <t>Aglom. sandw - F026 FA C/F POLYREU- 20mm</t>
  </si>
  <si>
    <t>F026 FA C/F POLYREU - 20mm</t>
  </si>
  <si>
    <t>L167 TL SONAE CINZA ESCURO - 16mm</t>
  </si>
  <si>
    <t>aglomerite - L167 SC hidro. CINZA ESCURO - 16mm</t>
  </si>
  <si>
    <t>L167 hid 16mm</t>
  </si>
  <si>
    <t>LUXE METALDECO - EFEITO PEROLA ALTO BRILHO - 18mm</t>
  </si>
  <si>
    <t>TR-MAX CACHEMIR BRILHO - 19mm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</si>
</sst>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_-* #,##0.0\ &quot;€&quot;_-;\-* #,##0.0\ &quot;€&quot;_-;_-* &quot;-&quot;??\ &quot;€&quot;_-;_-@_-"/>
    <numFmt numFmtId="166" formatCode="_-* #,##0\ &quot;€&quot;_-;\-* #,##0\ &quot;€&quot;_-;_-* &quot;-&quot;??\ &quot;€&quot;_-;_-@_-"/>
    <numFmt numFmtId="167" formatCode="_-* #,##0.00\ &quot;€&quot;_-;\-* #,##0.00\ &quot;€&quot;_-;_-* &quot;-&quot;?\ &quot;€&quot;_-;_-@_-"/>
    <numFmt numFmtId="168" formatCode="#,##0.00\ \€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0"/>
      <name val="Calibri"/>
      <family val="2"/>
    </font>
    <font>
      <b/>
      <sz val="16"/>
      <color rgb="FF1F2D3D"/>
      <name val="Segoe UI"/>
      <family val="2"/>
    </font>
    <font>
      <i/>
      <sz val="10"/>
      <color rgb="FF5A6A85"/>
      <name val="Segoe UI"/>
      <family val="2"/>
    </font>
    <font>
      <b/>
      <sz val="11"/>
      <color rgb="FFFFFFFF"/>
      <name val="Segoe UI"/>
      <family val="2"/>
    </font>
    <font>
      <sz val="10"/>
      <color rgb="FF333333"/>
      <name val="Segoe UI"/>
      <family val="2"/>
    </font>
    <font>
      <b/>
      <sz val="10"/>
      <color rgb="FF2E3A46"/>
      <name val="Segoe UI"/>
      <family val="2"/>
    </font>
    <font>
      <b/>
      <sz val="11"/>
      <name val="Segoe UI"/>
      <family val="2"/>
    </font>
    <font>
      <b/>
      <i/>
      <sz val="10"/>
      <color rgb="FF333333"/>
      <name val="Segoe UI"/>
      <family val="2"/>
    </font>
    <font>
      <b/>
      <sz val="11"/>
      <color rgb="FFC00000"/>
      <name val="Calibri"/>
      <family val="2"/>
      <scheme val="minor"/>
    </font>
    <font>
      <sz val="10"/>
      <color theme="1"/>
      <name val="Arial Unicode MS"/>
    </font>
    <font>
      <b/>
      <sz val="16"/>
      <color theme="0"/>
      <name val="Calibri"/>
      <family val="2"/>
      <scheme val="minor"/>
    </font>
    <font>
      <b/>
      <sz val="12"/>
      <name val="Calibri"/>
      <family val="2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name val="Calibri"/>
      <family val="2"/>
      <scheme val="minor"/>
    </font>
    <font>
      <b/>
      <sz val="10"/>
      <color theme="1"/>
      <name val="Arial Unicode MS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212529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2E3A46"/>
        <bgColor rgb="FF2E3A46"/>
      </patternFill>
    </fill>
    <fill>
      <patternFill patternType="solid">
        <fgColor rgb="FFEAECEE"/>
        <bgColor rgb="FFEAECEE"/>
      </patternFill>
    </fill>
    <fill>
      <patternFill patternType="solid">
        <fgColor rgb="FFFFFFFF"/>
        <bgColor rgb="FFFFFFFF"/>
      </patternFill>
    </fill>
    <fill>
      <patternFill patternType="solid">
        <fgColor rgb="FFF8F9FA"/>
        <bgColor rgb="FFF8F9FA"/>
      </patternFill>
    </fill>
    <fill>
      <patternFill patternType="solid">
        <fgColor theme="1"/>
        <bgColor rgb="FF2E3A46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43A4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D0D7DE"/>
      </left>
      <right/>
      <top style="thin">
        <color rgb="FFD0D7DE"/>
      </top>
      <bottom style="thin">
        <color rgb="FFD0D7DE"/>
      </bottom>
      <diagonal/>
    </border>
    <border>
      <left/>
      <right/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0" fontId="3" fillId="3" borderId="0" xfId="0" applyFont="1" applyFill="1"/>
    <xf numFmtId="0" fontId="3" fillId="3" borderId="0" xfId="0" applyFont="1" applyFill="1" applyAlignment="1">
      <alignment horizontal="center"/>
    </xf>
    <xf numFmtId="44" fontId="0" fillId="4" borderId="0" xfId="1" applyFont="1" applyFill="1"/>
    <xf numFmtId="0" fontId="2" fillId="3" borderId="0" xfId="0" applyFont="1" applyFill="1"/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0" fontId="6" fillId="0" borderId="0" xfId="0" applyFont="1" applyAlignment="1">
      <alignment horizontal="center"/>
    </xf>
    <xf numFmtId="0" fontId="6" fillId="5" borderId="1" xfId="0" applyFont="1" applyFill="1" applyBorder="1"/>
    <xf numFmtId="164" fontId="0" fillId="0" borderId="1" xfId="0" applyNumberFormat="1" applyBorder="1"/>
    <xf numFmtId="0" fontId="0" fillId="0" borderId="4" xfId="0" applyBorder="1"/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/>
    <xf numFmtId="164" fontId="0" fillId="6" borderId="1" xfId="0" applyNumberFormat="1" applyFill="1" applyBorder="1"/>
    <xf numFmtId="0" fontId="0" fillId="6" borderId="1" xfId="0" applyFill="1" applyBorder="1"/>
    <xf numFmtId="0" fontId="0" fillId="4" borderId="0" xfId="0" applyFill="1"/>
    <xf numFmtId="44" fontId="0" fillId="0" borderId="1" xfId="1" applyFont="1" applyBorder="1"/>
    <xf numFmtId="44" fontId="0" fillId="0" borderId="1" xfId="0" applyNumberFormat="1" applyBorder="1"/>
    <xf numFmtId="44" fontId="0" fillId="12" borderId="0" xfId="1" applyFont="1" applyFill="1"/>
    <xf numFmtId="166" fontId="0" fillId="11" borderId="0" xfId="1" applyNumberFormat="1" applyFont="1" applyFill="1"/>
    <xf numFmtId="6" fontId="0" fillId="0" borderId="0" xfId="0" applyNumberFormat="1"/>
    <xf numFmtId="0" fontId="0" fillId="10" borderId="0" xfId="0" applyFill="1"/>
    <xf numFmtId="44" fontId="0" fillId="14" borderId="1" xfId="0" applyNumberFormat="1" applyFill="1" applyBorder="1"/>
    <xf numFmtId="44" fontId="0" fillId="15" borderId="1" xfId="0" applyNumberFormat="1" applyFill="1" applyBorder="1"/>
    <xf numFmtId="0" fontId="10" fillId="6" borderId="1" xfId="0" applyFont="1" applyFill="1" applyBorder="1"/>
    <xf numFmtId="0" fontId="10" fillId="6" borderId="1" xfId="0" applyFont="1" applyFill="1" applyBorder="1" applyAlignment="1">
      <alignment horizontal="center"/>
    </xf>
    <xf numFmtId="165" fontId="11" fillId="6" borderId="1" xfId="1" applyNumberFormat="1" applyFont="1" applyFill="1" applyBorder="1"/>
    <xf numFmtId="167" fontId="11" fillId="6" borderId="1" xfId="0" applyNumberFormat="1" applyFont="1" applyFill="1" applyBorder="1"/>
    <xf numFmtId="0" fontId="12" fillId="6" borderId="1" xfId="0" applyFont="1" applyFill="1" applyBorder="1"/>
    <xf numFmtId="44" fontId="11" fillId="15" borderId="1" xfId="1" applyFont="1" applyFill="1" applyBorder="1" applyAlignment="1">
      <alignment horizontal="left"/>
    </xf>
    <xf numFmtId="44" fontId="11" fillId="15" borderId="1" xfId="1" applyFont="1" applyFill="1" applyBorder="1" applyAlignment="1"/>
    <xf numFmtId="0" fontId="0" fillId="6" borderId="0" xfId="0" applyFill="1"/>
    <xf numFmtId="0" fontId="0" fillId="0" borderId="1" xfId="0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1" fillId="0" borderId="0" xfId="0" applyFont="1"/>
    <xf numFmtId="0" fontId="0" fillId="2" borderId="3" xfId="0" applyFill="1" applyBorder="1"/>
    <xf numFmtId="0" fontId="0" fillId="2" borderId="5" xfId="0" applyFill="1" applyBorder="1"/>
    <xf numFmtId="0" fontId="0" fillId="2" borderId="2" xfId="0" applyFill="1" applyBorder="1" applyAlignment="1">
      <alignment horizontal="right"/>
    </xf>
    <xf numFmtId="164" fontId="6" fillId="2" borderId="1" xfId="0" applyNumberFormat="1" applyFont="1" applyFill="1" applyBorder="1"/>
    <xf numFmtId="164" fontId="0" fillId="0" borderId="1" xfId="0" applyNumberFormat="1" applyBorder="1" applyAlignment="1">
      <alignment horizontal="right"/>
    </xf>
    <xf numFmtId="44" fontId="0" fillId="0" borderId="0" xfId="1" applyFont="1" applyFill="1" applyBorder="1" applyAlignment="1">
      <alignment horizontal="left" vertical="center"/>
    </xf>
    <xf numFmtId="0" fontId="0" fillId="6" borderId="11" xfId="0" applyFill="1" applyBorder="1"/>
    <xf numFmtId="0" fontId="0" fillId="6" borderId="12" xfId="0" applyFill="1" applyBorder="1"/>
    <xf numFmtId="0" fontId="0" fillId="6" borderId="12" xfId="0" applyFill="1" applyBorder="1" applyAlignment="1">
      <alignment horizontal="right"/>
    </xf>
    <xf numFmtId="164" fontId="0" fillId="6" borderId="10" xfId="0" applyNumberFormat="1" applyFill="1" applyBorder="1"/>
    <xf numFmtId="44" fontId="0" fillId="14" borderId="1" xfId="1" applyFont="1" applyFill="1" applyBorder="1"/>
    <xf numFmtId="0" fontId="0" fillId="0" borderId="13" xfId="0" applyBorder="1"/>
    <xf numFmtId="0" fontId="6" fillId="0" borderId="13" xfId="0" applyFont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7" xfId="0" applyBorder="1" applyAlignment="1">
      <alignment horizontal="center"/>
    </xf>
    <xf numFmtId="0" fontId="6" fillId="0" borderId="19" xfId="0" applyFont="1" applyBorder="1"/>
    <xf numFmtId="0" fontId="0" fillId="0" borderId="1" xfId="0" applyBorder="1" applyAlignment="1">
      <alignment horizontal="right" vertical="center"/>
    </xf>
    <xf numFmtId="0" fontId="6" fillId="0" borderId="19" xfId="0" applyFont="1" applyBorder="1" applyAlignment="1">
      <alignment horizontal="right"/>
    </xf>
    <xf numFmtId="0" fontId="0" fillId="0" borderId="1" xfId="0" applyBorder="1" applyAlignment="1">
      <alignment horizontal="left"/>
    </xf>
    <xf numFmtId="164" fontId="0" fillId="17" borderId="10" xfId="0" applyNumberFormat="1" applyFill="1" applyBorder="1"/>
    <xf numFmtId="0" fontId="9" fillId="0" borderId="13" xfId="0" applyFont="1" applyBorder="1"/>
    <xf numFmtId="44" fontId="0" fillId="0" borderId="0" xfId="1" applyFont="1" applyBorder="1"/>
    <xf numFmtId="0" fontId="6" fillId="0" borderId="19" xfId="0" applyFont="1" applyBorder="1" applyAlignment="1">
      <alignment horizontal="left"/>
    </xf>
    <xf numFmtId="0" fontId="0" fillId="18" borderId="11" xfId="0" applyFill="1" applyBorder="1"/>
    <xf numFmtId="164" fontId="0" fillId="18" borderId="12" xfId="0" applyNumberFormat="1" applyFill="1" applyBorder="1" applyAlignment="1">
      <alignment horizontal="right"/>
    </xf>
    <xf numFmtId="44" fontId="0" fillId="0" borderId="0" xfId="0" applyNumberFormat="1" applyAlignment="1">
      <alignment horizontal="right" vertical="center"/>
    </xf>
    <xf numFmtId="164" fontId="0" fillId="15" borderId="17" xfId="0" applyNumberFormat="1" applyFill="1" applyBorder="1" applyAlignment="1">
      <alignment horizontal="left"/>
    </xf>
    <xf numFmtId="0" fontId="6" fillId="0" borderId="13" xfId="0" applyFont="1" applyBorder="1" applyAlignment="1">
      <alignment horizontal="right"/>
    </xf>
    <xf numFmtId="9" fontId="6" fillId="0" borderId="1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44" fontId="0" fillId="6" borderId="20" xfId="0" applyNumberFormat="1" applyFill="1" applyBorder="1"/>
    <xf numFmtId="164" fontId="0" fillId="14" borderId="16" xfId="0" applyNumberFormat="1" applyFill="1" applyBorder="1" applyAlignment="1">
      <alignment horizontal="left"/>
    </xf>
    <xf numFmtId="164" fontId="0" fillId="14" borderId="17" xfId="0" applyNumberFormat="1" applyFill="1" applyBorder="1" applyAlignment="1">
      <alignment horizontal="left"/>
    </xf>
    <xf numFmtId="164" fontId="0" fillId="19" borderId="17" xfId="0" applyNumberFormat="1" applyFill="1" applyBorder="1" applyAlignment="1">
      <alignment horizontal="left"/>
    </xf>
    <xf numFmtId="164" fontId="0" fillId="19" borderId="21" xfId="0" applyNumberFormat="1" applyFill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20" xfId="0" applyBorder="1" applyAlignment="1">
      <alignment horizontal="right"/>
    </xf>
    <xf numFmtId="164" fontId="0" fillId="0" borderId="10" xfId="0" applyNumberFormat="1" applyBorder="1"/>
    <xf numFmtId="44" fontId="0" fillId="0" borderId="0" xfId="1" applyFont="1"/>
    <xf numFmtId="0" fontId="6" fillId="0" borderId="0" xfId="0" applyFont="1" applyAlignment="1">
      <alignment horizontal="left"/>
    </xf>
    <xf numFmtId="44" fontId="0" fillId="0" borderId="0" xfId="1" applyFont="1" applyFill="1" applyBorder="1"/>
    <xf numFmtId="44" fontId="0" fillId="0" borderId="10" xfId="1" applyFont="1" applyBorder="1"/>
    <xf numFmtId="44" fontId="0" fillId="0" borderId="0" xfId="0" applyNumberFormat="1"/>
    <xf numFmtId="44" fontId="0" fillId="0" borderId="2" xfId="1" applyFont="1" applyBorder="1"/>
    <xf numFmtId="0" fontId="6" fillId="0" borderId="3" xfId="0" applyFont="1" applyBorder="1"/>
    <xf numFmtId="44" fontId="0" fillId="0" borderId="2" xfId="1" applyFont="1" applyBorder="1" applyAlignment="1">
      <alignment horizontal="left"/>
    </xf>
    <xf numFmtId="44" fontId="0" fillId="0" borderId="2" xfId="0" applyNumberFormat="1" applyBorder="1"/>
    <xf numFmtId="2" fontId="0" fillId="0" borderId="1" xfId="0" applyNumberFormat="1" applyBorder="1"/>
    <xf numFmtId="164" fontId="6" fillId="21" borderId="17" xfId="0" applyNumberFormat="1" applyFont="1" applyFill="1" applyBorder="1" applyAlignment="1">
      <alignment horizontal="left"/>
    </xf>
    <xf numFmtId="0" fontId="5" fillId="21" borderId="0" xfId="0" applyFont="1" applyFill="1" applyAlignment="1">
      <alignment horizontal="center"/>
    </xf>
    <xf numFmtId="0" fontId="5" fillId="21" borderId="0" xfId="0" applyFont="1" applyFill="1"/>
    <xf numFmtId="0" fontId="2" fillId="21" borderId="13" xfId="0" applyFont="1" applyFill="1" applyBorder="1" applyAlignment="1">
      <alignment horizontal="right"/>
    </xf>
    <xf numFmtId="0" fontId="0" fillId="16" borderId="0" xfId="0" applyFill="1"/>
    <xf numFmtId="0" fontId="0" fillId="0" borderId="1" xfId="1" applyNumberFormat="1" applyFont="1" applyBorder="1"/>
    <xf numFmtId="8" fontId="0" fillId="0" borderId="0" xfId="0" applyNumberFormat="1" applyAlignment="1">
      <alignment horizontal="right"/>
    </xf>
    <xf numFmtId="0" fontId="0" fillId="0" borderId="23" xfId="0" applyBorder="1"/>
    <xf numFmtId="0" fontId="0" fillId="0" borderId="22" xfId="0" applyBorder="1"/>
    <xf numFmtId="0" fontId="20" fillId="0" borderId="0" xfId="0" applyFont="1"/>
    <xf numFmtId="0" fontId="21" fillId="0" borderId="0" xfId="0" applyFont="1"/>
    <xf numFmtId="0" fontId="22" fillId="23" borderId="24" xfId="0" applyFont="1" applyFill="1" applyBorder="1" applyAlignment="1">
      <alignment horizontal="left" vertical="center"/>
    </xf>
    <xf numFmtId="0" fontId="23" fillId="25" borderId="24" xfId="0" applyFont="1" applyFill="1" applyBorder="1" applyAlignment="1">
      <alignment horizontal="left" vertical="center"/>
    </xf>
    <xf numFmtId="0" fontId="24" fillId="25" borderId="24" xfId="0" applyFont="1" applyFill="1" applyBorder="1" applyAlignment="1">
      <alignment horizontal="left" vertical="center"/>
    </xf>
    <xf numFmtId="0" fontId="23" fillId="26" borderId="24" xfId="0" applyFont="1" applyFill="1" applyBorder="1" applyAlignment="1">
      <alignment horizontal="left" vertical="center"/>
    </xf>
    <xf numFmtId="0" fontId="24" fillId="26" borderId="24" xfId="0" applyFont="1" applyFill="1" applyBorder="1" applyAlignment="1">
      <alignment horizontal="left" vertical="center"/>
    </xf>
    <xf numFmtId="0" fontId="22" fillId="27" borderId="24" xfId="0" applyFont="1" applyFill="1" applyBorder="1" applyAlignment="1">
      <alignment horizontal="left" vertical="center"/>
    </xf>
    <xf numFmtId="0" fontId="23" fillId="25" borderId="25" xfId="0" applyFont="1" applyFill="1" applyBorder="1" applyAlignment="1">
      <alignment horizontal="left" vertical="center"/>
    </xf>
    <xf numFmtId="0" fontId="23" fillId="25" borderId="26" xfId="0" applyFont="1" applyFill="1" applyBorder="1" applyAlignment="1">
      <alignment horizontal="left" vertical="center"/>
    </xf>
    <xf numFmtId="0" fontId="23" fillId="25" borderId="27" xfId="0" applyFont="1" applyFill="1" applyBorder="1" applyAlignment="1">
      <alignment horizontal="left" vertical="center"/>
    </xf>
    <xf numFmtId="44" fontId="0" fillId="0" borderId="1" xfId="1" applyFont="1" applyFill="1" applyBorder="1" applyAlignment="1">
      <alignment horizontal="right"/>
    </xf>
    <xf numFmtId="0" fontId="13" fillId="0" borderId="1" xfId="0" applyFont="1" applyBorder="1" applyAlignment="1">
      <alignment horizontal="left"/>
    </xf>
    <xf numFmtId="0" fontId="26" fillId="25" borderId="24" xfId="0" applyFont="1" applyFill="1" applyBorder="1" applyAlignment="1">
      <alignment horizontal="left" vertical="center"/>
    </xf>
    <xf numFmtId="0" fontId="26" fillId="26" borderId="24" xfId="0" applyFont="1" applyFill="1" applyBorder="1" applyAlignment="1">
      <alignment horizontal="left" vertical="center"/>
    </xf>
    <xf numFmtId="0" fontId="6" fillId="0" borderId="28" xfId="0" applyFont="1" applyBorder="1"/>
    <xf numFmtId="0" fontId="0" fillId="0" borderId="4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6" xfId="0" applyBorder="1" applyAlignment="1">
      <alignment horizontal="center"/>
    </xf>
    <xf numFmtId="0" fontId="0" fillId="0" borderId="31" xfId="0" applyBorder="1"/>
    <xf numFmtId="0" fontId="0" fillId="7" borderId="0" xfId="0" applyFill="1"/>
    <xf numFmtId="9" fontId="0" fillId="0" borderId="1" xfId="2" applyFont="1" applyBorder="1"/>
    <xf numFmtId="44" fontId="0" fillId="15" borderId="1" xfId="1" applyFont="1" applyFill="1" applyBorder="1"/>
    <xf numFmtId="8" fontId="0" fillId="0" borderId="0" xfId="0" applyNumberFormat="1"/>
    <xf numFmtId="0" fontId="6" fillId="20" borderId="1" xfId="0" applyFont="1" applyFill="1" applyBorder="1" applyAlignment="1">
      <alignment horizontal="center" vertical="center"/>
    </xf>
    <xf numFmtId="165" fontId="11" fillId="22" borderId="1" xfId="1" applyNumberFormat="1" applyFont="1" applyFill="1" applyBorder="1"/>
    <xf numFmtId="44" fontId="0" fillId="22" borderId="1" xfId="1" applyFont="1" applyFill="1" applyBorder="1"/>
    <xf numFmtId="44" fontId="0" fillId="22" borderId="1" xfId="0" applyNumberFormat="1" applyFill="1" applyBorder="1"/>
    <xf numFmtId="8" fontId="0" fillId="0" borderId="1" xfId="0" applyNumberFormat="1" applyBorder="1"/>
    <xf numFmtId="0" fontId="6" fillId="29" borderId="1" xfId="0" applyFont="1" applyFill="1" applyBorder="1"/>
    <xf numFmtId="44" fontId="11" fillId="0" borderId="1" xfId="0" applyNumberFormat="1" applyFont="1" applyBorder="1"/>
    <xf numFmtId="0" fontId="2" fillId="13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/>
    </xf>
    <xf numFmtId="0" fontId="2" fillId="12" borderId="23" xfId="0" applyFont="1" applyFill="1" applyBorder="1" applyAlignment="1">
      <alignment horizontal="center"/>
    </xf>
    <xf numFmtId="0" fontId="0" fillId="0" borderId="9" xfId="0" applyBorder="1"/>
    <xf numFmtId="44" fontId="0" fillId="0" borderId="9" xfId="1" applyFont="1" applyBorder="1"/>
    <xf numFmtId="44" fontId="0" fillId="14" borderId="9" xfId="0" applyNumberFormat="1" applyFill="1" applyBorder="1"/>
    <xf numFmtId="44" fontId="0" fillId="15" borderId="9" xfId="1" applyFont="1" applyFill="1" applyBorder="1"/>
    <xf numFmtId="0" fontId="6" fillId="20" borderId="1" xfId="0" applyFont="1" applyFill="1" applyBorder="1"/>
    <xf numFmtId="0" fontId="0" fillId="20" borderId="1" xfId="0" applyFill="1" applyBorder="1"/>
    <xf numFmtId="0" fontId="6" fillId="20" borderId="1" xfId="0" applyFont="1" applyFill="1" applyBorder="1" applyAlignment="1">
      <alignment horizontal="center"/>
    </xf>
    <xf numFmtId="44" fontId="0" fillId="0" borderId="29" xfId="0" applyNumberFormat="1" applyBorder="1"/>
    <xf numFmtId="44" fontId="0" fillId="0" borderId="4" xfId="0" applyNumberFormat="1" applyBorder="1"/>
    <xf numFmtId="0" fontId="27" fillId="14" borderId="0" xfId="0" applyFont="1" applyFill="1"/>
    <xf numFmtId="0" fontId="2" fillId="13" borderId="1" xfId="0" applyFont="1" applyFill="1" applyBorder="1" applyAlignment="1">
      <alignment horizontal="center"/>
    </xf>
    <xf numFmtId="8" fontId="0" fillId="14" borderId="1" xfId="0" applyNumberFormat="1" applyFill="1" applyBorder="1"/>
    <xf numFmtId="166" fontId="0" fillId="15" borderId="1" xfId="1" applyNumberFormat="1" applyFont="1" applyFill="1" applyBorder="1"/>
    <xf numFmtId="0" fontId="10" fillId="20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vertical="center"/>
    </xf>
    <xf numFmtId="6" fontId="0" fillId="15" borderId="1" xfId="0" applyNumberFormat="1" applyFill="1" applyBorder="1"/>
    <xf numFmtId="0" fontId="6" fillId="0" borderId="1" xfId="0" applyFont="1" applyBorder="1" applyAlignment="1">
      <alignment horizontal="center"/>
    </xf>
    <xf numFmtId="0" fontId="3" fillId="28" borderId="1" xfId="0" applyFont="1" applyFill="1" applyBorder="1"/>
    <xf numFmtId="8" fontId="2" fillId="28" borderId="1" xfId="0" applyNumberFormat="1" applyFont="1" applyFill="1" applyBorder="1"/>
    <xf numFmtId="0" fontId="2" fillId="28" borderId="1" xfId="0" applyFont="1" applyFill="1" applyBorder="1"/>
    <xf numFmtId="44" fontId="6" fillId="17" borderId="0" xfId="1" applyFont="1" applyFill="1"/>
    <xf numFmtId="0" fontId="0" fillId="0" borderId="1" xfId="0" applyBorder="1" applyAlignment="1">
      <alignment vertical="center"/>
    </xf>
    <xf numFmtId="0" fontId="28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44" fontId="0" fillId="15" borderId="1" xfId="1" applyFont="1" applyFill="1" applyBorder="1" applyAlignment="1">
      <alignment horizontal="center" vertical="center"/>
    </xf>
    <xf numFmtId="44" fontId="0" fillId="14" borderId="1" xfId="1" applyFont="1" applyFill="1" applyBorder="1" applyAlignment="1">
      <alignment horizontal="center" vertical="center"/>
    </xf>
    <xf numFmtId="44" fontId="0" fillId="14" borderId="22" xfId="0" applyNumberFormat="1" applyFill="1" applyBorder="1"/>
    <xf numFmtId="0" fontId="12" fillId="6" borderId="0" xfId="0" applyFont="1" applyFill="1"/>
    <xf numFmtId="165" fontId="11" fillId="0" borderId="0" xfId="1" applyNumberFormat="1" applyFont="1" applyFill="1" applyBorder="1"/>
    <xf numFmtId="167" fontId="11" fillId="0" borderId="0" xfId="0" applyNumberFormat="1" applyFont="1"/>
    <xf numFmtId="44" fontId="6" fillId="0" borderId="0" xfId="0" applyNumberFormat="1" applyFont="1" applyAlignment="1">
      <alignment horizontal="center"/>
    </xf>
    <xf numFmtId="0" fontId="29" fillId="0" borderId="0" xfId="0" applyFont="1"/>
    <xf numFmtId="0" fontId="31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6" fillId="0" borderId="10" xfId="0" applyFont="1" applyBorder="1" applyAlignment="1">
      <alignment horizontal="center"/>
    </xf>
    <xf numFmtId="0" fontId="0" fillId="28" borderId="1" xfId="0" applyFill="1" applyBorder="1"/>
    <xf numFmtId="0" fontId="0" fillId="32" borderId="1" xfId="0" applyFill="1" applyBorder="1"/>
    <xf numFmtId="44" fontId="0" fillId="6" borderId="1" xfId="1" applyFont="1" applyFill="1" applyBorder="1" applyAlignment="1">
      <alignment horizontal="right"/>
    </xf>
    <xf numFmtId="0" fontId="0" fillId="14" borderId="9" xfId="0" applyFill="1" applyBorder="1"/>
    <xf numFmtId="0" fontId="0" fillId="14" borderId="1" xfId="0" applyFill="1" applyBorder="1"/>
    <xf numFmtId="0" fontId="0" fillId="15" borderId="9" xfId="0" applyFill="1" applyBorder="1"/>
    <xf numFmtId="0" fontId="0" fillId="15" borderId="1" xfId="0" applyFill="1" applyBorder="1"/>
    <xf numFmtId="0" fontId="6" fillId="8" borderId="8" xfId="0" applyFont="1" applyFill="1" applyBorder="1" applyAlignment="1">
      <alignment horizontal="right"/>
    </xf>
    <xf numFmtId="0" fontId="9" fillId="8" borderId="13" xfId="0" applyFont="1" applyFill="1" applyBorder="1"/>
    <xf numFmtId="0" fontId="0" fillId="8" borderId="17" xfId="0" applyFill="1" applyBorder="1"/>
    <xf numFmtId="0" fontId="0" fillId="8" borderId="13" xfId="0" applyFill="1" applyBorder="1"/>
    <xf numFmtId="0" fontId="0" fillId="8" borderId="17" xfId="0" applyFill="1" applyBorder="1" applyAlignment="1">
      <alignment horizontal="center"/>
    </xf>
    <xf numFmtId="0" fontId="0" fillId="8" borderId="14" xfId="0" applyFill="1" applyBorder="1"/>
    <xf numFmtId="0" fontId="0" fillId="0" borderId="8" xfId="0" applyBorder="1"/>
    <xf numFmtId="0" fontId="6" fillId="0" borderId="0" xfId="0" applyFont="1" applyAlignment="1">
      <alignment horizontal="right"/>
    </xf>
    <xf numFmtId="164" fontId="0" fillId="0" borderId="0" xfId="0" applyNumberFormat="1"/>
    <xf numFmtId="0" fontId="0" fillId="0" borderId="32" xfId="0" applyBorder="1"/>
    <xf numFmtId="0" fontId="0" fillId="0" borderId="21" xfId="0" applyBorder="1"/>
    <xf numFmtId="0" fontId="6" fillId="8" borderId="13" xfId="0" applyFont="1" applyFill="1" applyBorder="1" applyAlignment="1">
      <alignment horizontal="right"/>
    </xf>
    <xf numFmtId="0" fontId="0" fillId="0" borderId="7" xfId="0" applyBorder="1"/>
    <xf numFmtId="44" fontId="0" fillId="0" borderId="5" xfId="0" applyNumberFormat="1" applyBorder="1"/>
    <xf numFmtId="0" fontId="9" fillId="0" borderId="13" xfId="0" applyFont="1" applyBorder="1" applyAlignment="1">
      <alignment horizontal="center" wrapText="1"/>
    </xf>
    <xf numFmtId="0" fontId="0" fillId="0" borderId="36" xfId="0" applyBorder="1" applyAlignment="1">
      <alignment horizontal="center" vertical="center"/>
    </xf>
    <xf numFmtId="0" fontId="8" fillId="0" borderId="13" xfId="0" applyFont="1" applyBorder="1"/>
    <xf numFmtId="44" fontId="0" fillId="0" borderId="17" xfId="1" applyFont="1" applyFill="1" applyBorder="1" applyAlignment="1">
      <alignment horizontal="left" vertical="center"/>
    </xf>
    <xf numFmtId="0" fontId="6" fillId="0" borderId="13" xfId="0" applyFont="1" applyBorder="1" applyAlignment="1">
      <alignment horizontal="center"/>
    </xf>
    <xf numFmtId="164" fontId="0" fillId="0" borderId="17" xfId="0" applyNumberFormat="1" applyBorder="1" applyAlignment="1">
      <alignment horizontal="right"/>
    </xf>
    <xf numFmtId="0" fontId="6" fillId="5" borderId="37" xfId="0" applyFont="1" applyFill="1" applyBorder="1"/>
    <xf numFmtId="0" fontId="6" fillId="0" borderId="17" xfId="0" applyFont="1" applyBorder="1"/>
    <xf numFmtId="0" fontId="0" fillId="0" borderId="37" xfId="0" applyBorder="1"/>
    <xf numFmtId="164" fontId="0" fillId="0" borderId="17" xfId="0" applyNumberFormat="1" applyBorder="1"/>
    <xf numFmtId="0" fontId="0" fillId="0" borderId="38" xfId="0" applyBorder="1"/>
    <xf numFmtId="0" fontId="0" fillId="2" borderId="39" xfId="0" applyFill="1" applyBorder="1"/>
    <xf numFmtId="0" fontId="0" fillId="5" borderId="37" xfId="0" applyFill="1" applyBorder="1"/>
    <xf numFmtId="0" fontId="0" fillId="5" borderId="36" xfId="0" applyFill="1" applyBorder="1"/>
    <xf numFmtId="164" fontId="0" fillId="0" borderId="36" xfId="0" applyNumberFormat="1" applyBorder="1"/>
    <xf numFmtId="0" fontId="0" fillId="6" borderId="37" xfId="0" applyFill="1" applyBorder="1"/>
    <xf numFmtId="0" fontId="6" fillId="0" borderId="5" xfId="0" applyFont="1" applyBorder="1" applyAlignment="1">
      <alignment horizontal="right"/>
    </xf>
    <xf numFmtId="44" fontId="0" fillId="0" borderId="40" xfId="1" applyFont="1" applyBorder="1" applyAlignment="1">
      <alignment horizontal="left"/>
    </xf>
    <xf numFmtId="164" fontId="0" fillId="0" borderId="40" xfId="0" applyNumberFormat="1" applyBorder="1" applyAlignment="1">
      <alignment horizontal="right"/>
    </xf>
    <xf numFmtId="164" fontId="0" fillId="0" borderId="41" xfId="0" applyNumberFormat="1" applyBorder="1" applyAlignment="1">
      <alignment horizontal="right"/>
    </xf>
    <xf numFmtId="0" fontId="0" fillId="0" borderId="40" xfId="0" applyBorder="1"/>
    <xf numFmtId="0" fontId="32" fillId="8" borderId="13" xfId="0" applyFont="1" applyFill="1" applyBorder="1"/>
    <xf numFmtId="0" fontId="10" fillId="8" borderId="8" xfId="0" applyFont="1" applyFill="1" applyBorder="1" applyAlignment="1">
      <alignment horizontal="right"/>
    </xf>
    <xf numFmtId="0" fontId="11" fillId="8" borderId="16" xfId="0" applyFont="1" applyFill="1" applyBorder="1"/>
    <xf numFmtId="0" fontId="35" fillId="8" borderId="13" xfId="0" applyFont="1" applyFill="1" applyBorder="1"/>
    <xf numFmtId="0" fontId="11" fillId="8" borderId="17" xfId="0" applyFont="1" applyFill="1" applyBorder="1"/>
    <xf numFmtId="0" fontId="36" fillId="8" borderId="13" xfId="0" applyFont="1" applyFill="1" applyBorder="1"/>
    <xf numFmtId="0" fontId="11" fillId="8" borderId="13" xfId="0" applyFont="1" applyFill="1" applyBorder="1"/>
    <xf numFmtId="0" fontId="11" fillId="8" borderId="17" xfId="0" applyFont="1" applyFill="1" applyBorder="1" applyAlignment="1">
      <alignment horizontal="center"/>
    </xf>
    <xf numFmtId="0" fontId="11" fillId="8" borderId="14" xfId="0" applyFont="1" applyFill="1" applyBorder="1"/>
    <xf numFmtId="0" fontId="10" fillId="8" borderId="13" xfId="0" applyFont="1" applyFill="1" applyBorder="1" applyAlignment="1">
      <alignment horizontal="right"/>
    </xf>
    <xf numFmtId="164" fontId="0" fillId="0" borderId="1" xfId="1" applyNumberFormat="1" applyFont="1" applyBorder="1"/>
    <xf numFmtId="166" fontId="0" fillId="15" borderId="9" xfId="1" applyNumberFormat="1" applyFont="1" applyFill="1" applyBorder="1"/>
    <xf numFmtId="8" fontId="0" fillId="14" borderId="1" xfId="1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8" fontId="0" fillId="14" borderId="1" xfId="0" applyNumberFormat="1" applyFill="1" applyBorder="1" applyAlignment="1">
      <alignment horizontal="right" vertical="center"/>
    </xf>
    <xf numFmtId="44" fontId="41" fillId="15" borderId="10" xfId="1" applyFont="1" applyFill="1" applyBorder="1"/>
    <xf numFmtId="164" fontId="42" fillId="14" borderId="10" xfId="0" applyNumberFormat="1" applyFont="1" applyFill="1" applyBorder="1"/>
    <xf numFmtId="44" fontId="40" fillId="15" borderId="10" xfId="1" applyFont="1" applyFill="1" applyBorder="1"/>
    <xf numFmtId="164" fontId="39" fillId="14" borderId="10" xfId="0" applyNumberFormat="1" applyFont="1" applyFill="1" applyBorder="1" applyAlignment="1">
      <alignment horizontal="right"/>
    </xf>
    <xf numFmtId="0" fontId="8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3" xfId="0" applyFont="1" applyBorder="1" applyAlignment="1">
      <alignment horizontal="left"/>
    </xf>
    <xf numFmtId="0" fontId="0" fillId="0" borderId="34" xfId="0" applyBorder="1" applyAlignment="1">
      <alignment horizontal="left"/>
    </xf>
    <xf numFmtId="0" fontId="6" fillId="0" borderId="34" xfId="0" applyFont="1" applyBorder="1" applyAlignment="1">
      <alignment horizontal="left"/>
    </xf>
    <xf numFmtId="0" fontId="6" fillId="0" borderId="35" xfId="0" applyFont="1" applyBorder="1" applyAlignment="1">
      <alignment horizontal="left"/>
    </xf>
    <xf numFmtId="0" fontId="43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0" fontId="44" fillId="18" borderId="1" xfId="0" applyFont="1" applyFill="1" applyBorder="1" applyAlignment="1">
      <alignment horizontal="center" vertical="center" wrapText="1"/>
    </xf>
    <xf numFmtId="8" fontId="43" fillId="14" borderId="1" xfId="0" applyNumberFormat="1" applyFont="1" applyFill="1" applyBorder="1" applyAlignment="1">
      <alignment horizontal="right" vertical="center" wrapText="1"/>
    </xf>
    <xf numFmtId="0" fontId="0" fillId="32" borderId="1" xfId="0" applyFill="1" applyBorder="1" applyAlignment="1">
      <alignment horizontal="center" vertical="center"/>
    </xf>
    <xf numFmtId="164" fontId="0" fillId="0" borderId="23" xfId="0" applyNumberFormat="1" applyBorder="1"/>
    <xf numFmtId="164" fontId="0" fillId="0" borderId="4" xfId="0" applyNumberFormat="1" applyBorder="1"/>
    <xf numFmtId="44" fontId="0" fillId="5" borderId="1" xfId="1" applyFont="1" applyFill="1" applyBorder="1"/>
    <xf numFmtId="0" fontId="0" fillId="6" borderId="32" xfId="0" applyFill="1" applyBorder="1"/>
    <xf numFmtId="0" fontId="0" fillId="6" borderId="32" xfId="0" applyFill="1" applyBorder="1" applyAlignment="1">
      <alignment horizontal="right"/>
    </xf>
    <xf numFmtId="164" fontId="0" fillId="14" borderId="20" xfId="0" applyNumberFormat="1" applyFill="1" applyBorder="1"/>
    <xf numFmtId="0" fontId="0" fillId="6" borderId="11" xfId="0" applyFill="1" applyBorder="1" applyAlignment="1">
      <alignment horizontal="left"/>
    </xf>
    <xf numFmtId="0" fontId="0" fillId="6" borderId="12" xfId="0" applyFill="1" applyBorder="1" applyAlignment="1">
      <alignment horizontal="left"/>
    </xf>
    <xf numFmtId="0" fontId="0" fillId="6" borderId="20" xfId="0" applyFill="1" applyBorder="1" applyAlignment="1">
      <alignment horizontal="left"/>
    </xf>
    <xf numFmtId="0" fontId="34" fillId="8" borderId="7" xfId="0" applyFont="1" applyFill="1" applyBorder="1" applyAlignment="1">
      <alignment horizontal="center" vertical="center"/>
    </xf>
    <xf numFmtId="0" fontId="37" fillId="8" borderId="7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8" fontId="0" fillId="15" borderId="1" xfId="1" applyNumberFormat="1" applyFont="1" applyFill="1" applyBorder="1"/>
    <xf numFmtId="0" fontId="0" fillId="0" borderId="12" xfId="0" applyBorder="1" applyAlignment="1">
      <alignment horizontal="right"/>
    </xf>
    <xf numFmtId="0" fontId="0" fillId="6" borderId="20" xfId="0" applyFill="1" applyBorder="1" applyAlignment="1">
      <alignment horizontal="right"/>
    </xf>
    <xf numFmtId="0" fontId="0" fillId="0" borderId="20" xfId="0" applyBorder="1"/>
    <xf numFmtId="8" fontId="0" fillId="14" borderId="9" xfId="0" applyNumberFormat="1" applyFill="1" applyBorder="1"/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164" fontId="0" fillId="14" borderId="10" xfId="0" applyNumberFormat="1" applyFill="1" applyBorder="1"/>
    <xf numFmtId="0" fontId="6" fillId="0" borderId="10" xfId="0" applyFont="1" applyBorder="1" applyAlignment="1">
      <alignment horizontal="center" vertical="center"/>
    </xf>
    <xf numFmtId="164" fontId="0" fillId="14" borderId="21" xfId="0" applyNumberFormat="1" applyFill="1" applyBorder="1"/>
    <xf numFmtId="0" fontId="45" fillId="0" borderId="10" xfId="0" applyFont="1" applyBorder="1" applyAlignment="1">
      <alignment horizontal="center" vertical="center"/>
    </xf>
    <xf numFmtId="0" fontId="6" fillId="0" borderId="13" xfId="0" applyFont="1" applyBorder="1" applyAlignment="1">
      <alignment horizontal="left" vertical="center"/>
    </xf>
    <xf numFmtId="0" fontId="8" fillId="0" borderId="0" xfId="0" applyFont="1"/>
    <xf numFmtId="0" fontId="9" fillId="0" borderId="0" xfId="0" applyFont="1"/>
    <xf numFmtId="164" fontId="0" fillId="0" borderId="0" xfId="0" applyNumberFormat="1" applyAlignment="1">
      <alignment horizontal="right"/>
    </xf>
    <xf numFmtId="2" fontId="0" fillId="0" borderId="0" xfId="0" applyNumberFormat="1"/>
    <xf numFmtId="164" fontId="0" fillId="0" borderId="43" xfId="0" applyNumberFormat="1" applyBorder="1"/>
    <xf numFmtId="164" fontId="0" fillId="0" borderId="44" xfId="0" applyNumberFormat="1" applyBorder="1"/>
    <xf numFmtId="44" fontId="0" fillId="0" borderId="17" xfId="1" applyFont="1" applyBorder="1"/>
    <xf numFmtId="44" fontId="0" fillId="5" borderId="36" xfId="1" applyFont="1" applyFill="1" applyBorder="1"/>
    <xf numFmtId="44" fontId="0" fillId="0" borderId="36" xfId="1" applyFont="1" applyBorder="1"/>
    <xf numFmtId="0" fontId="0" fillId="6" borderId="21" xfId="0" applyFill="1" applyBorder="1" applyAlignment="1">
      <alignment horizontal="right"/>
    </xf>
    <xf numFmtId="164" fontId="0" fillId="17" borderId="42" xfId="0" applyNumberFormat="1" applyFill="1" applyBorder="1"/>
    <xf numFmtId="0" fontId="6" fillId="14" borderId="7" xfId="0" applyFont="1" applyFill="1" applyBorder="1"/>
    <xf numFmtId="0" fontId="0" fillId="14" borderId="8" xfId="0" applyFill="1" applyBorder="1"/>
    <xf numFmtId="0" fontId="46" fillId="3" borderId="0" xfId="0" applyFont="1" applyFill="1" applyAlignment="1">
      <alignment vertical="center"/>
    </xf>
    <xf numFmtId="0" fontId="9" fillId="10" borderId="0" xfId="0" applyFont="1" applyFill="1" applyAlignment="1">
      <alignment horizontal="center"/>
    </xf>
    <xf numFmtId="44" fontId="0" fillId="0" borderId="0" xfId="1" applyFont="1" applyAlignment="1">
      <alignment horizontal="center"/>
    </xf>
    <xf numFmtId="44" fontId="0" fillId="0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5" fillId="29" borderId="10" xfId="0" applyFont="1" applyFill="1" applyBorder="1" applyAlignment="1">
      <alignment horizontal="center"/>
    </xf>
    <xf numFmtId="0" fontId="31" fillId="29" borderId="10" xfId="0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/>
    </xf>
    <xf numFmtId="0" fontId="9" fillId="19" borderId="0" xfId="0" applyFont="1" applyFill="1" applyAlignment="1">
      <alignment vertical="center"/>
    </xf>
    <xf numFmtId="0" fontId="16" fillId="28" borderId="0" xfId="0" applyFont="1" applyFill="1" applyAlignment="1">
      <alignment vertical="center"/>
    </xf>
    <xf numFmtId="44" fontId="6" fillId="0" borderId="1" xfId="1" applyFont="1" applyFill="1" applyBorder="1" applyAlignment="1">
      <alignment horizontal="center"/>
    </xf>
    <xf numFmtId="0" fontId="46" fillId="0" borderId="0" xfId="0" applyFont="1"/>
    <xf numFmtId="44" fontId="0" fillId="14" borderId="0" xfId="1" applyFont="1" applyFill="1" applyBorder="1"/>
    <xf numFmtId="44" fontId="0" fillId="15" borderId="0" xfId="1" applyFont="1" applyFill="1"/>
    <xf numFmtId="0" fontId="9" fillId="0" borderId="0" xfId="0" applyFont="1" applyAlignment="1">
      <alignment vertical="center"/>
    </xf>
    <xf numFmtId="0" fontId="6" fillId="0" borderId="7" xfId="0" applyFont="1" applyBorder="1" applyAlignment="1">
      <alignment horizontal="center"/>
    </xf>
    <xf numFmtId="0" fontId="16" fillId="0" borderId="0" xfId="0" applyFont="1" applyAlignment="1">
      <alignment vertical="center"/>
    </xf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left"/>
    </xf>
    <xf numFmtId="44" fontId="3" fillId="0" borderId="0" xfId="1" applyFont="1" applyFill="1" applyBorder="1" applyAlignment="1">
      <alignment horizontal="right"/>
    </xf>
    <xf numFmtId="0" fontId="48" fillId="0" borderId="0" xfId="0" applyFont="1" applyAlignment="1">
      <alignment horizontal="left"/>
    </xf>
    <xf numFmtId="44" fontId="3" fillId="0" borderId="0" xfId="1" applyFont="1" applyFill="1" applyBorder="1"/>
    <xf numFmtId="44" fontId="3" fillId="0" borderId="0" xfId="1" applyFont="1" applyFill="1" applyBorder="1" applyAlignment="1">
      <alignment horizontal="center"/>
    </xf>
    <xf numFmtId="2" fontId="0" fillId="0" borderId="23" xfId="0" applyNumberFormat="1" applyBorder="1"/>
    <xf numFmtId="44" fontId="0" fillId="15" borderId="0" xfId="0" applyNumberFormat="1" applyFill="1"/>
    <xf numFmtId="44" fontId="0" fillId="15" borderId="32" xfId="0" applyNumberFormat="1" applyFill="1" applyBorder="1"/>
    <xf numFmtId="0" fontId="0" fillId="22" borderId="22" xfId="0" applyFill="1" applyBorder="1"/>
    <xf numFmtId="0" fontId="0" fillId="0" borderId="22" xfId="0" applyBorder="1" applyAlignment="1">
      <alignment horizontal="center"/>
    </xf>
    <xf numFmtId="44" fontId="0" fillId="15" borderId="22" xfId="1" applyFont="1" applyFill="1" applyBorder="1"/>
    <xf numFmtId="44" fontId="0" fillId="14" borderId="22" xfId="1" applyFont="1" applyFill="1" applyBorder="1"/>
    <xf numFmtId="0" fontId="0" fillId="0" borderId="46" xfId="0" applyBorder="1" applyAlignment="1">
      <alignment horizontal="center"/>
    </xf>
    <xf numFmtId="0" fontId="0" fillId="22" borderId="46" xfId="0" applyFill="1" applyBorder="1"/>
    <xf numFmtId="44" fontId="0" fillId="15" borderId="46" xfId="1" applyFont="1" applyFill="1" applyBorder="1"/>
    <xf numFmtId="44" fontId="0" fillId="14" borderId="46" xfId="1" applyFont="1" applyFill="1" applyBorder="1"/>
    <xf numFmtId="44" fontId="0" fillId="14" borderId="46" xfId="0" applyNumberFormat="1" applyFill="1" applyBorder="1"/>
    <xf numFmtId="44" fontId="0" fillId="15" borderId="22" xfId="0" applyNumberFormat="1" applyFill="1" applyBorder="1"/>
    <xf numFmtId="44" fontId="0" fillId="15" borderId="46" xfId="0" applyNumberFormat="1" applyFill="1" applyBorder="1"/>
    <xf numFmtId="0" fontId="0" fillId="22" borderId="34" xfId="0" applyFill="1" applyBorder="1"/>
    <xf numFmtId="44" fontId="0" fillId="15" borderId="40" xfId="0" applyNumberFormat="1" applyFill="1" applyBorder="1"/>
    <xf numFmtId="44" fontId="1" fillId="15" borderId="22" xfId="1" applyFont="1" applyFill="1" applyBorder="1"/>
    <xf numFmtId="0" fontId="0" fillId="22" borderId="47" xfId="0" applyFill="1" applyBorder="1"/>
    <xf numFmtId="44" fontId="0" fillId="15" borderId="41" xfId="0" applyNumberFormat="1" applyFill="1" applyBorder="1"/>
    <xf numFmtId="44" fontId="1" fillId="15" borderId="46" xfId="1" applyFont="1" applyFill="1" applyBorder="1"/>
    <xf numFmtId="0" fontId="15" fillId="0" borderId="11" xfId="0" applyFont="1" applyBorder="1" applyAlignment="1">
      <alignment horizontal="center"/>
    </xf>
    <xf numFmtId="0" fontId="0" fillId="22" borderId="0" xfId="0" applyFill="1"/>
    <xf numFmtId="44" fontId="0" fillId="14" borderId="0" xfId="1" applyFont="1" applyFill="1"/>
    <xf numFmtId="0" fontId="0" fillId="22" borderId="48" xfId="0" applyFill="1" applyBorder="1"/>
    <xf numFmtId="44" fontId="0" fillId="15" borderId="48" xfId="1" applyFont="1" applyFill="1" applyBorder="1"/>
    <xf numFmtId="44" fontId="0" fillId="15" borderId="48" xfId="0" applyNumberFormat="1" applyFill="1" applyBorder="1"/>
    <xf numFmtId="44" fontId="0" fillId="14" borderId="48" xfId="1" applyFont="1" applyFill="1" applyBorder="1"/>
    <xf numFmtId="44" fontId="0" fillId="14" borderId="48" xfId="0" applyNumberFormat="1" applyFill="1" applyBorder="1"/>
    <xf numFmtId="0" fontId="0" fillId="22" borderId="32" xfId="0" applyFill="1" applyBorder="1"/>
    <xf numFmtId="0" fontId="6" fillId="0" borderId="12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8" fontId="3" fillId="28" borderId="1" xfId="0" applyNumberFormat="1" applyFont="1" applyFill="1" applyBorder="1"/>
    <xf numFmtId="0" fontId="3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1" xfId="0" applyFont="1" applyFill="1" applyBorder="1"/>
    <xf numFmtId="44" fontId="0" fillId="15" borderId="40" xfId="1" applyFont="1" applyFill="1" applyBorder="1"/>
    <xf numFmtId="44" fontId="0" fillId="15" borderId="41" xfId="1" applyFont="1" applyFill="1" applyBorder="1"/>
    <xf numFmtId="44" fontId="0" fillId="14" borderId="32" xfId="1" applyFont="1" applyFill="1" applyBorder="1"/>
    <xf numFmtId="44" fontId="0" fillId="15" borderId="32" xfId="1" applyFont="1" applyFill="1" applyBorder="1"/>
    <xf numFmtId="44" fontId="0" fillId="0" borderId="10" xfId="0" applyNumberFormat="1" applyBorder="1"/>
    <xf numFmtId="168" fontId="6" fillId="0" borderId="10" xfId="0" applyNumberFormat="1" applyFont="1" applyBorder="1"/>
    <xf numFmtId="0" fontId="6" fillId="6" borderId="0" xfId="0" applyFont="1" applyFill="1"/>
    <xf numFmtId="168" fontId="6" fillId="0" borderId="0" xfId="0" applyNumberFormat="1" applyFont="1"/>
    <xf numFmtId="168" fontId="0" fillId="0" borderId="0" xfId="0" applyNumberFormat="1" applyAlignment="1">
      <alignment horizontal="center"/>
    </xf>
    <xf numFmtId="168" fontId="0" fillId="0" borderId="0" xfId="0" applyNumberFormat="1"/>
    <xf numFmtId="0" fontId="16" fillId="0" borderId="0" xfId="0" applyFont="1" applyAlignment="1">
      <alignment horizontal="center" vertical="center"/>
    </xf>
    <xf numFmtId="0" fontId="39" fillId="0" borderId="0" xfId="0" applyFont="1"/>
    <xf numFmtId="0" fontId="6" fillId="8" borderId="0" xfId="0" applyFont="1" applyFill="1" applyAlignment="1">
      <alignment horizontal="right"/>
    </xf>
    <xf numFmtId="0" fontId="0" fillId="8" borderId="0" xfId="0" applyFill="1"/>
    <xf numFmtId="0" fontId="0" fillId="8" borderId="0" xfId="0" applyFill="1" applyAlignment="1">
      <alignment horizontal="center"/>
    </xf>
    <xf numFmtId="0" fontId="10" fillId="8" borderId="0" xfId="0" applyFont="1" applyFill="1" applyAlignment="1">
      <alignment horizontal="right"/>
    </xf>
    <xf numFmtId="0" fontId="11" fillId="8" borderId="0" xfId="0" applyFont="1" applyFill="1"/>
    <xf numFmtId="0" fontId="11" fillId="8" borderId="0" xfId="0" applyFont="1" applyFill="1" applyAlignment="1">
      <alignment horizontal="center"/>
    </xf>
    <xf numFmtId="0" fontId="0" fillId="33" borderId="0" xfId="0" applyFill="1"/>
    <xf numFmtId="0" fontId="0" fillId="22" borderId="22" xfId="0" applyFill="1" applyBorder="1" applyProtection="1">
      <protection locked="0"/>
    </xf>
    <xf numFmtId="0" fontId="0" fillId="22" borderId="46" xfId="0" applyFill="1" applyBorder="1" applyProtection="1">
      <protection locked="0"/>
    </xf>
    <xf numFmtId="0" fontId="0" fillId="22" borderId="34" xfId="0" applyFill="1" applyBorder="1" applyProtection="1">
      <protection locked="0"/>
    </xf>
    <xf numFmtId="0" fontId="0" fillId="22" borderId="47" xfId="0" applyFill="1" applyBorder="1" applyProtection="1">
      <protection locked="0"/>
    </xf>
    <xf numFmtId="0" fontId="0" fillId="22" borderId="0" xfId="0" applyFill="1" applyProtection="1">
      <protection locked="0"/>
    </xf>
    <xf numFmtId="0" fontId="0" fillId="22" borderId="48" xfId="0" applyFill="1" applyBorder="1" applyProtection="1">
      <protection locked="0"/>
    </xf>
    <xf numFmtId="0" fontId="0" fillId="22" borderId="32" xfId="0" applyFill="1" applyBorder="1" applyProtection="1">
      <protection locked="0"/>
    </xf>
    <xf numFmtId="0" fontId="0" fillId="10" borderId="10" xfId="0" applyFill="1" applyBorder="1" applyAlignment="1" applyProtection="1">
      <alignment horizontal="left"/>
      <protection locked="0"/>
    </xf>
    <xf numFmtId="0" fontId="0" fillId="10" borderId="33" xfId="0" applyFill="1" applyBorder="1" applyAlignment="1" applyProtection="1">
      <alignment horizontal="left"/>
      <protection locked="0"/>
    </xf>
    <xf numFmtId="0" fontId="0" fillId="20" borderId="1" xfId="0" applyFill="1" applyBorder="1" applyProtection="1">
      <protection locked="0"/>
    </xf>
    <xf numFmtId="0" fontId="0" fillId="10" borderId="15" xfId="0" applyFill="1" applyBorder="1" applyAlignment="1" applyProtection="1">
      <alignment horizontal="center"/>
      <protection locked="0"/>
    </xf>
    <xf numFmtId="0" fontId="0" fillId="10" borderId="18" xfId="0" applyFill="1" applyBorder="1" applyAlignment="1" applyProtection="1">
      <alignment horizontal="center"/>
      <protection locked="0"/>
    </xf>
    <xf numFmtId="0" fontId="0" fillId="10" borderId="1" xfId="0" applyFill="1" applyBorder="1" applyAlignment="1" applyProtection="1">
      <alignment horizontal="center"/>
      <protection locked="0"/>
    </xf>
    <xf numFmtId="0" fontId="0" fillId="10" borderId="1" xfId="0" applyFill="1" applyBorder="1" applyProtection="1">
      <protection locked="0"/>
    </xf>
    <xf numFmtId="0" fontId="11" fillId="10" borderId="33" xfId="0" applyFont="1" applyFill="1" applyBorder="1" applyAlignment="1" applyProtection="1">
      <alignment horizontal="left"/>
      <protection locked="0"/>
    </xf>
    <xf numFmtId="0" fontId="11" fillId="20" borderId="1" xfId="0" applyFont="1" applyFill="1" applyBorder="1" applyAlignment="1" applyProtection="1">
      <alignment horizontal="left"/>
      <protection locked="0"/>
    </xf>
    <xf numFmtId="0" fontId="11" fillId="20" borderId="1" xfId="0" applyFont="1" applyFill="1" applyBorder="1" applyProtection="1">
      <protection locked="0"/>
    </xf>
    <xf numFmtId="0" fontId="11" fillId="8" borderId="0" xfId="0" applyFont="1" applyFill="1" applyProtection="1">
      <protection locked="0"/>
    </xf>
    <xf numFmtId="0" fontId="11" fillId="10" borderId="15" xfId="0" applyFont="1" applyFill="1" applyBorder="1" applyAlignment="1" applyProtection="1">
      <alignment horizontal="center"/>
      <protection locked="0"/>
    </xf>
    <xf numFmtId="0" fontId="11" fillId="10" borderId="18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0" borderId="1" xfId="0" applyFill="1" applyBorder="1" applyAlignment="1" applyProtection="1">
      <alignment horizontal="left"/>
      <protection locked="0"/>
    </xf>
    <xf numFmtId="44" fontId="11" fillId="10" borderId="9" xfId="1" applyFont="1" applyFill="1" applyBorder="1" applyAlignment="1" applyProtection="1">
      <alignment horizontal="center" vertical="center"/>
      <protection locked="0"/>
    </xf>
    <xf numFmtId="44" fontId="0" fillId="10" borderId="9" xfId="0" applyNumberFormat="1" applyFill="1" applyBorder="1" applyAlignment="1" applyProtection="1">
      <alignment horizontal="center" vertical="center"/>
      <protection locked="0"/>
    </xf>
    <xf numFmtId="44" fontId="11" fillId="10" borderId="1" xfId="1" applyFont="1" applyFill="1" applyBorder="1" applyAlignment="1" applyProtection="1">
      <alignment horizontal="center" vertical="center"/>
      <protection locked="0"/>
    </xf>
    <xf numFmtId="44" fontId="0" fillId="10" borderId="1" xfId="0" applyNumberFormat="1" applyFill="1" applyBorder="1" applyAlignment="1" applyProtection="1">
      <alignment horizontal="center" vertical="center"/>
      <protection locked="0"/>
    </xf>
    <xf numFmtId="44" fontId="1" fillId="10" borderId="1" xfId="1" applyFont="1" applyFill="1" applyBorder="1" applyAlignment="1" applyProtection="1">
      <alignment horizontal="center" vertical="center"/>
      <protection locked="0"/>
    </xf>
    <xf numFmtId="44" fontId="11" fillId="10" borderId="1" xfId="0" applyNumberFormat="1" applyFont="1" applyFill="1" applyBorder="1" applyAlignment="1" applyProtection="1">
      <alignment horizontal="center" vertical="center"/>
      <protection locked="0"/>
    </xf>
    <xf numFmtId="0" fontId="11" fillId="10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4" fontId="0" fillId="0" borderId="1" xfId="1" applyFont="1" applyBorder="1" applyAlignment="1" applyProtection="1">
      <alignment horizontal="center" vertical="center"/>
      <protection locked="0"/>
    </xf>
    <xf numFmtId="44" fontId="0" fillId="10" borderId="0" xfId="1" applyFont="1" applyFill="1" applyProtection="1"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168" fontId="0" fillId="34" borderId="0" xfId="0" applyNumberFormat="1" applyFill="1" applyAlignment="1">
      <alignment horizontal="center"/>
    </xf>
    <xf numFmtId="168" fontId="0" fillId="34" borderId="0" xfId="0" applyNumberFormat="1" applyFill="1"/>
    <xf numFmtId="168" fontId="0" fillId="35" borderId="0" xfId="0" applyNumberFormat="1" applyFill="1"/>
    <xf numFmtId="0" fontId="49" fillId="0" borderId="0" xfId="0" applyFont="1"/>
    <xf numFmtId="9" fontId="49" fillId="10" borderId="0" xfId="2" applyFont="1" applyFill="1"/>
    <xf numFmtId="10" fontId="36" fillId="10" borderId="0" xfId="2" applyNumberFormat="1" applyFont="1" applyFill="1"/>
    <xf numFmtId="0" fontId="50" fillId="33" borderId="0" xfId="0" applyFont="1" applyFill="1"/>
    <xf numFmtId="0" fontId="6" fillId="33" borderId="0" xfId="0" applyFont="1" applyFill="1"/>
    <xf numFmtId="0" fontId="0" fillId="36" borderId="1" xfId="0" applyFill="1" applyBorder="1"/>
    <xf numFmtId="14" fontId="0" fillId="36" borderId="1" xfId="0" applyNumberFormat="1" applyFill="1" applyBorder="1"/>
    <xf numFmtId="0" fontId="51" fillId="37" borderId="0" xfId="0" applyFont="1" applyFill="1" applyAlignment="1">
      <alignment horizontal="left" vertical="center"/>
    </xf>
    <xf numFmtId="0" fontId="51" fillId="37" borderId="0" xfId="0" applyFont="1" applyFill="1" applyAlignment="1">
      <alignment horizontal="center" vertical="center"/>
    </xf>
    <xf numFmtId="0" fontId="0" fillId="36" borderId="1" xfId="0" applyFill="1" applyBorder="1" applyAlignment="1">
      <alignment horizontal="center"/>
    </xf>
    <xf numFmtId="168" fontId="0" fillId="36" borderId="1" xfId="0" applyNumberFormat="1" applyFill="1" applyBorder="1"/>
    <xf numFmtId="0" fontId="6" fillId="33" borderId="0" xfId="0" applyFont="1" applyFill="1" applyAlignment="1">
      <alignment horizontal="right"/>
    </xf>
    <xf numFmtId="168" fontId="6" fillId="34" borderId="1" xfId="0" applyNumberFormat="1" applyFont="1" applyFill="1" applyBorder="1"/>
    <xf numFmtId="0" fontId="0" fillId="7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22" borderId="32" xfId="0" applyFill="1" applyBorder="1" applyAlignment="1" applyProtection="1">
      <alignment horizontal="left"/>
      <protection locked="0"/>
    </xf>
    <xf numFmtId="0" fontId="0" fillId="22" borderId="12" xfId="0" applyFill="1" applyBorder="1" applyAlignment="1" applyProtection="1">
      <alignment horizontal="left"/>
      <protection locked="0"/>
    </xf>
    <xf numFmtId="16" fontId="0" fillId="22" borderId="12" xfId="0" applyNumberFormat="1" applyFill="1" applyBorder="1" applyAlignment="1" applyProtection="1">
      <alignment horizontal="left"/>
      <protection locked="0"/>
    </xf>
    <xf numFmtId="0" fontId="6" fillId="6" borderId="11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6" fillId="6" borderId="20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2" borderId="32" xfId="0" applyFill="1" applyBorder="1" applyAlignment="1">
      <alignment horizontal="left"/>
    </xf>
    <xf numFmtId="0" fontId="0" fillId="22" borderId="12" xfId="0" applyFill="1" applyBorder="1" applyAlignment="1">
      <alignment horizontal="left"/>
    </xf>
    <xf numFmtId="16" fontId="0" fillId="22" borderId="12" xfId="0" applyNumberFormat="1" applyFill="1" applyBorder="1" applyAlignment="1">
      <alignment horizontal="left"/>
    </xf>
    <xf numFmtId="0" fontId="6" fillId="0" borderId="7" xfId="0" applyFont="1" applyBorder="1" applyAlignment="1">
      <alignment horizontal="center" wrapText="1"/>
    </xf>
    <xf numFmtId="0" fontId="6" fillId="0" borderId="13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0" fillId="20" borderId="1" xfId="0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9" fillId="8" borderId="16" xfId="0" applyFont="1" applyFill="1" applyBorder="1" applyAlignment="1">
      <alignment horizontal="center" vertical="center" wrapText="1"/>
    </xf>
    <xf numFmtId="0" fontId="39" fillId="8" borderId="17" xfId="0" applyFont="1" applyFill="1" applyBorder="1" applyAlignment="1">
      <alignment horizontal="center" vertical="center" wrapText="1"/>
    </xf>
    <xf numFmtId="0" fontId="39" fillId="8" borderId="16" xfId="0" applyFont="1" applyFill="1" applyBorder="1" applyAlignment="1">
      <alignment horizontal="center" wrapText="1"/>
    </xf>
    <xf numFmtId="0" fontId="39" fillId="8" borderId="17" xfId="0" applyFont="1" applyFill="1" applyBorder="1" applyAlignment="1">
      <alignment horizontal="center" wrapText="1"/>
    </xf>
    <xf numFmtId="0" fontId="0" fillId="10" borderId="1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  <protection locked="0"/>
    </xf>
    <xf numFmtId="0" fontId="0" fillId="10" borderId="5" xfId="0" applyFill="1" applyBorder="1" applyAlignment="1" applyProtection="1">
      <alignment horizontal="center"/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15" fillId="0" borderId="11" xfId="0" applyFont="1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0" fillId="20" borderId="3" xfId="0" applyFill="1" applyBorder="1" applyAlignment="1" applyProtection="1">
      <alignment horizontal="center"/>
      <protection locked="0"/>
    </xf>
    <xf numFmtId="0" fontId="0" fillId="20" borderId="5" xfId="0" applyFill="1" applyBorder="1" applyAlignment="1" applyProtection="1">
      <alignment horizontal="center"/>
      <protection locked="0"/>
    </xf>
    <xf numFmtId="0" fontId="0" fillId="20" borderId="2" xfId="0" applyFill="1" applyBorder="1" applyAlignment="1" applyProtection="1">
      <alignment horizontal="center"/>
      <protection locked="0"/>
    </xf>
    <xf numFmtId="0" fontId="0" fillId="6" borderId="11" xfId="0" applyFill="1" applyBorder="1" applyAlignment="1">
      <alignment horizontal="left"/>
    </xf>
    <xf numFmtId="0" fontId="0" fillId="6" borderId="12" xfId="0" applyFill="1" applyBorder="1" applyAlignment="1">
      <alignment horizontal="left"/>
    </xf>
    <xf numFmtId="0" fontId="0" fillId="6" borderId="20" xfId="0" applyFill="1" applyBorder="1" applyAlignment="1">
      <alignment horizontal="left"/>
    </xf>
    <xf numFmtId="0" fontId="7" fillId="14" borderId="7" xfId="0" applyFont="1" applyFill="1" applyBorder="1" applyAlignment="1">
      <alignment horizontal="center" vertical="center"/>
    </xf>
    <xf numFmtId="0" fontId="7" fillId="14" borderId="8" xfId="0" applyFont="1" applyFill="1" applyBorder="1" applyAlignment="1">
      <alignment horizontal="center" vertical="center"/>
    </xf>
    <xf numFmtId="0" fontId="7" fillId="14" borderId="16" xfId="0" applyFont="1" applyFill="1" applyBorder="1" applyAlignment="1">
      <alignment horizontal="center" vertical="center"/>
    </xf>
    <xf numFmtId="0" fontId="7" fillId="15" borderId="13" xfId="0" applyFont="1" applyFill="1" applyBorder="1" applyAlignment="1">
      <alignment horizontal="center" vertical="center"/>
    </xf>
    <xf numFmtId="0" fontId="7" fillId="15" borderId="0" xfId="0" applyFont="1" applyFill="1" applyAlignment="1">
      <alignment horizontal="center" vertical="center"/>
    </xf>
    <xf numFmtId="0" fontId="7" fillId="15" borderId="17" xfId="0" applyFont="1" applyFill="1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46" fillId="3" borderId="0" xfId="0" applyFont="1" applyFill="1" applyAlignment="1">
      <alignment horizontal="center"/>
    </xf>
    <xf numFmtId="0" fontId="47" fillId="3" borderId="0" xfId="0" applyFont="1" applyFill="1" applyAlignment="1">
      <alignment horizontal="center"/>
    </xf>
    <xf numFmtId="0" fontId="9" fillId="10" borderId="45" xfId="0" applyFont="1" applyFill="1" applyBorder="1" applyAlignment="1">
      <alignment horizontal="center" vertical="center" wrapText="1"/>
    </xf>
    <xf numFmtId="0" fontId="9" fillId="10" borderId="4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46" fillId="3" borderId="0" xfId="0" applyFont="1" applyFill="1" applyAlignment="1">
      <alignment horizontal="center" vertical="center"/>
    </xf>
    <xf numFmtId="0" fontId="16" fillId="30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3" fillId="32" borderId="11" xfId="0" applyFont="1" applyFill="1" applyBorder="1" applyAlignment="1">
      <alignment horizontal="center"/>
    </xf>
    <xf numFmtId="0" fontId="3" fillId="32" borderId="20" xfId="0" applyFont="1" applyFill="1" applyBorder="1" applyAlignment="1">
      <alignment horizontal="center"/>
    </xf>
    <xf numFmtId="0" fontId="3" fillId="18" borderId="11" xfId="0" applyFont="1" applyFill="1" applyBorder="1" applyAlignment="1">
      <alignment horizontal="center"/>
    </xf>
    <xf numFmtId="0" fontId="3" fillId="18" borderId="20" xfId="0" applyFont="1" applyFill="1" applyBorder="1" applyAlignment="1">
      <alignment horizontal="center"/>
    </xf>
    <xf numFmtId="0" fontId="6" fillId="11" borderId="0" xfId="0" applyFont="1" applyFill="1" applyAlignment="1">
      <alignment horizontal="center"/>
    </xf>
    <xf numFmtId="0" fontId="6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2" fillId="31" borderId="0" xfId="0" applyFont="1" applyFill="1" applyAlignment="1">
      <alignment horizontal="center"/>
    </xf>
    <xf numFmtId="0" fontId="6" fillId="31" borderId="0" xfId="0" applyFont="1" applyFill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5" fillId="24" borderId="25" xfId="0" applyFont="1" applyFill="1" applyBorder="1" applyAlignment="1">
      <alignment horizontal="center" vertical="center"/>
    </xf>
    <xf numFmtId="0" fontId="25" fillId="24" borderId="26" xfId="0" applyFont="1" applyFill="1" applyBorder="1" applyAlignment="1">
      <alignment horizontal="center" vertical="center"/>
    </xf>
    <xf numFmtId="0" fontId="25" fillId="24" borderId="27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0" borderId="1" xfId="0" applyBorder="1" applyAlignment="1">
      <alignment horizontal="center"/>
    </xf>
  </cellXfs>
  <cellStyles count="3">
    <cellStyle name="Moeda" xfId="1" builtinId="4"/>
    <cellStyle name="Normal" xfId="0" builtinId="0"/>
    <cellStyle name="Percentagem" xfId="2" builtinId="5"/>
  </cellStyles>
  <dxfs count="0"/>
  <tableStyles count="0" defaultTableStyle="TableStyleMedium9" defaultPivotStyle="PivotStyleLight16"/>
  <colors>
    <mruColors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0.png"/><Relationship Id="rId2" Type="http://schemas.openxmlformats.org/officeDocument/2006/relationships/customXml" Target="../ink/ink1.xml"/><Relationship Id="rId1" Type="http://schemas.openxmlformats.org/officeDocument/2006/relationships/image" Target="../media/image16.png"/><Relationship Id="rId4" Type="http://schemas.openxmlformats.org/officeDocument/2006/relationships/customXml" Target="../ink/ink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561975</xdr:colOff>
      <xdr:row>4</xdr:row>
      <xdr:rowOff>127000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9FEDF8C-B2C0-F4B6-1D12-8B89E04C877D}"/>
            </a:ext>
          </a:extLst>
        </xdr:cNvPr>
        <xdr:cNvSpPr/>
      </xdr:nvSpPr>
      <xdr:spPr>
        <a:xfrm>
          <a:off x="0" y="0"/>
          <a:ext cx="18240375" cy="889000"/>
        </a:xfrm>
        <a:prstGeom prst="rect">
          <a:avLst/>
        </a:prstGeom>
        <a:solidFill>
          <a:srgbClr val="21252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800" b="1">
              <a:solidFill>
                <a:srgbClr val="FFFFFF"/>
              </a:solidFill>
              <a:latin typeface="Segoe UI" panose="020B0502040204020203" pitchFamily="34" charset="0"/>
            </a:rPr>
            <a:t>SILWOOD  |  GUIA DE UTILIZAÇÃO</a:t>
          </a:r>
        </a:p>
      </xdr:txBody>
    </xdr:sp>
    <xdr:clientData/>
  </xdr:twoCellAnchor>
  <xdr:twoCellAnchor>
    <xdr:from>
      <xdr:col>1</xdr:col>
      <xdr:colOff>25399</xdr:colOff>
      <xdr:row>6</xdr:row>
      <xdr:rowOff>127000</xdr:rowOff>
    </xdr:from>
    <xdr:to>
      <xdr:col>28</xdr:col>
      <xdr:colOff>314324</xdr:colOff>
      <xdr:row>11</xdr:row>
      <xdr:rowOff>127000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CFA5EA1-3678-7B56-245C-147B9D247F38}"/>
            </a:ext>
          </a:extLst>
        </xdr:cNvPr>
        <xdr:cNvSpPr/>
      </xdr:nvSpPr>
      <xdr:spPr>
        <a:xfrm>
          <a:off x="634999" y="1270000"/>
          <a:ext cx="16748125" cy="952500"/>
        </a:xfrm>
        <a:prstGeom prst="round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prstClr val="black">
              <a:alpha val="15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17500" tIns="190500" rtlCol="0" anchor="t"/>
        <a:lstStyle/>
        <a:p>
          <a:pPr algn="ctr"/>
          <a:r>
            <a:rPr lang="pt-PT" sz="1300" b="1">
              <a:solidFill>
                <a:srgbClr val="996600"/>
              </a:solidFill>
              <a:latin typeface="Segoe UI" panose="020B0502040204020203" pitchFamily="34" charset="0"/>
            </a:rPr>
            <a:t>1. Preencher Dados do Cliente</a:t>
          </a:r>
        </a:p>
        <a:p>
          <a:pPr algn="ctr"/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Vá à aba principal 'Orçamento_Final' e preencha os campos NOME, MORADA e DATA no topo.</a:t>
          </a:r>
        </a:p>
      </xdr:txBody>
    </xdr:sp>
    <xdr:clientData/>
  </xdr:twoCellAnchor>
  <xdr:twoCellAnchor>
    <xdr:from>
      <xdr:col>1</xdr:col>
      <xdr:colOff>25400</xdr:colOff>
      <xdr:row>13</xdr:row>
      <xdr:rowOff>0</xdr:rowOff>
    </xdr:from>
    <xdr:to>
      <xdr:col>28</xdr:col>
      <xdr:colOff>342900</xdr:colOff>
      <xdr:row>18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B7A8883-EB2B-B89C-2B77-44FA7A12DEDA}"/>
            </a:ext>
          </a:extLst>
        </xdr:cNvPr>
        <xdr:cNvSpPr/>
      </xdr:nvSpPr>
      <xdr:spPr>
        <a:xfrm>
          <a:off x="635000" y="2476500"/>
          <a:ext cx="16776700" cy="952500"/>
        </a:xfrm>
        <a:prstGeom prst="round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prstClr val="black">
              <a:alpha val="15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17500" tIns="190500" rtlCol="0" anchor="t"/>
        <a:lstStyle/>
        <a:p>
          <a:pPr algn="ctr"/>
          <a:r>
            <a:rPr lang="pt-PT" sz="1300" b="1">
              <a:solidFill>
                <a:srgbClr val="996600"/>
              </a:solidFill>
              <a:latin typeface="Segoe UI" panose="020B0502040204020203" pitchFamily="34" charset="0"/>
            </a:rPr>
            <a:t>2. Adicionar Móveis (Cozinhas / Roupeiros)</a:t>
          </a:r>
        </a:p>
        <a:p>
          <a:pPr algn="ctr"/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Vá à aba "Orçamento_Cozinhas"</a:t>
          </a:r>
          <a:r>
            <a:rPr lang="pt-PT" sz="1100" baseline="0">
              <a:solidFill>
                <a:srgbClr val="646464"/>
              </a:solidFill>
              <a:latin typeface="Segoe UI" panose="020B0502040204020203" pitchFamily="34" charset="0"/>
            </a:rPr>
            <a:t> e altere apenas o que está a AMARELO (d</a:t>
          </a:r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efina os materiais,</a:t>
          </a:r>
          <a:r>
            <a:rPr lang="pt-PT" sz="1100" baseline="0">
              <a:solidFill>
                <a:srgbClr val="646464"/>
              </a:solidFill>
              <a:latin typeface="Segoe UI" panose="020B0502040204020203" pitchFamily="34" charset="0"/>
            </a:rPr>
            <a:t> quantidades, orlas,... e</a:t>
          </a:r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 os preços calculam-se sozinhos). Clique no botão PRETO ao lado para adicionar</a:t>
          </a:r>
          <a:r>
            <a:rPr lang="pt-PT" sz="1100" baseline="0">
              <a:solidFill>
                <a:srgbClr val="646464"/>
              </a:solidFill>
              <a:latin typeface="Segoe UI" panose="020B0502040204020203" pitchFamily="34" charset="0"/>
            </a:rPr>
            <a:t> o móvel na aba principal!</a:t>
          </a:r>
          <a:endParaRPr lang="pt-PT" sz="1100">
            <a:solidFill>
              <a:srgbClr val="646464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25399</xdr:colOff>
      <xdr:row>19</xdr:row>
      <xdr:rowOff>63500</xdr:rowOff>
    </xdr:from>
    <xdr:to>
      <xdr:col>28</xdr:col>
      <xdr:colOff>333374</xdr:colOff>
      <xdr:row>24</xdr:row>
      <xdr:rowOff>63500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450F3E4-F2F0-9851-B323-BE026A11137B}"/>
            </a:ext>
          </a:extLst>
        </xdr:cNvPr>
        <xdr:cNvSpPr/>
      </xdr:nvSpPr>
      <xdr:spPr>
        <a:xfrm>
          <a:off x="634999" y="3683000"/>
          <a:ext cx="16767175" cy="952500"/>
        </a:xfrm>
        <a:prstGeom prst="round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prstClr val="black">
              <a:alpha val="15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17500" tIns="190500" rtlCol="0" anchor="t"/>
        <a:lstStyle/>
        <a:p>
          <a:pPr algn="ctr"/>
          <a:r>
            <a:rPr lang="pt-PT" sz="1300" b="1">
              <a:solidFill>
                <a:srgbClr val="996600"/>
              </a:solidFill>
              <a:latin typeface="Segoe UI" panose="020B0502040204020203" pitchFamily="34" charset="0"/>
            </a:rPr>
            <a:t>3. Adicionar Extras e Acessórios</a:t>
          </a:r>
        </a:p>
        <a:p>
          <a:pPr algn="ctr"/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Desça até à barra preta dos Extras</a:t>
          </a:r>
          <a:r>
            <a:rPr lang="pt-PT" sz="1100" baseline="0">
              <a:solidFill>
                <a:srgbClr val="646464"/>
              </a:solidFill>
              <a:latin typeface="Segoe UI" panose="020B0502040204020203" pitchFamily="34" charset="0"/>
            </a:rPr>
            <a:t> na aba principal</a:t>
          </a:r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. Escolha o preduto e a quantidade</a:t>
          </a:r>
          <a:r>
            <a:rPr lang="pt-PT" sz="1100" baseline="0">
              <a:solidFill>
                <a:srgbClr val="646464"/>
              </a:solidFill>
              <a:latin typeface="Segoe UI" panose="020B0502040204020203" pitchFamily="34" charset="0"/>
            </a:rPr>
            <a:t> (alterar apenas o que se encontra a CINZENTO).</a:t>
          </a:r>
          <a:endParaRPr lang="pt-PT" sz="1100">
            <a:solidFill>
              <a:srgbClr val="646464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25400</xdr:colOff>
      <xdr:row>25</xdr:row>
      <xdr:rowOff>127000</xdr:rowOff>
    </xdr:from>
    <xdr:to>
      <xdr:col>28</xdr:col>
      <xdr:colOff>342900</xdr:colOff>
      <xdr:row>30</xdr:row>
      <xdr:rowOff>127000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75C21C7-0277-39E3-A8AD-FBD9C1885FE4}"/>
            </a:ext>
          </a:extLst>
        </xdr:cNvPr>
        <xdr:cNvSpPr/>
      </xdr:nvSpPr>
      <xdr:spPr>
        <a:xfrm>
          <a:off x="635000" y="4889500"/>
          <a:ext cx="16776700" cy="952500"/>
        </a:xfrm>
        <a:prstGeom prst="round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prstClr val="black">
              <a:alpha val="15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17500" tIns="190500" rtlCol="0" anchor="t"/>
        <a:lstStyle/>
        <a:p>
          <a:pPr algn="ctr"/>
          <a:r>
            <a:rPr lang="pt-PT" sz="1300" b="1">
              <a:solidFill>
                <a:srgbClr val="996600"/>
              </a:solidFill>
              <a:latin typeface="Segoe UI" panose="020B0502040204020203" pitchFamily="34" charset="0"/>
            </a:rPr>
            <a:t>4. Calcular e Analisar Margens</a:t>
          </a:r>
        </a:p>
        <a:p>
          <a:pPr algn="ctr"/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Clique no botão PRETO</a:t>
          </a:r>
          <a:r>
            <a:rPr lang="pt-PT" sz="1100" baseline="0">
              <a:solidFill>
                <a:srgbClr val="646464"/>
              </a:solidFill>
              <a:latin typeface="Segoe UI" panose="020B0502040204020203" pitchFamily="34" charset="0"/>
            </a:rPr>
            <a:t> "Calcular Orçamento"</a:t>
          </a:r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 sempre que alterar algo. Use o botão 'Ver</a:t>
          </a:r>
          <a:r>
            <a:rPr lang="pt-PT" sz="1100" baseline="0">
              <a:solidFill>
                <a:srgbClr val="646464"/>
              </a:solidFill>
              <a:latin typeface="Segoe UI" panose="020B0502040204020203" pitchFamily="34" charset="0"/>
            </a:rPr>
            <a:t> Custos</a:t>
          </a:r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' para abrir o pop-up com o seu custo, lucro e margem limpa.</a:t>
          </a:r>
        </a:p>
      </xdr:txBody>
    </xdr:sp>
    <xdr:clientData/>
  </xdr:twoCellAnchor>
  <xdr:twoCellAnchor>
    <xdr:from>
      <xdr:col>1</xdr:col>
      <xdr:colOff>25399</xdr:colOff>
      <xdr:row>32</xdr:row>
      <xdr:rowOff>0</xdr:rowOff>
    </xdr:from>
    <xdr:to>
      <xdr:col>28</xdr:col>
      <xdr:colOff>352424</xdr:colOff>
      <xdr:row>37</xdr:row>
      <xdr:rowOff>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09858A3-DCDA-C933-86EA-A7073E027C53}"/>
            </a:ext>
          </a:extLst>
        </xdr:cNvPr>
        <xdr:cNvSpPr/>
      </xdr:nvSpPr>
      <xdr:spPr>
        <a:xfrm>
          <a:off x="634999" y="6096000"/>
          <a:ext cx="16786225" cy="952500"/>
        </a:xfrm>
        <a:prstGeom prst="round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prstClr val="black">
              <a:alpha val="15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17500" tIns="190500" rtlCol="0" anchor="t"/>
        <a:lstStyle/>
        <a:p>
          <a:pPr algn="ctr"/>
          <a:r>
            <a:rPr lang="pt-PT" sz="1300" b="1">
              <a:solidFill>
                <a:srgbClr val="996600"/>
              </a:solidFill>
              <a:latin typeface="Segoe UI" panose="020B0502040204020203" pitchFamily="34" charset="0"/>
            </a:rPr>
            <a:t>5. Entregar ao Cliente (Gerar PDF)</a:t>
          </a:r>
        </a:p>
        <a:p>
          <a:pPr algn="ctr"/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Quando tudo estiver fechado, clique no botão AMARELO 'Gerar</a:t>
          </a:r>
          <a:r>
            <a:rPr lang="pt-PT" sz="1100" baseline="0">
              <a:solidFill>
                <a:srgbClr val="646464"/>
              </a:solidFill>
              <a:latin typeface="Segoe UI" panose="020B0502040204020203" pitchFamily="34" charset="0"/>
            </a:rPr>
            <a:t> Pdf</a:t>
          </a:r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'. O sistema criará um documento limpo, escondendo os custos internos do cliente.</a:t>
          </a:r>
        </a:p>
      </xdr:txBody>
    </xdr:sp>
    <xdr:clientData/>
  </xdr:twoCellAnchor>
  <xdr:twoCellAnchor>
    <xdr:from>
      <xdr:col>1</xdr:col>
      <xdr:colOff>25399</xdr:colOff>
      <xdr:row>38</xdr:row>
      <xdr:rowOff>63500</xdr:rowOff>
    </xdr:from>
    <xdr:to>
      <xdr:col>28</xdr:col>
      <xdr:colOff>371474</xdr:colOff>
      <xdr:row>43</xdr:row>
      <xdr:rowOff>63500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D340F8C-A2B8-F788-747F-8A220B45E34F}"/>
            </a:ext>
          </a:extLst>
        </xdr:cNvPr>
        <xdr:cNvSpPr/>
      </xdr:nvSpPr>
      <xdr:spPr>
        <a:xfrm>
          <a:off x="634999" y="7302500"/>
          <a:ext cx="16805275" cy="952500"/>
        </a:xfrm>
        <a:prstGeom prst="round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prstClr val="black">
              <a:alpha val="15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17500" tIns="190500" rtlCol="0" anchor="t"/>
        <a:lstStyle/>
        <a:p>
          <a:pPr algn="ctr"/>
          <a:r>
            <a:rPr lang="pt-PT" sz="1300" b="1">
              <a:solidFill>
                <a:srgbClr val="996600"/>
              </a:solidFill>
              <a:latin typeface="Segoe UI" panose="020B0502040204020203" pitchFamily="34" charset="0"/>
            </a:rPr>
            <a:t>6. Iniciar um Novo Orçamento</a:t>
          </a:r>
        </a:p>
        <a:p>
          <a:pPr algn="ctr"/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Clique no botão VERMELHO 'Novo Orçamento'. O sistema esvaziará o cliente atual, tal como todos os armarios e extras inseridos.</a:t>
          </a:r>
        </a:p>
      </xdr:txBody>
    </xdr:sp>
    <xdr:clientData/>
  </xdr:twoCellAnchor>
  <xdr:twoCellAnchor>
    <xdr:from>
      <xdr:col>1</xdr:col>
      <xdr:colOff>25400</xdr:colOff>
      <xdr:row>44</xdr:row>
      <xdr:rowOff>127000</xdr:rowOff>
    </xdr:from>
    <xdr:to>
      <xdr:col>28</xdr:col>
      <xdr:colOff>400050</xdr:colOff>
      <xdr:row>49</xdr:row>
      <xdr:rowOff>127000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74A15FF6-8BA0-CBF4-77A5-C7DCEE712A85}"/>
            </a:ext>
          </a:extLst>
        </xdr:cNvPr>
        <xdr:cNvSpPr/>
      </xdr:nvSpPr>
      <xdr:spPr>
        <a:xfrm>
          <a:off x="635000" y="8509000"/>
          <a:ext cx="16833850" cy="952500"/>
        </a:xfrm>
        <a:prstGeom prst="roundRect">
          <a:avLst/>
        </a:prstGeom>
        <a:solidFill>
          <a:srgbClr val="FFF5F5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prstClr val="black">
              <a:alpha val="15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17500" tIns="190500" rtlCol="0" anchor="t"/>
        <a:lstStyle/>
        <a:p>
          <a:pPr algn="ctr"/>
          <a:r>
            <a:rPr lang="pt-PT" sz="1300" b="1">
              <a:solidFill>
                <a:srgbClr val="D83B01"/>
              </a:solidFill>
              <a:latin typeface="Segoe UI" panose="020B0502040204020203" pitchFamily="34" charset="0"/>
            </a:rPr>
            <a:t>ZONA DE ADMINISTRAÇÃO: Atualizar Tabelas de Preços</a:t>
          </a:r>
        </a:p>
        <a:p>
          <a:pPr algn="ctr"/>
          <a:r>
            <a:rPr lang="pt-PT" sz="1100">
              <a:solidFill>
                <a:srgbClr val="646464"/>
              </a:solidFill>
              <a:latin typeface="Segoe UI" panose="020B0502040204020203" pitchFamily="34" charset="0"/>
            </a:rPr>
            <a:t>Se os fornecedores alterarem preços, vá às abas CINZENTAS e atualize os valores de custo. O sistema assumirá os novos valores automaticamente.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2857500</xdr:colOff>
      <xdr:row>2</xdr:row>
      <xdr:rowOff>57150</xdr:rowOff>
    </xdr:from>
    <xdr:to>
      <xdr:col>2</xdr:col>
      <xdr:colOff>1</xdr:colOff>
      <xdr:row>11</xdr:row>
      <xdr:rowOff>90019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A9FFA32-154D-4A85-B785-59C9D906C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0" y="438150"/>
          <a:ext cx="1743076" cy="1794994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66</xdr:row>
      <xdr:rowOff>0</xdr:rowOff>
    </xdr:from>
    <xdr:to>
      <xdr:col>4</xdr:col>
      <xdr:colOff>9525</xdr:colOff>
      <xdr:row>68</xdr:row>
      <xdr:rowOff>95250</xdr:rowOff>
    </xdr:to>
    <xdr:sp macro="[0]!Calcular_Totais" textlink="">
      <xdr:nvSpPr>
        <xdr:cNvPr id="4" name="Retângulo 3">
          <a:extLst>
            <a:ext uri="{FF2B5EF4-FFF2-40B4-BE49-F238E27FC236}">
              <a16:creationId xmlns:a16="http://schemas.microsoft.com/office/drawing/2014/main" id="{2EC97E9E-F945-B394-0583-E3325EF6107B}"/>
            </a:ext>
          </a:extLst>
        </xdr:cNvPr>
        <xdr:cNvSpPr/>
      </xdr:nvSpPr>
      <xdr:spPr>
        <a:xfrm>
          <a:off x="10467975" y="13935075"/>
          <a:ext cx="1952625" cy="47625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/>
            <a:t>CALCULAR</a:t>
          </a:r>
          <a:br>
            <a:rPr lang="pt-PT" sz="1200" b="1"/>
          </a:br>
          <a:r>
            <a:rPr lang="pt-PT" sz="1200" b="1"/>
            <a:t>ORÇAMENTO</a:t>
          </a:r>
        </a:p>
      </xdr:txBody>
    </xdr:sp>
    <xdr:clientData/>
  </xdr:twoCellAnchor>
  <xdr:twoCellAnchor>
    <xdr:from>
      <xdr:col>6</xdr:col>
      <xdr:colOff>1190625</xdr:colOff>
      <xdr:row>68</xdr:row>
      <xdr:rowOff>180975</xdr:rowOff>
    </xdr:from>
    <xdr:to>
      <xdr:col>8</xdr:col>
      <xdr:colOff>0</xdr:colOff>
      <xdr:row>70</xdr:row>
      <xdr:rowOff>123825</xdr:rowOff>
    </xdr:to>
    <xdr:sp macro="[0]!Novo_Orcamento" textlink="">
      <xdr:nvSpPr>
        <xdr:cNvPr id="5" name="Retângulo 4">
          <a:extLst>
            <a:ext uri="{FF2B5EF4-FFF2-40B4-BE49-F238E27FC236}">
              <a16:creationId xmlns:a16="http://schemas.microsoft.com/office/drawing/2014/main" id="{863B42E3-6BEB-1B0F-24D8-2245CDEB75DA}"/>
            </a:ext>
          </a:extLst>
        </xdr:cNvPr>
        <xdr:cNvSpPr/>
      </xdr:nvSpPr>
      <xdr:spPr>
        <a:xfrm>
          <a:off x="17897475" y="14497050"/>
          <a:ext cx="1514475" cy="32385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 b="1"/>
            <a:t>NOVO</a:t>
          </a:r>
          <a:r>
            <a:rPr lang="pt-PT" sz="1100" b="1" baseline="0"/>
            <a:t> ORÇAMENTO</a:t>
          </a:r>
          <a:endParaRPr lang="pt-PT" sz="1100" b="1"/>
        </a:p>
      </xdr:txBody>
    </xdr:sp>
    <xdr:clientData/>
  </xdr:twoCellAnchor>
  <xdr:twoCellAnchor>
    <xdr:from>
      <xdr:col>1</xdr:col>
      <xdr:colOff>0</xdr:colOff>
      <xdr:row>71</xdr:row>
      <xdr:rowOff>95250</xdr:rowOff>
    </xdr:from>
    <xdr:to>
      <xdr:col>2</xdr:col>
      <xdr:colOff>0</xdr:colOff>
      <xdr:row>72</xdr:row>
      <xdr:rowOff>104775</xdr:rowOff>
    </xdr:to>
    <xdr:sp macro="[0]!Ver_Custos" textlink="">
      <xdr:nvSpPr>
        <xdr:cNvPr id="6" name="Retângulo 5">
          <a:extLst>
            <a:ext uri="{FF2B5EF4-FFF2-40B4-BE49-F238E27FC236}">
              <a16:creationId xmlns:a16="http://schemas.microsoft.com/office/drawing/2014/main" id="{EF4D44B6-48B3-B9FC-5A81-A09EF04A2FD3}"/>
            </a:ext>
          </a:extLst>
        </xdr:cNvPr>
        <xdr:cNvSpPr/>
      </xdr:nvSpPr>
      <xdr:spPr>
        <a:xfrm>
          <a:off x="2886075" y="13601700"/>
          <a:ext cx="1714500" cy="2000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 b="1">
              <a:solidFill>
                <a:schemeClr val="tx1"/>
              </a:solidFill>
            </a:rPr>
            <a:t>VER CUSTOS</a:t>
          </a:r>
        </a:p>
      </xdr:txBody>
    </xdr:sp>
    <xdr:clientData/>
  </xdr:twoCellAnchor>
  <xdr:twoCellAnchor>
    <xdr:from>
      <xdr:col>3</xdr:col>
      <xdr:colOff>0</xdr:colOff>
      <xdr:row>69</xdr:row>
      <xdr:rowOff>180975</xdr:rowOff>
    </xdr:from>
    <xdr:to>
      <xdr:col>4</xdr:col>
      <xdr:colOff>0</xdr:colOff>
      <xdr:row>71</xdr:row>
      <xdr:rowOff>0</xdr:rowOff>
    </xdr:to>
    <xdr:sp macro="[0]!Gerar_PDF_Cliente" textlink="">
      <xdr:nvSpPr>
        <xdr:cNvPr id="7" name="Retângulo 6">
          <a:extLst>
            <a:ext uri="{FF2B5EF4-FFF2-40B4-BE49-F238E27FC236}">
              <a16:creationId xmlns:a16="http://schemas.microsoft.com/office/drawing/2014/main" id="{A08F02A2-4853-A835-956B-187CF213647C}"/>
            </a:ext>
          </a:extLst>
        </xdr:cNvPr>
        <xdr:cNvSpPr/>
      </xdr:nvSpPr>
      <xdr:spPr>
        <a:xfrm>
          <a:off x="10467975" y="13877925"/>
          <a:ext cx="1943100" cy="2000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 b="1">
              <a:solidFill>
                <a:schemeClr val="tx1"/>
              </a:solidFill>
            </a:rPr>
            <a:t>GERAR</a:t>
          </a:r>
          <a:r>
            <a:rPr lang="pt-PT" sz="1100">
              <a:solidFill>
                <a:schemeClr val="tx1"/>
              </a:solidFill>
            </a:rPr>
            <a:t> </a:t>
          </a:r>
          <a:r>
            <a:rPr lang="pt-PT" sz="1100" b="1">
              <a:solidFill>
                <a:schemeClr val="tx1"/>
              </a:solidFill>
            </a:rPr>
            <a:t>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2857500</xdr:colOff>
      <xdr:row>2</xdr:row>
      <xdr:rowOff>57150</xdr:rowOff>
    </xdr:from>
    <xdr:to>
      <xdr:col>2</xdr:col>
      <xdr:colOff>1</xdr:colOff>
      <xdr:row>11</xdr:row>
      <xdr:rowOff>90019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4737E7D-5EE3-491A-8549-A268A3CB1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00" y="438150"/>
          <a:ext cx="1743076" cy="17949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600075</xdr:colOff>
      <xdr:row>0</xdr:row>
      <xdr:rowOff>85725</xdr:rowOff>
    </xdr:from>
    <xdr:to>
      <xdr:col>2</xdr:col>
      <xdr:colOff>1628775</xdr:colOff>
      <xdr:row>3</xdr:row>
      <xdr:rowOff>107089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1692334-86A3-48AB-989D-D991FBA34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85725"/>
          <a:ext cx="2981325" cy="604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357188</xdr:colOff>
      <xdr:row>51</xdr:row>
      <xdr:rowOff>154781</xdr:rowOff>
    </xdr:from>
    <xdr:to>
      <xdr:col>10</xdr:col>
      <xdr:colOff>11906</xdr:colOff>
      <xdr:row>55</xdr:row>
      <xdr:rowOff>130967</xdr:rowOff>
    </xdr:to>
    <xdr:sp macro="[0]!Guardar_Movel" textlink="">
      <xdr:nvSpPr>
        <xdr:cNvPr id="3" name="Retângulo 2">
          <a:extLst>
            <a:ext uri="{FF2B5EF4-FFF2-40B4-BE49-F238E27FC236}">
              <a16:creationId xmlns:a16="http://schemas.microsoft.com/office/drawing/2014/main" id="{FFB40F8C-9C03-D6EE-42F2-6A0DC149B95A}"/>
            </a:ext>
          </a:extLst>
        </xdr:cNvPr>
        <xdr:cNvSpPr/>
      </xdr:nvSpPr>
      <xdr:spPr>
        <a:xfrm>
          <a:off x="15275719" y="10287000"/>
          <a:ext cx="1476375" cy="773905"/>
        </a:xfrm>
        <a:prstGeom prst="rect">
          <a:avLst/>
        </a:prstGeom>
        <a:solidFill>
          <a:schemeClr val="tx1"/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/>
            <a:t>GUARDAR MÓVEL</a:t>
          </a:r>
        </a:p>
      </xdr:txBody>
    </xdr:sp>
    <xdr:clientData/>
  </xdr:twoCellAnchor>
  <xdr:twoCellAnchor>
    <xdr:from>
      <xdr:col>7</xdr:col>
      <xdr:colOff>595313</xdr:colOff>
      <xdr:row>108</xdr:row>
      <xdr:rowOff>178594</xdr:rowOff>
    </xdr:from>
    <xdr:to>
      <xdr:col>10</xdr:col>
      <xdr:colOff>452437</xdr:colOff>
      <xdr:row>111</xdr:row>
      <xdr:rowOff>178594</xdr:rowOff>
    </xdr:to>
    <xdr:sp macro="[0]!Guardar_Movel_Superior" textlink="">
      <xdr:nvSpPr>
        <xdr:cNvPr id="4" name="Retângulo 3">
          <a:extLst>
            <a:ext uri="{FF2B5EF4-FFF2-40B4-BE49-F238E27FC236}">
              <a16:creationId xmlns:a16="http://schemas.microsoft.com/office/drawing/2014/main" id="{61A3CE1F-B9CB-E4B9-BE55-A0A4AEBCDB19}"/>
            </a:ext>
          </a:extLst>
        </xdr:cNvPr>
        <xdr:cNvSpPr/>
      </xdr:nvSpPr>
      <xdr:spPr>
        <a:xfrm>
          <a:off x="15513844" y="21717000"/>
          <a:ext cx="1678781" cy="607219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PT" sz="1600" b="1"/>
            <a:t>GUARDAR</a:t>
          </a:r>
          <a:r>
            <a:rPr lang="pt-PT" sz="1600" b="1" baseline="0"/>
            <a:t> MÓVEL SUPERIOR </a:t>
          </a:r>
          <a:endParaRPr lang="pt-PT" sz="1600" b="1"/>
        </a:p>
      </xdr:txBody>
    </xdr:sp>
    <xdr:clientData/>
  </xdr:twoCellAnchor>
  <xdr:twoCellAnchor>
    <xdr:from>
      <xdr:col>8</xdr:col>
      <xdr:colOff>261937</xdr:colOff>
      <xdr:row>164</xdr:row>
      <xdr:rowOff>35719</xdr:rowOff>
    </xdr:from>
    <xdr:to>
      <xdr:col>10</xdr:col>
      <xdr:colOff>952499</xdr:colOff>
      <xdr:row>167</xdr:row>
      <xdr:rowOff>67236</xdr:rowOff>
    </xdr:to>
    <xdr:sp macro="[0]!Guardar_Movel_Coluna" textlink="">
      <xdr:nvSpPr>
        <xdr:cNvPr id="5" name="Retângulo 4">
          <a:extLst>
            <a:ext uri="{FF2B5EF4-FFF2-40B4-BE49-F238E27FC236}">
              <a16:creationId xmlns:a16="http://schemas.microsoft.com/office/drawing/2014/main" id="{164EB827-3271-55DD-DFF5-E0AFB83BB493}"/>
            </a:ext>
          </a:extLst>
        </xdr:cNvPr>
        <xdr:cNvSpPr/>
      </xdr:nvSpPr>
      <xdr:spPr>
        <a:xfrm>
          <a:off x="15782084" y="33014631"/>
          <a:ext cx="1900797" cy="636634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PT" sz="1600" b="1"/>
            <a:t>GUARDAR</a:t>
          </a:r>
          <a:r>
            <a:rPr lang="pt-PT" sz="1600" b="1" baseline="0"/>
            <a:t> MÓVEL COLUNA</a:t>
          </a:r>
          <a:endParaRPr lang="pt-PT" sz="16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84667</xdr:colOff>
      <xdr:row>2</xdr:row>
      <xdr:rowOff>148166</xdr:rowOff>
    </xdr:from>
    <xdr:to>
      <xdr:col>21</xdr:col>
      <xdr:colOff>307641</xdr:colOff>
      <xdr:row>10</xdr:row>
      <xdr:rowOff>123090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55D320E-982D-818C-80C7-14B77DA70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0750" y="677333"/>
          <a:ext cx="12774808" cy="23244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595715</xdr:colOff>
      <xdr:row>3</xdr:row>
      <xdr:rowOff>0</xdr:rowOff>
    </xdr:from>
    <xdr:to>
      <xdr:col>21</xdr:col>
      <xdr:colOff>443507</xdr:colOff>
      <xdr:row>16</xdr:row>
      <xdr:rowOff>186822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95F693B-B763-9482-EFB3-040C930A8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52715" y="8335988"/>
          <a:ext cx="4070541" cy="2659240"/>
        </a:xfrm>
        <a:prstGeom prst="rect">
          <a:avLst/>
        </a:prstGeom>
      </xdr:spPr>
    </xdr:pic>
    <xdr:clientData/>
  </xdr:twoCellAnchor>
  <xdr:twoCellAnchor editAs="oneCell">
    <xdr:from>
      <xdr:col>13</xdr:col>
      <xdr:colOff>106925</xdr:colOff>
      <xdr:row>23</xdr:row>
      <xdr:rowOff>176894</xdr:rowOff>
    </xdr:from>
    <xdr:to>
      <xdr:col>19</xdr:col>
      <xdr:colOff>157814</xdr:colOff>
      <xdr:row>36</xdr:row>
      <xdr:rowOff>97343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A763679-C99E-09FE-B534-95F929B4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288068" y="4762501"/>
          <a:ext cx="4949459" cy="2396949"/>
        </a:xfrm>
        <a:prstGeom prst="rect">
          <a:avLst/>
        </a:prstGeom>
      </xdr:spPr>
    </xdr:pic>
    <xdr:clientData/>
  </xdr:twoCellAnchor>
  <xdr:twoCellAnchor editAs="oneCell">
    <xdr:from>
      <xdr:col>12</xdr:col>
      <xdr:colOff>40485</xdr:colOff>
      <xdr:row>3</xdr:row>
      <xdr:rowOff>0</xdr:rowOff>
    </xdr:from>
    <xdr:to>
      <xdr:col>13</xdr:col>
      <xdr:colOff>722014</xdr:colOff>
      <xdr:row>19</xdr:row>
      <xdr:rowOff>136928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AE7AF38-CD69-3342-F5C6-895BAD4A7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31818" y="968554"/>
          <a:ext cx="4766696" cy="3180846"/>
        </a:xfrm>
        <a:prstGeom prst="rect">
          <a:avLst/>
        </a:prstGeom>
      </xdr:spPr>
    </xdr:pic>
    <xdr:clientData/>
  </xdr:twoCellAnchor>
  <xdr:twoCellAnchor editAs="oneCell">
    <xdr:from>
      <xdr:col>14</xdr:col>
      <xdr:colOff>175950</xdr:colOff>
      <xdr:row>3</xdr:row>
      <xdr:rowOff>0</xdr:rowOff>
    </xdr:from>
    <xdr:to>
      <xdr:col>21</xdr:col>
      <xdr:colOff>28509</xdr:colOff>
      <xdr:row>17</xdr:row>
      <xdr:rowOff>30403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24593E4-ACBE-BA3F-52F3-8A3FCDB9D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428065" y="12007432"/>
          <a:ext cx="4102174" cy="2668095"/>
        </a:xfrm>
        <a:prstGeom prst="rect">
          <a:avLst/>
        </a:prstGeom>
      </xdr:spPr>
    </xdr:pic>
    <xdr:clientData/>
  </xdr:twoCellAnchor>
  <xdr:twoCellAnchor editAs="oneCell">
    <xdr:from>
      <xdr:col>14</xdr:col>
      <xdr:colOff>234631</xdr:colOff>
      <xdr:row>3</xdr:row>
      <xdr:rowOff>0</xdr:rowOff>
    </xdr:from>
    <xdr:to>
      <xdr:col>21</xdr:col>
      <xdr:colOff>208114</xdr:colOff>
      <xdr:row>8</xdr:row>
      <xdr:rowOff>46339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198FFBB-FFCB-85A8-3506-273A2858ED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60990"/>
        <a:stretch>
          <a:fillRect/>
        </a:stretch>
      </xdr:blipFill>
      <xdr:spPr>
        <a:xfrm>
          <a:off x="24486746" y="14802396"/>
          <a:ext cx="4223098" cy="988372"/>
        </a:xfrm>
        <a:prstGeom prst="rect">
          <a:avLst/>
        </a:prstGeom>
      </xdr:spPr>
    </xdr:pic>
    <xdr:clientData/>
  </xdr:twoCellAnchor>
  <xdr:twoCellAnchor editAs="oneCell">
    <xdr:from>
      <xdr:col>11</xdr:col>
      <xdr:colOff>512560</xdr:colOff>
      <xdr:row>3</xdr:row>
      <xdr:rowOff>0</xdr:rowOff>
    </xdr:from>
    <xdr:to>
      <xdr:col>12</xdr:col>
      <xdr:colOff>3860181</xdr:colOff>
      <xdr:row>22</xdr:row>
      <xdr:rowOff>127999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166539A-44BF-6273-CA90-4865982BF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834703" y="11824460"/>
          <a:ext cx="3952547" cy="37600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310515</xdr:colOff>
      <xdr:row>29</xdr:row>
      <xdr:rowOff>47624</xdr:rowOff>
    </xdr:from>
    <xdr:to>
      <xdr:col>1</xdr:col>
      <xdr:colOff>2218896</xdr:colOff>
      <xdr:row>42</xdr:row>
      <xdr:rowOff>19049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5856FB7-7B70-6DFB-04F6-BF9587B95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0515" y="7477124"/>
          <a:ext cx="4640998" cy="2447925"/>
        </a:xfrm>
        <a:prstGeom prst="rect">
          <a:avLst/>
        </a:prstGeom>
      </xdr:spPr>
    </xdr:pic>
    <xdr:clientData/>
  </xdr:twoCellAnchor>
  <xdr:twoCellAnchor editAs="oneCell">
    <xdr:from>
      <xdr:col>1</xdr:col>
      <xdr:colOff>2983230</xdr:colOff>
      <xdr:row>29</xdr:row>
      <xdr:rowOff>188596</xdr:rowOff>
    </xdr:from>
    <xdr:to>
      <xdr:col>4</xdr:col>
      <xdr:colOff>539448</xdr:colOff>
      <xdr:row>41</xdr:row>
      <xdr:rowOff>112396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38456CF-53CA-64DA-82B0-BCC255FA7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5430" y="7618096"/>
          <a:ext cx="3710426" cy="2209800"/>
        </a:xfrm>
        <a:prstGeom prst="rect">
          <a:avLst/>
        </a:prstGeom>
      </xdr:spPr>
    </xdr:pic>
    <xdr:clientData/>
  </xdr:twoCellAnchor>
  <xdr:twoCellAnchor editAs="oneCell">
    <xdr:from>
      <xdr:col>5</xdr:col>
      <xdr:colOff>695325</xdr:colOff>
      <xdr:row>31</xdr:row>
      <xdr:rowOff>98171</xdr:rowOff>
    </xdr:from>
    <xdr:to>
      <xdr:col>8</xdr:col>
      <xdr:colOff>95673</xdr:colOff>
      <xdr:row>41</xdr:row>
      <xdr:rowOff>124622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2A94C0F-761A-DC76-404A-6E0B011CA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77400" y="7908671"/>
          <a:ext cx="3672840" cy="1931451"/>
        </a:xfrm>
        <a:prstGeom prst="rect">
          <a:avLst/>
        </a:prstGeom>
      </xdr:spPr>
    </xdr:pic>
    <xdr:clientData/>
  </xdr:twoCellAnchor>
  <xdr:twoCellAnchor editAs="oneCell">
    <xdr:from>
      <xdr:col>6</xdr:col>
      <xdr:colOff>431117</xdr:colOff>
      <xdr:row>3</xdr:row>
      <xdr:rowOff>55563</xdr:rowOff>
    </xdr:from>
    <xdr:to>
      <xdr:col>12</xdr:col>
      <xdr:colOff>474013</xdr:colOff>
      <xdr:row>19</xdr:row>
      <xdr:rowOff>130970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6BD382A-34BF-1F0F-6E01-231597CE3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42167" y="627063"/>
          <a:ext cx="3700496" cy="312340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19051</xdr:colOff>
      <xdr:row>16</xdr:row>
      <xdr:rowOff>152400</xdr:rowOff>
    </xdr:from>
    <xdr:to>
      <xdr:col>28</xdr:col>
      <xdr:colOff>66455</xdr:colOff>
      <xdr:row>41</xdr:row>
      <xdr:rowOff>114299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14875D5-97BC-C6C8-86D9-30AF9966F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02751" y="3200400"/>
          <a:ext cx="4924204" cy="4724399"/>
        </a:xfrm>
        <a:prstGeom prst="rect">
          <a:avLst/>
        </a:prstGeom>
      </xdr:spPr>
    </xdr:pic>
    <xdr:clientData/>
  </xdr:twoCellAnchor>
  <xdr:twoCellAnchor editAs="oneCell">
    <xdr:from>
      <xdr:col>14</xdr:col>
      <xdr:colOff>295274</xdr:colOff>
      <xdr:row>35</xdr:row>
      <xdr:rowOff>161925</xdr:rowOff>
    </xdr:from>
    <xdr:to>
      <xdr:col>16</xdr:col>
      <xdr:colOff>2144027</xdr:colOff>
      <xdr:row>60</xdr:row>
      <xdr:rowOff>172211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5B08C45-CED1-7B51-CE96-679DA2B7F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031324" y="6829425"/>
          <a:ext cx="4858653" cy="47727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116417</xdr:colOff>
      <xdr:row>5</xdr:row>
      <xdr:rowOff>84668</xdr:rowOff>
    </xdr:from>
    <xdr:to>
      <xdr:col>26</xdr:col>
      <xdr:colOff>453656</xdr:colOff>
      <xdr:row>12</xdr:row>
      <xdr:rowOff>169333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C4F8DCA-F316-5670-5C1F-A7C42FBE0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0417" y="1132418"/>
          <a:ext cx="13841572" cy="14181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21</xdr:col>
      <xdr:colOff>423140</xdr:colOff>
      <xdr:row>11</xdr:row>
      <xdr:rowOff>80273</xdr:rowOff>
    </xdr:from>
    <xdr:to>
      <xdr:col>21</xdr:col>
      <xdr:colOff>425300</xdr:colOff>
      <xdr:row>11</xdr:row>
      <xdr:rowOff>84593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Tinta 8">
              <a:extLst>
                <a:ext uri="{FF2B5EF4-FFF2-40B4-BE49-F238E27FC236}">
                  <a16:creationId xmlns:a16="http://schemas.microsoft.com/office/drawing/2014/main" id="{87397BA5-0D46-0AAB-3806-453AC6B4AA61}"/>
                </a:ext>
              </a:extLst>
            </xdr14:cNvPr>
            <xdr14:cNvContentPartPr/>
          </xdr14:nvContentPartPr>
          <xdr14:nvPr macro=""/>
          <xdr14:xfrm>
            <a:off x="18732307" y="2260440"/>
            <a:ext cx="2160" cy="4320"/>
          </xdr14:xfrm>
        </xdr:contentPart>
      </mc:Choice>
      <mc:Fallback xmlns="">
        <xdr:pic>
          <xdr:nvPicPr>
            <xdr:cNvPr id="9" name="Tinta 8">
              <a:extLst>
                <a:ext uri="{FF2B5EF4-FFF2-40B4-BE49-F238E27FC236}">
                  <a16:creationId xmlns:a16="http://schemas.microsoft.com/office/drawing/2014/main" id="{87397BA5-0D46-0AAB-3806-453AC6B4AA6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8726187" y="2254320"/>
              <a:ext cx="14400" cy="1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454820</xdr:colOff>
      <xdr:row>10</xdr:row>
      <xdr:rowOff>179693</xdr:rowOff>
    </xdr:from>
    <xdr:to>
      <xdr:col>21</xdr:col>
      <xdr:colOff>455180</xdr:colOff>
      <xdr:row>10</xdr:row>
      <xdr:rowOff>180053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0" name="Tinta 9">
              <a:extLst>
                <a:ext uri="{FF2B5EF4-FFF2-40B4-BE49-F238E27FC236}">
                  <a16:creationId xmlns:a16="http://schemas.microsoft.com/office/drawing/2014/main" id="{FCA1FEB5-EFE0-A3DE-B292-A2628A53BC71}"/>
                </a:ext>
              </a:extLst>
            </xdr14:cNvPr>
            <xdr14:cNvContentPartPr/>
          </xdr14:nvContentPartPr>
          <xdr14:nvPr macro=""/>
          <xdr14:xfrm>
            <a:off x="18763987" y="2169360"/>
            <a:ext cx="360" cy="360"/>
          </xdr14:xfrm>
        </xdr:contentPart>
      </mc:Choice>
      <mc:Fallback xmlns="">
        <xdr:pic>
          <xdr:nvPicPr>
            <xdr:cNvPr id="10" name="Tinta 9">
              <a:extLst>
                <a:ext uri="{FF2B5EF4-FFF2-40B4-BE49-F238E27FC236}">
                  <a16:creationId xmlns:a16="http://schemas.microsoft.com/office/drawing/2014/main" id="{FCA1FEB5-EFE0-A3DE-B292-A2628A53BC7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8757867" y="21632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42333</xdr:colOff>
      <xdr:row>8</xdr:row>
      <xdr:rowOff>31750</xdr:rowOff>
    </xdr:from>
    <xdr:to>
      <xdr:col>23</xdr:col>
      <xdr:colOff>31750</xdr:colOff>
      <xdr:row>11</xdr:row>
      <xdr:rowOff>84667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DE330033-1E4F-0F24-2B86-6E6C635EFA72}"/>
            </a:ext>
          </a:extLst>
        </xdr:cNvPr>
        <xdr:cNvSpPr/>
      </xdr:nvSpPr>
      <xdr:spPr>
        <a:xfrm>
          <a:off x="18965333" y="1651000"/>
          <a:ext cx="603250" cy="624417"/>
        </a:xfrm>
        <a:prstGeom prst="ellipse">
          <a:avLst/>
        </a:prstGeom>
        <a:noFill/>
        <a:ln>
          <a:solidFill>
            <a:schemeClr val="accent2">
              <a:lumMod val="75000"/>
            </a:schemeClr>
          </a:solidFill>
        </a:ln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371475</xdr:colOff>
      <xdr:row>0</xdr:row>
      <xdr:rowOff>114301</xdr:rowOff>
    </xdr:from>
    <xdr:to>
      <xdr:col>21</xdr:col>
      <xdr:colOff>998</xdr:colOff>
      <xdr:row>12</xdr:row>
      <xdr:rowOff>92589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1773D99-C551-5247-8C32-1A907E90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0775" y="114301"/>
          <a:ext cx="5725523" cy="2264288"/>
        </a:xfrm>
        <a:prstGeom prst="rect">
          <a:avLst/>
        </a:prstGeom>
      </xdr:spPr>
    </xdr:pic>
    <xdr:clientData/>
  </xdr:twoCellAnchor>
  <xdr:twoCellAnchor editAs="oneCell">
    <xdr:from>
      <xdr:col>12</xdr:col>
      <xdr:colOff>333375</xdr:colOff>
      <xdr:row>14</xdr:row>
      <xdr:rowOff>161925</xdr:rowOff>
    </xdr:from>
    <xdr:to>
      <xdr:col>22</xdr:col>
      <xdr:colOff>267785</xdr:colOff>
      <xdr:row>42</xdr:row>
      <xdr:rowOff>175243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5005381-73FB-D2E1-0890-93835A118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92275" y="2828925"/>
          <a:ext cx="6030410" cy="53579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133351</xdr:rowOff>
    </xdr:from>
    <xdr:to>
      <xdr:col>4</xdr:col>
      <xdr:colOff>315345</xdr:colOff>
      <xdr:row>20</xdr:row>
      <xdr:rowOff>178792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D26A3E00-7C71-802B-CFD5-23FC538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2228851"/>
          <a:ext cx="6249420" cy="1759941"/>
        </a:xfrm>
        <a:prstGeom prst="rect">
          <a:avLst/>
        </a:prstGeom>
      </xdr:spPr>
    </xdr:pic>
    <xdr:clientData/>
  </xdr:twoCellAnchor>
  <xdr:twoCellAnchor editAs="oneCell">
    <xdr:from>
      <xdr:col>0</xdr:col>
      <xdr:colOff>590549</xdr:colOff>
      <xdr:row>21</xdr:row>
      <xdr:rowOff>142875</xdr:rowOff>
    </xdr:from>
    <xdr:to>
      <xdr:col>2</xdr:col>
      <xdr:colOff>829442</xdr:colOff>
      <xdr:row>24</xdr:row>
      <xdr:rowOff>158548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6FE2EC2-DBF4-614D-A566-AF61051BF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549" y="4143375"/>
          <a:ext cx="4525143" cy="58717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17</xdr:row>
      <xdr:rowOff>85725</xdr:rowOff>
    </xdr:from>
    <xdr:to>
      <xdr:col>3</xdr:col>
      <xdr:colOff>524782</xdr:colOff>
      <xdr:row>21</xdr:row>
      <xdr:rowOff>3630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435BE27-1438-AE60-7CCA-7403EF205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3324225"/>
          <a:ext cx="4458607" cy="679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18</xdr:row>
      <xdr:rowOff>19050</xdr:rowOff>
    </xdr:from>
    <xdr:to>
      <xdr:col>4</xdr:col>
      <xdr:colOff>496321</xdr:colOff>
      <xdr:row>28</xdr:row>
      <xdr:rowOff>11565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890ADFC-885C-9B2E-DB46-327A37436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4029075"/>
          <a:ext cx="6363721" cy="189751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2447924</xdr:colOff>
      <xdr:row>3</xdr:row>
      <xdr:rowOff>57150</xdr:rowOff>
    </xdr:from>
    <xdr:to>
      <xdr:col>10</xdr:col>
      <xdr:colOff>1486891</xdr:colOff>
      <xdr:row>5</xdr:row>
      <xdr:rowOff>60641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8E84252-320A-9943-FE81-6D4825D5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53974" y="628650"/>
          <a:ext cx="5515967" cy="384491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24</xdr:row>
      <xdr:rowOff>104775</xdr:rowOff>
    </xdr:from>
    <xdr:to>
      <xdr:col>28</xdr:col>
      <xdr:colOff>524876</xdr:colOff>
      <xdr:row>32</xdr:row>
      <xdr:rowOff>15196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FC5E4D3-6A05-0AF7-FDC3-FFD871D03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936950" y="4724400"/>
          <a:ext cx="6382750" cy="1434421"/>
        </a:xfrm>
        <a:prstGeom prst="rect">
          <a:avLst/>
        </a:prstGeom>
      </xdr:spPr>
    </xdr:pic>
    <xdr:clientData/>
  </xdr:twoCellAnchor>
  <xdr:twoCellAnchor editAs="oneCell">
    <xdr:from>
      <xdr:col>1</xdr:col>
      <xdr:colOff>148168</xdr:colOff>
      <xdr:row>114</xdr:row>
      <xdr:rowOff>104511</xdr:rowOff>
    </xdr:from>
    <xdr:to>
      <xdr:col>4</xdr:col>
      <xdr:colOff>1907679</xdr:colOff>
      <xdr:row>143</xdr:row>
      <xdr:rowOff>54172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982F625-36EC-7080-47F0-B44323113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1" y="21895594"/>
          <a:ext cx="7834345" cy="547416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102395</xdr:colOff>
      <xdr:row>28</xdr:row>
      <xdr:rowOff>188119</xdr:rowOff>
    </xdr:from>
    <xdr:to>
      <xdr:col>17</xdr:col>
      <xdr:colOff>214719</xdr:colOff>
      <xdr:row>41</xdr:row>
      <xdr:rowOff>350043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E337ABB-9471-DB56-104C-1DC9C8D5B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90020" y="5522119"/>
          <a:ext cx="6803637" cy="263842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28575</xdr:rowOff>
        </xdr:to>
        <xdr:sp macro="" textlink="">
          <xdr:nvSpPr>
            <xdr:cNvPr id="37891" name="CaixaPesquisa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8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6-22T16:23:02.21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12 24575,'0'-5'0,"5"-2"0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6-22T16:23:02.53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24575,'0'0'-8191</inkml:trace>
</inkml: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109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6.xml"/><Relationship Id="rId4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B940F-9440-4712-AE42-D67F6AAD9256}">
  <sheetPr codeName="Folha23">
    <tabColor rgb="FF996600"/>
  </sheetPr>
  <dimension ref="A1"/>
  <sheetViews>
    <sheetView showGridLines="0" showRowColHeaders="0" topLeftCell="A31" workbookViewId="0">
      <selection activeCell="G52" sqref="G52"/>
    </sheetView>
  </sheetViews>
  <sheetFormatPr defaultRowHeight="15"/>
  <cols>
    <col min="1" max="16384" width="9.140625" style="373"/>
  </cols>
  <sheetData/>
  <sheetProtection algorithmName="SHA-512" hashValue="b/h4oRC06pG8FEaYagC4aSndAOSJU2RqYvQwJPrijAizx2UBDJbJYdRU+X+P65SYbdAUHW5qqGQmYvB8o4Ulrw==" saltValue="g/awaeSwrhO7Sqs9r8xJt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26684-FC22-412D-AD37-6A0DEF9D0C7E}">
  <sheetPr codeName="Folha3">
    <tabColor theme="7" tint="0.59999389629810485"/>
  </sheetPr>
  <dimension ref="A3:J65"/>
  <sheetViews>
    <sheetView showGridLines="0" zoomScale="85" zoomScaleNormal="85" workbookViewId="0">
      <selection activeCell="C55" sqref="C55"/>
    </sheetView>
  </sheetViews>
  <sheetFormatPr defaultRowHeight="15"/>
  <cols>
    <col min="1" max="1" width="43.28515625" customWidth="1"/>
    <col min="2" max="2" width="25.7109375" customWidth="1"/>
    <col min="3" max="3" width="88" customWidth="1"/>
    <col min="4" max="4" width="29.140625" customWidth="1"/>
    <col min="5" max="5" width="39.28515625" customWidth="1"/>
    <col min="6" max="6" width="25.140625" customWidth="1"/>
    <col min="7" max="7" width="27.7109375" customWidth="1"/>
    <col min="8" max="8" width="12.85546875" customWidth="1"/>
    <col min="9" max="9" width="14.7109375" customWidth="1"/>
    <col min="10" max="10" width="18.28515625" customWidth="1"/>
    <col min="11" max="26" width="9.140625" customWidth="1"/>
  </cols>
  <sheetData>
    <row r="3" spans="1:10">
      <c r="C3" s="428" t="s">
        <v>1536</v>
      </c>
      <c r="D3" s="428"/>
      <c r="E3" s="428"/>
      <c r="F3" s="428"/>
      <c r="G3" s="428"/>
    </row>
    <row r="4" spans="1:10" ht="15.75" thickBot="1">
      <c r="C4" s="7" t="s">
        <v>1537</v>
      </c>
      <c r="D4" s="429"/>
      <c r="E4" s="429"/>
      <c r="F4" s="429"/>
      <c r="G4" s="429"/>
    </row>
    <row r="5" spans="1:10" ht="15.75" thickBot="1">
      <c r="C5" s="7" t="s">
        <v>1538</v>
      </c>
      <c r="D5" s="430"/>
      <c r="E5" s="430"/>
      <c r="F5" s="430"/>
      <c r="G5" s="430"/>
    </row>
    <row r="6" spans="1:10" ht="15.75" thickBot="1">
      <c r="C6" s="7" t="s">
        <v>1539</v>
      </c>
      <c r="D6" s="431"/>
      <c r="E6" s="430"/>
      <c r="F6" s="430"/>
      <c r="G6" s="430"/>
    </row>
    <row r="8" spans="1:10" ht="15.75" thickBot="1"/>
    <row r="9" spans="1:10" ht="15.75" thickBot="1">
      <c r="C9" s="185" t="s">
        <v>1571</v>
      </c>
      <c r="D9" s="360">
        <v>934.49</v>
      </c>
    </row>
    <row r="12" spans="1:10" ht="15.75" thickBot="1"/>
    <row r="13" spans="1:10" ht="15.75" thickBot="1">
      <c r="B13" s="432" t="s">
        <v>1570</v>
      </c>
      <c r="C13" s="433"/>
      <c r="D13" s="433"/>
      <c r="E13" s="433"/>
      <c r="F13" s="433"/>
      <c r="G13" s="433"/>
      <c r="H13" s="433"/>
      <c r="I13" s="434"/>
    </row>
    <row r="14" spans="1:10" s="34" customFormat="1">
      <c r="A14"/>
      <c r="B14"/>
      <c r="C14"/>
      <c r="D14"/>
      <c r="E14"/>
      <c r="F14"/>
      <c r="G14"/>
      <c r="H14"/>
      <c r="I14"/>
      <c r="J14" s="361"/>
    </row>
    <row r="15" spans="1:10">
      <c r="A15" s="6"/>
      <c r="B15" s="435" t="s">
        <v>1592</v>
      </c>
      <c r="C15" s="435"/>
      <c r="D15" s="435"/>
      <c r="E15" s="5">
        <v>1</v>
      </c>
      <c r="F15" s="408">
        <v>794.49369999999999</v>
      </c>
      <c r="G15" s="409">
        <v>934.49369999999999</v>
      </c>
      <c r="H15" s="410">
        <v>955.49699999999996</v>
      </c>
      <c r="I15" s="410">
        <v>1021.457</v>
      </c>
      <c r="J15" s="362"/>
    </row>
    <row r="16" spans="1:10">
      <c r="A16" s="6"/>
      <c r="B16" s="435"/>
      <c r="C16" s="435"/>
      <c r="D16" s="435"/>
      <c r="E16" s="5"/>
      <c r="F16" s="363"/>
      <c r="G16" s="364"/>
      <c r="H16" s="364"/>
      <c r="I16" s="364"/>
      <c r="J16" s="362"/>
    </row>
    <row r="17" spans="1:10">
      <c r="A17" s="6"/>
      <c r="B17" s="435"/>
      <c r="C17" s="435"/>
      <c r="D17" s="435"/>
      <c r="E17" s="5"/>
      <c r="F17" s="363"/>
      <c r="G17" s="364"/>
      <c r="H17" s="364"/>
      <c r="I17" s="364"/>
      <c r="J17" s="362"/>
    </row>
    <row r="18" spans="1:10">
      <c r="A18" s="6"/>
      <c r="B18" s="435"/>
      <c r="C18" s="435"/>
      <c r="D18" s="435"/>
      <c r="E18" s="5"/>
      <c r="F18" s="363"/>
      <c r="G18" s="364"/>
      <c r="H18" s="364"/>
      <c r="I18" s="364"/>
      <c r="J18" s="362"/>
    </row>
    <row r="19" spans="1:10" ht="15.75" thickBot="1">
      <c r="B19" s="428" t="s">
        <v>1381</v>
      </c>
      <c r="C19" s="428"/>
      <c r="D19" s="428"/>
      <c r="E19" s="428"/>
      <c r="F19" s="428"/>
      <c r="G19" s="428"/>
      <c r="H19" s="428"/>
    </row>
    <row r="20" spans="1:10" ht="16.5" thickBot="1">
      <c r="B20" s="340" t="s">
        <v>1543</v>
      </c>
      <c r="C20" s="349" t="s">
        <v>1541</v>
      </c>
      <c r="D20" s="349" t="s">
        <v>1540</v>
      </c>
      <c r="E20" s="349" t="s">
        <v>1545</v>
      </c>
      <c r="F20" s="349" t="s">
        <v>1542</v>
      </c>
      <c r="G20" s="349" t="s">
        <v>915</v>
      </c>
      <c r="H20" s="350" t="s">
        <v>1299</v>
      </c>
    </row>
    <row r="21" spans="1:10">
      <c r="B21" s="324" t="s">
        <v>1544</v>
      </c>
      <c r="C21" s="374"/>
      <c r="D21" s="374"/>
      <c r="E21" s="325">
        <f>IFERROR(_xlfn.XLOOKUP(C21,Preço_Puxadores!$B$3:$B$200, Preço_Puxadores!$H$3:$H$200), 0)</f>
        <v>0</v>
      </c>
      <c r="F21" s="321">
        <f>E21*D21</f>
        <v>0</v>
      </c>
      <c r="G21" s="326">
        <f>IFERROR(_xlfn.XLOOKUP(C21,Preço_Puxadores!$B$3:$B$200,Preço_Puxadores!$F$3:$F$200), 0)</f>
        <v>0</v>
      </c>
      <c r="H21" s="162">
        <f>G21*D21</f>
        <v>0</v>
      </c>
    </row>
    <row r="22" spans="1:10">
      <c r="B22" s="324" t="s">
        <v>1544</v>
      </c>
      <c r="C22" s="374"/>
      <c r="D22" s="374"/>
      <c r="E22" s="325">
        <f>IFERROR(_xlfn.XLOOKUP(C22,Preço_Puxadores!$B$3:$B$200, Preço_Puxadores!$H$3:$H$200), 0)</f>
        <v>0</v>
      </c>
      <c r="F22" s="321">
        <f t="shared" ref="F22:F30" si="0">E22*D22</f>
        <v>0</v>
      </c>
      <c r="G22" s="326">
        <f>IFERROR(_xlfn.XLOOKUP(C22,Preço_Puxadores!$B$3:$B$200,Preço_Puxadores!$F$3:$F$200), 0)</f>
        <v>0</v>
      </c>
      <c r="H22" s="162">
        <f t="shared" ref="H22:H30" si="1">G22*D22</f>
        <v>0</v>
      </c>
    </row>
    <row r="23" spans="1:10">
      <c r="B23" s="324" t="s">
        <v>1544</v>
      </c>
      <c r="C23" s="374"/>
      <c r="D23" s="374"/>
      <c r="E23" s="325">
        <f>IFERROR(_xlfn.XLOOKUP(C23,Preço_Puxadores!$B$3:$B$200, Preço_Puxadores!$H$3:$H$200), 0)</f>
        <v>0</v>
      </c>
      <c r="F23" s="321">
        <f t="shared" si="0"/>
        <v>0</v>
      </c>
      <c r="G23" s="326">
        <f>IFERROR(_xlfn.XLOOKUP(C23,Preço_Puxadores!$B$3:$B$200,Preço_Puxadores!$F$3:$F$200), 0)</f>
        <v>0</v>
      </c>
      <c r="H23" s="162">
        <f t="shared" si="1"/>
        <v>0</v>
      </c>
    </row>
    <row r="24" spans="1:10">
      <c r="B24" s="324" t="s">
        <v>1544</v>
      </c>
      <c r="C24" s="374"/>
      <c r="D24" s="374"/>
      <c r="E24" s="325">
        <f>IFERROR(_xlfn.XLOOKUP(C24,Preço_Puxadores!$B$3:$B$200, Preço_Puxadores!$H$3:$H$200), 0)</f>
        <v>0</v>
      </c>
      <c r="F24" s="321">
        <f t="shared" si="0"/>
        <v>0</v>
      </c>
      <c r="G24" s="326">
        <f>IFERROR(_xlfn.XLOOKUP(C24,Preço_Puxadores!$B$3:$B$200,Preço_Puxadores!$F$3:$F$200), 0)</f>
        <v>0</v>
      </c>
      <c r="H24" s="162">
        <f t="shared" si="1"/>
        <v>0</v>
      </c>
    </row>
    <row r="25" spans="1:10">
      <c r="B25" s="324" t="s">
        <v>1544</v>
      </c>
      <c r="C25" s="374"/>
      <c r="D25" s="374"/>
      <c r="E25" s="325">
        <f>IFERROR(_xlfn.XLOOKUP(C25,Preço_Puxadores!$B$3:$B$200, Preço_Puxadores!$H$3:$H$200), 0)</f>
        <v>0</v>
      </c>
      <c r="F25" s="321">
        <f t="shared" si="0"/>
        <v>0</v>
      </c>
      <c r="G25" s="326">
        <f>IFERROR(_xlfn.XLOOKUP(C25,Preço_Puxadores!$B$3:$B$200,Preço_Puxadores!$F$3:$F$200), 0)</f>
        <v>0</v>
      </c>
      <c r="H25" s="162">
        <f t="shared" si="1"/>
        <v>0</v>
      </c>
    </row>
    <row r="26" spans="1:10">
      <c r="B26" s="324" t="s">
        <v>1544</v>
      </c>
      <c r="C26" s="374"/>
      <c r="D26" s="374"/>
      <c r="E26" s="325">
        <f>IFERROR(_xlfn.XLOOKUP(C26,Preço_Puxadores!$B$3:$B$200, Preço_Puxadores!$H$3:$H$200), 0)</f>
        <v>0</v>
      </c>
      <c r="F26" s="321">
        <f t="shared" si="0"/>
        <v>0</v>
      </c>
      <c r="G26" s="326">
        <f>IFERROR(_xlfn.XLOOKUP(C26,Preço_Puxadores!$B$3:$B$200,Preço_Puxadores!$F$3:$F$200), 0)</f>
        <v>0</v>
      </c>
      <c r="H26" s="162">
        <f t="shared" si="1"/>
        <v>0</v>
      </c>
    </row>
    <row r="27" spans="1:10">
      <c r="B27" s="324" t="s">
        <v>1544</v>
      </c>
      <c r="C27" s="374"/>
      <c r="D27" s="374"/>
      <c r="E27" s="325">
        <f>IFERROR(_xlfn.XLOOKUP(C27,Preço_Puxadores!$B$3:$B$200, Preço_Puxadores!$H$3:$H$200), 0)</f>
        <v>0</v>
      </c>
      <c r="F27" s="321">
        <f t="shared" si="0"/>
        <v>0</v>
      </c>
      <c r="G27" s="326">
        <f>IFERROR(_xlfn.XLOOKUP(C27,Preço_Puxadores!$B$3:$B$200,Preço_Puxadores!$F$3:$F$200), 0)</f>
        <v>0</v>
      </c>
      <c r="H27" s="162">
        <f t="shared" si="1"/>
        <v>0</v>
      </c>
    </row>
    <row r="28" spans="1:10">
      <c r="B28" s="324" t="s">
        <v>1544</v>
      </c>
      <c r="C28" s="374"/>
      <c r="D28" s="374"/>
      <c r="E28" s="325">
        <f>IFERROR(_xlfn.XLOOKUP(C28,Preço_Puxadores!$B$3:$B$200, Preço_Puxadores!$H$3:$H$200), 0)</f>
        <v>0</v>
      </c>
      <c r="F28" s="321">
        <f t="shared" si="0"/>
        <v>0</v>
      </c>
      <c r="G28" s="326">
        <f>IFERROR(_xlfn.XLOOKUP(C28,Preço_Puxadores!$B$3:$B$200,Preço_Puxadores!$F$3:$F$200), 0)</f>
        <v>0</v>
      </c>
      <c r="H28" s="162">
        <f t="shared" si="1"/>
        <v>0</v>
      </c>
    </row>
    <row r="29" spans="1:10">
      <c r="B29" s="324" t="s">
        <v>1544</v>
      </c>
      <c r="C29" s="374"/>
      <c r="D29" s="374"/>
      <c r="E29" s="325">
        <f>IFERROR(_xlfn.XLOOKUP(C29,Preço_Puxadores!$B$3:$B$200, Preço_Puxadores!$H$3:$H$200), 0)</f>
        <v>0</v>
      </c>
      <c r="F29" s="321">
        <f t="shared" si="0"/>
        <v>0</v>
      </c>
      <c r="G29" s="326">
        <f>IFERROR(_xlfn.XLOOKUP(C29,Preço_Puxadores!$B$3:$B$200,Preço_Puxadores!$F$3:$F$200), 0)</f>
        <v>0</v>
      </c>
      <c r="H29" s="162">
        <f t="shared" si="1"/>
        <v>0</v>
      </c>
    </row>
    <row r="30" spans="1:10" ht="15.75" thickBot="1">
      <c r="B30" s="327" t="s">
        <v>1544</v>
      </c>
      <c r="C30" s="375"/>
      <c r="D30" s="375"/>
      <c r="E30" s="329">
        <f>IFERROR(_xlfn.XLOOKUP(C30,Preço_Puxadores!$B$3:$B$200, Preço_Puxadores!$H$3:$H$200), 0)</f>
        <v>0</v>
      </c>
      <c r="F30" s="322">
        <f t="shared" si="0"/>
        <v>0</v>
      </c>
      <c r="G30" s="330">
        <f>IFERROR(_xlfn.XLOOKUP(C30,Preço_Puxadores!$B$3:$B$200,Preço_Puxadores!$F$3:$F$200), 0)</f>
        <v>0</v>
      </c>
      <c r="H30" s="331">
        <f t="shared" si="1"/>
        <v>0</v>
      </c>
    </row>
    <row r="31" spans="1:10">
      <c r="B31" s="324" t="s">
        <v>1573</v>
      </c>
      <c r="C31" s="374"/>
      <c r="D31" s="374"/>
      <c r="E31" s="325">
        <f>IFERROR(_xlfn.XLOOKUP(C31,Preço_Rodapés!$H$5:$H$100,Preço_Rodapés!$G$5:$G$100), 0)</f>
        <v>0</v>
      </c>
      <c r="F31" s="332">
        <f>E31*D31</f>
        <v>0</v>
      </c>
      <c r="G31" s="326">
        <f>IFERROR(_xlfn.XLOOKUP(C31,Preço_Rodapés!$H$5:$H$100,Preço_Rodapés!$F$5:$F$100), 0)</f>
        <v>0</v>
      </c>
      <c r="H31" s="162">
        <f>G31*D31</f>
        <v>0</v>
      </c>
    </row>
    <row r="32" spans="1:10">
      <c r="B32" s="324" t="s">
        <v>1573</v>
      </c>
      <c r="C32" s="374"/>
      <c r="D32" s="374"/>
      <c r="E32" s="325">
        <f>IFERROR(_xlfn.XLOOKUP(C32,Preço_Rodapés!$H$5:$H$100,Preço_Rodapés!$G$5:$G$100), 0)</f>
        <v>0</v>
      </c>
      <c r="F32" s="332">
        <f t="shared" ref="F32:F35" si="2">E32*D32</f>
        <v>0</v>
      </c>
      <c r="G32" s="326">
        <f>IFERROR(_xlfn.XLOOKUP(C32,Preço_Rodapés!$H$5:$H$100,Preço_Rodapés!$F$5:$F$100), 0)</f>
        <v>0</v>
      </c>
      <c r="H32" s="162">
        <f t="shared" ref="H32:H35" si="3">G32*D32</f>
        <v>0</v>
      </c>
    </row>
    <row r="33" spans="2:8">
      <c r="B33" s="324" t="s">
        <v>1573</v>
      </c>
      <c r="C33" s="374"/>
      <c r="D33" s="374"/>
      <c r="E33" s="325">
        <f>IFERROR(_xlfn.XLOOKUP(C33,Preço_Rodapés!$H$5:$H$100,Preço_Rodapés!$G$5:$G$100), 0)</f>
        <v>0</v>
      </c>
      <c r="F33" s="332">
        <f t="shared" si="2"/>
        <v>0</v>
      </c>
      <c r="G33" s="326">
        <f>IFERROR(_xlfn.XLOOKUP(C33,Preço_Rodapés!$H$5:$H$100,Preço_Rodapés!$F$5:$F$100), 0)</f>
        <v>0</v>
      </c>
      <c r="H33" s="162">
        <f t="shared" si="3"/>
        <v>0</v>
      </c>
    </row>
    <row r="34" spans="2:8">
      <c r="B34" s="324" t="s">
        <v>1573</v>
      </c>
      <c r="C34" s="374"/>
      <c r="D34" s="374"/>
      <c r="E34" s="325">
        <f>IFERROR(_xlfn.XLOOKUP(C34,Preço_Rodapés!$H$5:$H$100,Preço_Rodapés!$G$5:$G$100), 0)</f>
        <v>0</v>
      </c>
      <c r="F34" s="332">
        <f t="shared" si="2"/>
        <v>0</v>
      </c>
      <c r="G34" s="326">
        <f>IFERROR(_xlfn.XLOOKUP(C34,Preço_Rodapés!$H$5:$H$100,Preço_Rodapés!$F$5:$F$100), 0)</f>
        <v>0</v>
      </c>
      <c r="H34" s="162">
        <f t="shared" si="3"/>
        <v>0</v>
      </c>
    </row>
    <row r="35" spans="2:8" ht="15.75" thickBot="1">
      <c r="B35" s="327" t="s">
        <v>1573</v>
      </c>
      <c r="C35" s="375"/>
      <c r="D35" s="375"/>
      <c r="E35" s="329">
        <f>IFERROR(_xlfn.XLOOKUP(C35,Preço_Rodapés!$H$5:$H$100,Preço_Rodapés!$G$5:$G$100), 0)</f>
        <v>0</v>
      </c>
      <c r="F35" s="333">
        <f t="shared" si="2"/>
        <v>0</v>
      </c>
      <c r="G35" s="330">
        <f>IFERROR(_xlfn.XLOOKUP(C35,Preço_Rodapés!$H$5:$H$100,Preço_Rodapés!$F$5:$F$100), 0)</f>
        <v>0</v>
      </c>
      <c r="H35" s="331">
        <f t="shared" si="3"/>
        <v>0</v>
      </c>
    </row>
    <row r="36" spans="2:8">
      <c r="B36" s="324" t="s">
        <v>1547</v>
      </c>
      <c r="C36" s="374"/>
      <c r="D36" s="376"/>
      <c r="E36" s="325">
        <f>IFERROR(_xlfn.XLOOKUP(C36,'Preço_Acessórios Cozinha'!$H$3:$H$100,'Preço_Acessórios Cozinha'!$G$3:$G$100), 0)</f>
        <v>0</v>
      </c>
      <c r="F36" s="335">
        <f>E36*D36</f>
        <v>0</v>
      </c>
      <c r="G36" s="326">
        <f>IFERROR(_xlfn.XLOOKUP(C36,'Preço_Acessórios Cozinha'!$H$3:$H$100,'Preço_Acessórios Cozinha'!$F$3:$F$100), 0)</f>
        <v>0</v>
      </c>
      <c r="H36" s="162">
        <f>G36*D36</f>
        <v>0</v>
      </c>
    </row>
    <row r="37" spans="2:8">
      <c r="B37" s="324" t="s">
        <v>1547</v>
      </c>
      <c r="C37" s="374"/>
      <c r="D37" s="376"/>
      <c r="E37" s="325">
        <f>IFERROR(_xlfn.XLOOKUP(C37,'Preço_Acessórios Cozinha'!$H$3:$H$100,'Preço_Acessórios Cozinha'!$G$3:$G$100), 0)</f>
        <v>0</v>
      </c>
      <c r="F37" s="335">
        <f t="shared" ref="F37:F45" si="4">E37*D37</f>
        <v>0</v>
      </c>
      <c r="G37" s="326">
        <f>IFERROR(_xlfn.XLOOKUP(C37,'Preço_Acessórios Cozinha'!$H$3:$H$100,'Preço_Acessórios Cozinha'!$F$3:$F$100), 0)</f>
        <v>0</v>
      </c>
      <c r="H37" s="162">
        <f t="shared" ref="H37:H45" si="5">G37*D37</f>
        <v>0</v>
      </c>
    </row>
    <row r="38" spans="2:8">
      <c r="B38" s="324" t="s">
        <v>1547</v>
      </c>
      <c r="C38" s="374"/>
      <c r="D38" s="376"/>
      <c r="E38" s="325">
        <f>IFERROR(_xlfn.XLOOKUP(C38,'Preço_Acessórios Cozinha'!$H$3:$H$100,'Preço_Acessórios Cozinha'!$G$3:$G$100), 0)</f>
        <v>0</v>
      </c>
      <c r="F38" s="335">
        <f t="shared" si="4"/>
        <v>0</v>
      </c>
      <c r="G38" s="326">
        <f>IFERROR(_xlfn.XLOOKUP(C38,'Preço_Acessórios Cozinha'!$H$3:$H$100,'Preço_Acessórios Cozinha'!$F$3:$F$100), 0)</f>
        <v>0</v>
      </c>
      <c r="H38" s="162">
        <f t="shared" si="5"/>
        <v>0</v>
      </c>
    </row>
    <row r="39" spans="2:8">
      <c r="B39" s="324" t="s">
        <v>1547</v>
      </c>
      <c r="C39" s="374"/>
      <c r="D39" s="376"/>
      <c r="E39" s="325">
        <f>IFERROR(_xlfn.XLOOKUP(C39,'Preço_Acessórios Cozinha'!$H$3:$H$100,'Preço_Acessórios Cozinha'!$G$3:$G$100), 0)</f>
        <v>0</v>
      </c>
      <c r="F39" s="335">
        <f t="shared" si="4"/>
        <v>0</v>
      </c>
      <c r="G39" s="326">
        <f>IFERROR(_xlfn.XLOOKUP(C39,'Preço_Acessórios Cozinha'!$H$3:$H$100,'Preço_Acessórios Cozinha'!$F$3:$F$100), 0)</f>
        <v>0</v>
      </c>
      <c r="H39" s="162">
        <f t="shared" si="5"/>
        <v>0</v>
      </c>
    </row>
    <row r="40" spans="2:8">
      <c r="B40" s="324" t="s">
        <v>1547</v>
      </c>
      <c r="C40" s="374"/>
      <c r="D40" s="376"/>
      <c r="E40" s="325">
        <f>IFERROR(_xlfn.XLOOKUP(C40,'Preço_Acessórios Cozinha'!$H$3:$H$100,'Preço_Acessórios Cozinha'!$G$3:$G$100), 0)</f>
        <v>0</v>
      </c>
      <c r="F40" s="335">
        <f t="shared" si="4"/>
        <v>0</v>
      </c>
      <c r="G40" s="326">
        <f>IFERROR(_xlfn.XLOOKUP(C40,'Preço_Acessórios Cozinha'!$H$3:$H$100,'Preço_Acessórios Cozinha'!$F$3:$F$100), 0)</f>
        <v>0</v>
      </c>
      <c r="H40" s="162">
        <f t="shared" si="5"/>
        <v>0</v>
      </c>
    </row>
    <row r="41" spans="2:8">
      <c r="B41" s="324" t="s">
        <v>1547</v>
      </c>
      <c r="C41" s="374"/>
      <c r="D41" s="376"/>
      <c r="E41" s="325">
        <f>IFERROR(_xlfn.XLOOKUP(C41,'Preço_Acessórios Cozinha'!$H$3:$H$100,'Preço_Acessórios Cozinha'!$G$3:$G$100), 0)</f>
        <v>0</v>
      </c>
      <c r="F41" s="335">
        <f t="shared" si="4"/>
        <v>0</v>
      </c>
      <c r="G41" s="326">
        <f>IFERROR(_xlfn.XLOOKUP(C41,'Preço_Acessórios Cozinha'!$H$3:$H$100,'Preço_Acessórios Cozinha'!$F$3:$F$100), 0)</f>
        <v>0</v>
      </c>
      <c r="H41" s="162">
        <f t="shared" si="5"/>
        <v>0</v>
      </c>
    </row>
    <row r="42" spans="2:8">
      <c r="B42" s="324" t="s">
        <v>1547</v>
      </c>
      <c r="C42" s="374"/>
      <c r="D42" s="376"/>
      <c r="E42" s="336">
        <f>IFERROR(_xlfn.XLOOKUP(C42,'Preço_Acessórios Cozinha'!$H$3:$H$100,'Preço_Acessórios Cozinha'!$G$3:$G$100), 0)</f>
        <v>0</v>
      </c>
      <c r="F42" s="335">
        <f t="shared" si="4"/>
        <v>0</v>
      </c>
      <c r="G42" s="326">
        <f>IFERROR(_xlfn.XLOOKUP(C42,'Preço_Acessórios Cozinha'!$H$3:$H$100,'Preço_Acessórios Cozinha'!$F$3:$F$100), 0)</f>
        <v>0</v>
      </c>
      <c r="H42" s="162">
        <f t="shared" si="5"/>
        <v>0</v>
      </c>
    </row>
    <row r="43" spans="2:8">
      <c r="B43" s="324" t="s">
        <v>1547</v>
      </c>
      <c r="C43" s="374"/>
      <c r="D43" s="376"/>
      <c r="E43" s="336">
        <f>IFERROR(_xlfn.XLOOKUP(C43,'Preço_Acessórios Cozinha'!$H$3:$H$100,'Preço_Acessórios Cozinha'!$G$3:$G$100), 0)</f>
        <v>0</v>
      </c>
      <c r="F43" s="335">
        <f t="shared" si="4"/>
        <v>0</v>
      </c>
      <c r="G43" s="326">
        <f>IFERROR(_xlfn.XLOOKUP(C43,'Preço_Acessórios Cozinha'!$H$3:$H$100,'Preço_Acessórios Cozinha'!$F$3:$F$100), 0)</f>
        <v>0</v>
      </c>
      <c r="H43" s="162">
        <f t="shared" si="5"/>
        <v>0</v>
      </c>
    </row>
    <row r="44" spans="2:8">
      <c r="B44" s="324" t="s">
        <v>1547</v>
      </c>
      <c r="C44" s="374"/>
      <c r="D44" s="376"/>
      <c r="E44" s="336">
        <f>IFERROR(_xlfn.XLOOKUP(C44,'Preço_Acessórios Cozinha'!$H$3:$H$100,'Preço_Acessórios Cozinha'!$G$3:$G$100), 0)</f>
        <v>0</v>
      </c>
      <c r="F44" s="335">
        <f t="shared" si="4"/>
        <v>0</v>
      </c>
      <c r="G44" s="326">
        <f>IFERROR(_xlfn.XLOOKUP(C44,'Preço_Acessórios Cozinha'!$H$3:$H$100,'Preço_Acessórios Cozinha'!$F$3:$F$100), 0)</f>
        <v>0</v>
      </c>
      <c r="H44" s="162">
        <f t="shared" si="5"/>
        <v>0</v>
      </c>
    </row>
    <row r="45" spans="2:8" ht="15.75" thickBot="1">
      <c r="B45" s="327" t="s">
        <v>1547</v>
      </c>
      <c r="C45" s="375"/>
      <c r="D45" s="377"/>
      <c r="E45" s="339">
        <f>IFERROR(_xlfn.XLOOKUP(C45,'Preço_Acessórios Cozinha'!$H$3:$H$100,'Preço_Acessórios Cozinha'!$G$3:$G$100), 0)</f>
        <v>0</v>
      </c>
      <c r="F45" s="338">
        <f t="shared" si="4"/>
        <v>0</v>
      </c>
      <c r="G45" s="330">
        <f>IFERROR(_xlfn.XLOOKUP(C45,'Preço_Acessórios Cozinha'!$H$3:$H$100,'Preço_Acessórios Cozinha'!$F$3:$F$100), 0)</f>
        <v>0</v>
      </c>
      <c r="H45" s="331">
        <f t="shared" si="5"/>
        <v>0</v>
      </c>
    </row>
    <row r="46" spans="2:8">
      <c r="B46" s="324" t="s">
        <v>1550</v>
      </c>
      <c r="C46" s="378"/>
      <c r="D46" s="379"/>
      <c r="E46" s="344">
        <f>IFERROR(_xlfn.XLOOKUP(C46,'Preço_Cestos Lixo'!$H$6:$H$9,'Preço_Cestos Lixo'!$G$6:$G$9), 0)</f>
        <v>0</v>
      </c>
      <c r="F46" s="345">
        <f>D46*E46</f>
        <v>0</v>
      </c>
      <c r="G46" s="346">
        <f>IFERROR(_xlfn.XLOOKUP(C46,'Preço_Cestos Lixo'!$H$6:$H$9,'Preço_Cestos Lixo'!$F$6:$F$9), 0)</f>
        <v>0</v>
      </c>
      <c r="H46" s="347">
        <f>G46*D46</f>
        <v>0</v>
      </c>
    </row>
    <row r="47" spans="2:8">
      <c r="B47" s="324" t="s">
        <v>1550</v>
      </c>
      <c r="C47" s="378"/>
      <c r="D47" s="374"/>
      <c r="E47" s="325">
        <f>IFERROR(_xlfn.XLOOKUP(C47,'Preço_Cestos Lixo'!$H$6:$H$9,'Preço_Cestos Lixo'!$G$6:$G$9), 0)</f>
        <v>0</v>
      </c>
      <c r="F47" s="332">
        <f t="shared" ref="F47:F60" si="6">D47*E47</f>
        <v>0</v>
      </c>
      <c r="G47" s="326">
        <f>IFERROR(_xlfn.XLOOKUP(C47,'Preço_Cestos Lixo'!$H$6:$H$9,'Preço_Cestos Lixo'!$F$6:$F$9), 0)</f>
        <v>0</v>
      </c>
      <c r="H47" s="162">
        <f t="shared" ref="H47:H60" si="7">G47*D47</f>
        <v>0</v>
      </c>
    </row>
    <row r="48" spans="2:8">
      <c r="B48" s="324" t="s">
        <v>1550</v>
      </c>
      <c r="C48" s="378"/>
      <c r="D48" s="374"/>
      <c r="E48" s="325">
        <f>IFERROR(_xlfn.XLOOKUP(C48,'Preço_Cestos Lixo'!$H$6:$H$9,'Preço_Cestos Lixo'!$G$6:$G$9), 0)</f>
        <v>0</v>
      </c>
      <c r="F48" s="332">
        <f t="shared" si="6"/>
        <v>0</v>
      </c>
      <c r="G48" s="326">
        <f>IFERROR(_xlfn.XLOOKUP(C48,'Preço_Cestos Lixo'!$H$6:$H$9,'Preço_Cestos Lixo'!$F$6:$F$9), 0)</f>
        <v>0</v>
      </c>
      <c r="H48" s="162">
        <f t="shared" si="7"/>
        <v>0</v>
      </c>
    </row>
    <row r="49" spans="2:8">
      <c r="B49" s="324" t="s">
        <v>1550</v>
      </c>
      <c r="C49" s="378"/>
      <c r="D49" s="374"/>
      <c r="E49" s="325">
        <f>IFERROR(_xlfn.XLOOKUP(C49,'Preço_Cestos Lixo'!$H$6:$H$9,'Preço_Cestos Lixo'!$G$6:$G$9), 0)</f>
        <v>0</v>
      </c>
      <c r="F49" s="332">
        <f t="shared" si="6"/>
        <v>0</v>
      </c>
      <c r="G49" s="326">
        <f>IFERROR(_xlfn.XLOOKUP(C49,'Preço_Cestos Lixo'!$H$6:$H$9,'Preço_Cestos Lixo'!$F$6:$F$9), 0)</f>
        <v>0</v>
      </c>
      <c r="H49" s="162">
        <f t="shared" si="7"/>
        <v>0</v>
      </c>
    </row>
    <row r="50" spans="2:8" ht="15.75" thickBot="1">
      <c r="B50" s="327" t="s">
        <v>1550</v>
      </c>
      <c r="C50" s="380"/>
      <c r="D50" s="375"/>
      <c r="E50" s="329">
        <f>IFERROR(_xlfn.XLOOKUP(C50,'Preço_Cestos Lixo'!$H$6:$H$9,'Preço_Cestos Lixo'!$G$6:$G$9), 0)</f>
        <v>0</v>
      </c>
      <c r="F50" s="333">
        <f t="shared" si="6"/>
        <v>0</v>
      </c>
      <c r="G50" s="330">
        <f>IFERROR(_xlfn.XLOOKUP(C50,'Preço_Cestos Lixo'!$H$6:$H$9,'Preço_Cestos Lixo'!$F$6:$F$9), 0)</f>
        <v>0</v>
      </c>
      <c r="H50" s="331">
        <f t="shared" si="7"/>
        <v>0</v>
      </c>
    </row>
    <row r="51" spans="2:8">
      <c r="B51" s="324" t="s">
        <v>1574</v>
      </c>
      <c r="C51" s="374"/>
      <c r="D51" s="374"/>
      <c r="E51" s="355">
        <f>IFERROR(_xlfn.XLOOKUP(C51,'Preço_Perfis e Fitas LED'!$H$9:$H$33,'Preço_Perfis e Fitas LED'!$G$9:$G$33), 0)</f>
        <v>0</v>
      </c>
      <c r="F51" s="332">
        <f t="shared" si="6"/>
        <v>0</v>
      </c>
      <c r="G51" s="342">
        <f>IFERROR(_xlfn.XLOOKUP(C51,'Preço_Perfis e Fitas LED'!$H$9:$H$33,'Preço_Perfis e Fitas LED'!$F$9:$F$33), 0)</f>
        <v>0</v>
      </c>
      <c r="H51" s="162">
        <f t="shared" si="7"/>
        <v>0</v>
      </c>
    </row>
    <row r="52" spans="2:8">
      <c r="B52" s="324" t="s">
        <v>1574</v>
      </c>
      <c r="C52" s="374"/>
      <c r="D52" s="374"/>
      <c r="E52" s="355">
        <f>IFERROR(_xlfn.XLOOKUP(C52,'Preço_Perfis e Fitas LED'!$H$9:$H$33,'Preço_Perfis e Fitas LED'!$G$9:$G$33), 0)</f>
        <v>0</v>
      </c>
      <c r="F52" s="332">
        <f t="shared" si="6"/>
        <v>0</v>
      </c>
      <c r="G52" s="342">
        <f>IFERROR(_xlfn.XLOOKUP(C52,'Preço_Perfis e Fitas LED'!$H$9:$H$33,'Preço_Perfis e Fitas LED'!$F$9:$F$33), 0)</f>
        <v>0</v>
      </c>
      <c r="H52" s="162">
        <f t="shared" si="7"/>
        <v>0</v>
      </c>
    </row>
    <row r="53" spans="2:8">
      <c r="B53" s="324" t="s">
        <v>1574</v>
      </c>
      <c r="C53" s="374"/>
      <c r="D53" s="374"/>
      <c r="E53" s="355">
        <f>IFERROR(_xlfn.XLOOKUP(C53,'Preço_Perfis e Fitas LED'!$H$9:$H$33,'Preço_Perfis e Fitas LED'!$G$9:$G$33), 0)</f>
        <v>0</v>
      </c>
      <c r="F53" s="332">
        <f t="shared" si="6"/>
        <v>0</v>
      </c>
      <c r="G53" s="342">
        <f>IFERROR(_xlfn.XLOOKUP(C53,'Preço_Perfis e Fitas LED'!$H$9:$H$33,'Preço_Perfis e Fitas LED'!$F$9:$F$33), 0)</f>
        <v>0</v>
      </c>
      <c r="H53" s="162">
        <f t="shared" si="7"/>
        <v>0</v>
      </c>
    </row>
    <row r="54" spans="2:8">
      <c r="B54" s="324" t="s">
        <v>1574</v>
      </c>
      <c r="C54" s="374"/>
      <c r="D54" s="374"/>
      <c r="E54" s="355">
        <f>IFERROR(_xlfn.XLOOKUP(C54,'Preço_Perfis e Fitas LED'!$H$9:$H$33,'Preço_Perfis e Fitas LED'!$G$9:$G$33), 0)</f>
        <v>0</v>
      </c>
      <c r="F54" s="332">
        <f t="shared" si="6"/>
        <v>0</v>
      </c>
      <c r="G54" s="342">
        <f>IFERROR(_xlfn.XLOOKUP(C54,'Preço_Perfis e Fitas LED'!$H$9:$H$33,'Preço_Perfis e Fitas LED'!$F$9:$F$33), 0)</f>
        <v>0</v>
      </c>
      <c r="H54" s="162">
        <f t="shared" si="7"/>
        <v>0</v>
      </c>
    </row>
    <row r="55" spans="2:8">
      <c r="B55" s="324" t="s">
        <v>1574</v>
      </c>
      <c r="C55" s="374"/>
      <c r="D55" s="374"/>
      <c r="E55" s="355">
        <f>IFERROR(_xlfn.XLOOKUP(C55,'Preço_Perfis e Fitas LED'!$H$9:$H$33,'Preço_Perfis e Fitas LED'!$G$9:$G$33), 0)</f>
        <v>0</v>
      </c>
      <c r="F55" s="332">
        <f>D55*E55</f>
        <v>0</v>
      </c>
      <c r="G55" s="342">
        <f>IFERROR(_xlfn.XLOOKUP(C55,'Preço_Perfis e Fitas LED'!$H$9:$H$33,'Preço_Perfis e Fitas LED'!$F$9:$F$33), 0)</f>
        <v>0</v>
      </c>
      <c r="H55" s="162">
        <f t="shared" si="7"/>
        <v>0</v>
      </c>
    </row>
    <row r="56" spans="2:8">
      <c r="B56" s="324" t="s">
        <v>1574</v>
      </c>
      <c r="C56" s="374"/>
      <c r="D56" s="374"/>
      <c r="E56" s="355">
        <f>IFERROR(_xlfn.XLOOKUP(C56,'Preço_Perfis e Fitas LED'!$H$9:$H$33,'Preço_Perfis e Fitas LED'!$G$9:$G$33), 0)</f>
        <v>0</v>
      </c>
      <c r="F56" s="332">
        <f t="shared" si="6"/>
        <v>0</v>
      </c>
      <c r="G56" s="342">
        <f>IFERROR(_xlfn.XLOOKUP(C56,'Preço_Perfis e Fitas LED'!$H$9:$H$33,'Preço_Perfis e Fitas LED'!$F$9:$F$33), 0)</f>
        <v>0</v>
      </c>
      <c r="H56" s="162">
        <f t="shared" si="7"/>
        <v>0</v>
      </c>
    </row>
    <row r="57" spans="2:8">
      <c r="B57" s="324" t="s">
        <v>1574</v>
      </c>
      <c r="C57" s="374"/>
      <c r="D57" s="374"/>
      <c r="E57" s="355">
        <f>IFERROR(_xlfn.XLOOKUP(C57,'Preço_Perfis e Fitas LED'!$H$9:$H$33,'Preço_Perfis e Fitas LED'!$G$9:$G$33), 0)</f>
        <v>0</v>
      </c>
      <c r="F57" s="332">
        <f t="shared" si="6"/>
        <v>0</v>
      </c>
      <c r="G57" s="342">
        <f>IFERROR(_xlfn.XLOOKUP(C57,'Preço_Perfis e Fitas LED'!$H$9:$H$33,'Preço_Perfis e Fitas LED'!$F$9:$F$33), 0)</f>
        <v>0</v>
      </c>
      <c r="H57" s="162">
        <f t="shared" si="7"/>
        <v>0</v>
      </c>
    </row>
    <row r="58" spans="2:8">
      <c r="B58" s="324" t="s">
        <v>1574</v>
      </c>
      <c r="C58" s="374"/>
      <c r="D58" s="374"/>
      <c r="E58" s="355">
        <f>IFERROR(_xlfn.XLOOKUP(C58,'Preço_Perfis e Fitas LED'!$H$9:$H$33,'Preço_Perfis e Fitas LED'!$G$9:$G$33), 0)</f>
        <v>0</v>
      </c>
      <c r="F58" s="332">
        <f t="shared" si="6"/>
        <v>0</v>
      </c>
      <c r="G58" s="342">
        <f>IFERROR(_xlfn.XLOOKUP(C58,'Preço_Perfis e Fitas LED'!$H$9:$H$33,'Preço_Perfis e Fitas LED'!$F$9:$F$33), 0)</f>
        <v>0</v>
      </c>
      <c r="H58" s="162">
        <f t="shared" si="7"/>
        <v>0</v>
      </c>
    </row>
    <row r="59" spans="2:8">
      <c r="B59" s="324" t="s">
        <v>1574</v>
      </c>
      <c r="C59" s="374"/>
      <c r="D59" s="374"/>
      <c r="E59" s="355">
        <f>IFERROR(_xlfn.XLOOKUP(C59,'Preço_Perfis e Fitas LED'!$H$9:$H$33,'Preço_Perfis e Fitas LED'!$G$9:$G$33), 0)</f>
        <v>0</v>
      </c>
      <c r="F59" s="332">
        <f t="shared" si="6"/>
        <v>0</v>
      </c>
      <c r="G59" s="342">
        <f>IFERROR(_xlfn.XLOOKUP(C59,'Preço_Perfis e Fitas LED'!$H$9:$H$33,'Preço_Perfis e Fitas LED'!$F$9:$F$33), 0)</f>
        <v>0</v>
      </c>
      <c r="H59" s="162">
        <f t="shared" si="7"/>
        <v>0</v>
      </c>
    </row>
    <row r="60" spans="2:8" ht="15.75" thickBot="1">
      <c r="B60" s="327" t="s">
        <v>1574</v>
      </c>
      <c r="C60" s="375"/>
      <c r="D60" s="375"/>
      <c r="E60" s="356">
        <f>IFERROR(_xlfn.XLOOKUP(C60,'Preço_Perfis e Fitas LED'!$H$9:$H$33,'Preço_Perfis e Fitas LED'!$G$9:$G$33), 0)</f>
        <v>0</v>
      </c>
      <c r="F60" s="333">
        <f t="shared" si="6"/>
        <v>0</v>
      </c>
      <c r="G60" s="357">
        <f>IFERROR(_xlfn.XLOOKUP(C60,'Preço_Perfis e Fitas LED'!$H$9:$H$33,'Preço_Perfis e Fitas LED'!$F$9:$F$33), 0)</f>
        <v>0</v>
      </c>
      <c r="H60" s="331">
        <f t="shared" si="7"/>
        <v>0</v>
      </c>
    </row>
    <row r="61" spans="2:8">
      <c r="B61" s="324" t="s">
        <v>1569</v>
      </c>
      <c r="C61" s="378"/>
      <c r="D61" s="379"/>
      <c r="E61" s="309">
        <f>IFERROR(_xlfn.XLOOKUP(C61,Preços_Tomadas!$H$7:$H$9,Preços_Tomadas!$G$7:$G$9), 0)</f>
        <v>0</v>
      </c>
      <c r="F61" s="332">
        <f>E61*D61</f>
        <v>0</v>
      </c>
      <c r="G61" s="342">
        <f>IFERROR(_xlfn.XLOOKUP(C61,Preços_Tomadas!$H$7:$H$9,Preços_Tomadas!$F$7:$F$9), 0)</f>
        <v>0</v>
      </c>
      <c r="H61" s="347">
        <f>G61*D61</f>
        <v>0</v>
      </c>
    </row>
    <row r="62" spans="2:8" ht="15.75" thickBot="1">
      <c r="B62" s="327" t="s">
        <v>1569</v>
      </c>
      <c r="C62" s="380"/>
      <c r="D62" s="375"/>
      <c r="E62" s="358">
        <f>IFERROR(_xlfn.XLOOKUP(C62,Preços_Tomadas!$H$7:$H$9,Preços_Tomadas!$G$7:$G$9), 0)</f>
        <v>0</v>
      </c>
      <c r="F62" s="333">
        <f>E62*D62</f>
        <v>0</v>
      </c>
      <c r="G62" s="357">
        <f>IFERROR(_xlfn.XLOOKUP(C62,Preços_Tomadas!$H$7:$H$9,Preços_Tomadas!$F$7:$F$9), 0)</f>
        <v>0</v>
      </c>
      <c r="H62" s="331">
        <f>G62*D62</f>
        <v>0</v>
      </c>
    </row>
    <row r="64" spans="2:8" ht="15.75" thickBot="1"/>
    <row r="65" spans="3:4" ht="15.75" thickBot="1">
      <c r="C65" s="185" t="s">
        <v>1572</v>
      </c>
      <c r="D65" s="359">
        <f>D9+SUM(F21:F62)</f>
        <v>934.49</v>
      </c>
    </row>
  </sheetData>
  <sheetProtection algorithmName="SHA-512" hashValue="Ml/yNT/nYOdO8uACh6P7RcTPZnwpAg+3fv8xoajC6K/iQLqKxpeZl7ni/LAJuSEe1WdU8NZQpPeGbMlXmi2QUA==" saltValue="Nox47WMwZsMDhPizWu0rGQ==" spinCount="100000" sheet="1" objects="1" scenarios="1" selectLockedCells="1"/>
  <mergeCells count="10">
    <mergeCell ref="C3:G3"/>
    <mergeCell ref="B19:H19"/>
    <mergeCell ref="D4:G4"/>
    <mergeCell ref="D5:G5"/>
    <mergeCell ref="D6:G6"/>
    <mergeCell ref="B13:I13"/>
    <mergeCell ref="B18:D18"/>
    <mergeCell ref="B17:D17"/>
    <mergeCell ref="B16:D16"/>
    <mergeCell ref="B15:D15"/>
  </mergeCells>
  <dataValidations count="3">
    <dataValidation type="list" allowBlank="1" showInputMessage="1" showErrorMessage="1" sqref="D21:D30 D36:D50 D61:D62" xr:uid="{69509C9F-E7E3-44E9-ADCD-195696030C5C}">
      <formula1>"0,1,2,3,4,5,6,7,8,9,10,11,12,13,14,15,16,17,18,19,20,21,22,23,24,25,26,27,28,29,30,31,32,33,34,35,36,37,38,39,40,41,42,43,44,45,46,47,48,49,50,51,52,53,54,55,56,57,58,59,60,61,62,63,64,65,66,67,68,69,70,71,72,73,74,75,76,77,78,79,80,81,82,83,84,85,86,87,"</formula1>
    </dataValidation>
    <dataValidation type="decimal" allowBlank="1" showInputMessage="1" showErrorMessage="1" sqref="D31:D35" xr:uid="{B89F45C0-55F1-470D-A38A-297A118256C6}">
      <formula1>0</formula1>
      <formula2>1000</formula2>
    </dataValidation>
    <dataValidation type="decimal" allowBlank="1" showInputMessage="1" showErrorMessage="1" sqref="D51:D60" xr:uid="{0D6058D5-AB48-4253-A29B-792738D6365C}">
      <formula1>0</formula1>
      <formula2>10000</formula2>
    </dataValidation>
  </dataValidations>
  <printOptions horizontalCentered="1"/>
  <pageMargins left="0.7" right="0.7" top="0.75" bottom="0.75" header="0.3" footer="0.3"/>
  <pageSetup paperSize="9" fitToHeight="0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allowBlank="1" showInputMessage="1" xr:uid="{C5B021BE-6DF6-4448-9BF9-B18506200606}">
          <x14:formula1>
            <xm:f>_xlfn.ANCHORARRAY(Preço_Puxadores!$Z$1)</xm:f>
          </x14:formula1>
          <xm:sqref>C21</xm:sqref>
        </x14:dataValidation>
        <x14:dataValidation type="list" allowBlank="1" showInputMessage="1" xr:uid="{AA5F5290-40FF-40EC-91B0-4A86B6F7B9F2}">
          <x14:formula1>
            <xm:f>_xlfn.ANCHORARRAY(Preço_Puxadores!$AA$1)</xm:f>
          </x14:formula1>
          <xm:sqref>C22</xm:sqref>
        </x14:dataValidation>
        <x14:dataValidation type="list" allowBlank="1" showInputMessage="1" xr:uid="{5A8CDCE3-089E-462D-8CF6-426B67567B00}">
          <x14:formula1>
            <xm:f>_xlfn.ANCHORARRAY(Preço_Puxadores!$AB$1)</xm:f>
          </x14:formula1>
          <xm:sqref>C23</xm:sqref>
        </x14:dataValidation>
        <x14:dataValidation type="list" allowBlank="1" showInputMessage="1" xr:uid="{336D6FC9-1A90-43F4-9AD0-0F465DF1B49B}">
          <x14:formula1>
            <xm:f>_xlfn.ANCHORARRAY(Preço_Puxadores!$AC$1)</xm:f>
          </x14:formula1>
          <xm:sqref>C24</xm:sqref>
        </x14:dataValidation>
        <x14:dataValidation type="list" allowBlank="1" showInputMessage="1" xr:uid="{0382CB8D-4BFC-4431-BF7F-EC1BA19EF2C6}">
          <x14:formula1>
            <xm:f>_xlfn.ANCHORARRAY(Preço_Puxadores!$AD$1)</xm:f>
          </x14:formula1>
          <xm:sqref>C25</xm:sqref>
        </x14:dataValidation>
        <x14:dataValidation type="list" allowBlank="1" showInputMessage="1" xr:uid="{A20B6A15-C215-4F8A-B819-9BF1700FA4E9}">
          <x14:formula1>
            <xm:f>_xlfn.ANCHORARRAY(Preço_Puxadores!$AE$1)</xm:f>
          </x14:formula1>
          <xm:sqref>C26</xm:sqref>
        </x14:dataValidation>
        <x14:dataValidation type="list" allowBlank="1" showInputMessage="1" xr:uid="{2E030099-965C-4020-B96D-D9CCF67F3E0F}">
          <x14:formula1>
            <xm:f>_xlfn.ANCHORARRAY(Preço_Puxadores!$AF$1)</xm:f>
          </x14:formula1>
          <xm:sqref>C27</xm:sqref>
        </x14:dataValidation>
        <x14:dataValidation type="list" allowBlank="1" showInputMessage="1" xr:uid="{8678F54F-0AC9-42DF-9028-567B4A2D616A}">
          <x14:formula1>
            <xm:f>_xlfn.ANCHORARRAY(Preço_Puxadores!$AG$1)</xm:f>
          </x14:formula1>
          <xm:sqref>C28</xm:sqref>
        </x14:dataValidation>
        <x14:dataValidation type="list" allowBlank="1" showInputMessage="1" xr:uid="{73ACD802-6827-417C-BAB6-46E1AA1586E1}">
          <x14:formula1>
            <xm:f>_xlfn.ANCHORARRAY(Preço_Puxadores!$AH$1)</xm:f>
          </x14:formula1>
          <xm:sqref>C29</xm:sqref>
        </x14:dataValidation>
        <x14:dataValidation type="list" allowBlank="1" showInputMessage="1" xr:uid="{065813BF-A628-4C8D-8233-F4A9A5D52DB2}">
          <x14:formula1>
            <xm:f>_xlfn.ANCHORARRAY(Preço_Puxadores!$AI$1)</xm:f>
          </x14:formula1>
          <xm:sqref>C30</xm:sqref>
        </x14:dataValidation>
        <x14:dataValidation type="list" allowBlank="1" showInputMessage="1" xr:uid="{5B826430-E651-4DC3-AAA9-52F626C7B71D}">
          <x14:formula1>
            <xm:f>_xlfn.ANCHORARRAY(Preço_Rodapés!$U$1)</xm:f>
          </x14:formula1>
          <xm:sqref>C31</xm:sqref>
        </x14:dataValidation>
        <x14:dataValidation type="list" allowBlank="1" showInputMessage="1" xr:uid="{16E50531-3978-4C67-B745-ABF130C86636}">
          <x14:formula1>
            <xm:f>_xlfn.ANCHORARRAY(Preço_Rodapés!$V$1)</xm:f>
          </x14:formula1>
          <xm:sqref>C32</xm:sqref>
        </x14:dataValidation>
        <x14:dataValidation type="list" allowBlank="1" showInputMessage="1" xr:uid="{12131CED-97ED-4882-9538-08B0C1C0BB8F}">
          <x14:formula1>
            <xm:f>_xlfn.ANCHORARRAY(Preço_Rodapés!$W$1)</xm:f>
          </x14:formula1>
          <xm:sqref>C33</xm:sqref>
        </x14:dataValidation>
        <x14:dataValidation type="list" allowBlank="1" showInputMessage="1" xr:uid="{ED86DB68-12DF-4B46-894E-598123187F33}">
          <x14:formula1>
            <xm:f>_xlfn.ANCHORARRAY(Preço_Rodapés!$X$1)</xm:f>
          </x14:formula1>
          <xm:sqref>C34</xm:sqref>
        </x14:dataValidation>
        <x14:dataValidation type="list" allowBlank="1" showInputMessage="1" xr:uid="{D3A02D5C-1D1D-4A14-AAAD-52D5DC483A99}">
          <x14:formula1>
            <xm:f>_xlfn.ANCHORARRAY(Preço_Rodapés!$Y$1)</xm:f>
          </x14:formula1>
          <xm:sqref>C35</xm:sqref>
        </x14:dataValidation>
        <x14:dataValidation type="list" allowBlank="1" showInputMessage="1" xr:uid="{8BDEEC7F-C692-475E-ACAC-D34A78CADF63}">
          <x14:formula1>
            <xm:f>_xlfn.ANCHORARRAY('Preço_Acessórios Cozinha'!$P$1)</xm:f>
          </x14:formula1>
          <xm:sqref>C36</xm:sqref>
        </x14:dataValidation>
        <x14:dataValidation type="list" allowBlank="1" showInputMessage="1" xr:uid="{5A504558-EF5A-4334-AB37-5E5823E3C808}">
          <x14:formula1>
            <xm:f>_xlfn.ANCHORARRAY('Preço_Acessórios Cozinha'!$Q$1)</xm:f>
          </x14:formula1>
          <xm:sqref>C37</xm:sqref>
        </x14:dataValidation>
        <x14:dataValidation type="list" allowBlank="1" showInputMessage="1" xr:uid="{2FA2B9C7-3C47-48D9-9721-3EC53E5014AA}">
          <x14:formula1>
            <xm:f>_xlfn.ANCHORARRAY('Preço_Acessórios Cozinha'!$R$1)</xm:f>
          </x14:formula1>
          <xm:sqref>C38</xm:sqref>
        </x14:dataValidation>
        <x14:dataValidation type="list" allowBlank="1" showInputMessage="1" xr:uid="{11A7D380-7ABB-41D2-818A-860B40F89BE5}">
          <x14:formula1>
            <xm:f>_xlfn.ANCHORARRAY('Preço_Acessórios Cozinha'!$S$1)</xm:f>
          </x14:formula1>
          <xm:sqref>C39</xm:sqref>
        </x14:dataValidation>
        <x14:dataValidation type="list" allowBlank="1" showInputMessage="1" xr:uid="{6917F5D2-A613-46B1-8F4B-48149AFD98C1}">
          <x14:formula1>
            <xm:f>_xlfn.ANCHORARRAY('Preço_Acessórios Cozinha'!$T$1)</xm:f>
          </x14:formula1>
          <xm:sqref>C40</xm:sqref>
        </x14:dataValidation>
        <x14:dataValidation type="list" allowBlank="1" showInputMessage="1" xr:uid="{2850216A-EC6E-486E-98C1-B0BFB4259417}">
          <x14:formula1>
            <xm:f>_xlfn.ANCHORARRAY('Preço_Acessórios Cozinha'!$U$1)</xm:f>
          </x14:formula1>
          <xm:sqref>C41</xm:sqref>
        </x14:dataValidation>
        <x14:dataValidation type="list" allowBlank="1" showInputMessage="1" xr:uid="{5A3D628A-B145-4E67-8422-0F1C222D8AC9}">
          <x14:formula1>
            <xm:f>_xlfn.ANCHORARRAY('Preço_Acessórios Cozinha'!$V$1)</xm:f>
          </x14:formula1>
          <xm:sqref>C42</xm:sqref>
        </x14:dataValidation>
        <x14:dataValidation type="list" allowBlank="1" showInputMessage="1" xr:uid="{E87F1D83-2354-4237-8C8E-E6303E87964D}">
          <x14:formula1>
            <xm:f>_xlfn.ANCHORARRAY('Preço_Acessórios Cozinha'!$W$1)</xm:f>
          </x14:formula1>
          <xm:sqref>C43</xm:sqref>
        </x14:dataValidation>
        <x14:dataValidation type="list" allowBlank="1" showInputMessage="1" xr:uid="{DAABB327-B21D-4A86-B6EF-22AA1F58BAD9}">
          <x14:formula1>
            <xm:f>_xlfn.ANCHORARRAY('Preço_Acessórios Cozinha'!$X$1)</xm:f>
          </x14:formula1>
          <xm:sqref>C44</xm:sqref>
        </x14:dataValidation>
        <x14:dataValidation type="list" allowBlank="1" showInputMessage="1" xr:uid="{829A476C-9B9C-4CCC-A461-7E95ED1D809D}">
          <x14:formula1>
            <xm:f>_xlfn.ANCHORARRAY('Preço_Acessórios Cozinha'!$Y$1)</xm:f>
          </x14:formula1>
          <xm:sqref>C45</xm:sqref>
        </x14:dataValidation>
        <x14:dataValidation type="list" allowBlank="1" showInputMessage="1" xr:uid="{9F26F7A7-CE30-4EEC-A5E3-7D9DC3F67483}">
          <x14:formula1>
            <xm:f>_xlfn.ANCHORARRAY('Preço_Cestos Lixo'!$M$1)</xm:f>
          </x14:formula1>
          <xm:sqref>C46</xm:sqref>
        </x14:dataValidation>
        <x14:dataValidation type="list" allowBlank="1" showInputMessage="1" xr:uid="{FCF5668C-91D4-4349-B840-8BF754EC8500}">
          <x14:formula1>
            <xm:f>_xlfn.ANCHORARRAY('Preço_Cestos Lixo'!$N$1)</xm:f>
          </x14:formula1>
          <xm:sqref>C47</xm:sqref>
        </x14:dataValidation>
        <x14:dataValidation type="list" allowBlank="1" showInputMessage="1" xr:uid="{8FC491C0-A3D6-4282-8F6C-59D93497BE98}">
          <x14:formula1>
            <xm:f>_xlfn.ANCHORARRAY('Preço_Cestos Lixo'!$O$1)</xm:f>
          </x14:formula1>
          <xm:sqref>C48</xm:sqref>
        </x14:dataValidation>
        <x14:dataValidation type="list" allowBlank="1" showInputMessage="1" xr:uid="{AA4F5D89-C41F-4684-9C2F-4E2A354E16E8}">
          <x14:formula1>
            <xm:f>_xlfn.ANCHORARRAY('Preço_Cestos Lixo'!$P$1)</xm:f>
          </x14:formula1>
          <xm:sqref>C49</xm:sqref>
        </x14:dataValidation>
        <x14:dataValidation type="list" allowBlank="1" showInputMessage="1" xr:uid="{78C0949D-F56E-4FD1-B6E5-D393C7F3AD27}">
          <x14:formula1>
            <xm:f>_xlfn.ANCHORARRAY('Preço_Cestos Lixo'!$Q$1)</xm:f>
          </x14:formula1>
          <xm:sqref>C50</xm:sqref>
        </x14:dataValidation>
        <x14:dataValidation type="list" allowBlank="1" showInputMessage="1" xr:uid="{E588A5A2-EF1F-45CA-882F-C1D7D8282733}">
          <x14:formula1>
            <xm:f>_xlfn.ANCHORARRAY('Preço_Perfis e Fitas LED'!$P$1)</xm:f>
          </x14:formula1>
          <xm:sqref>C51</xm:sqref>
        </x14:dataValidation>
        <x14:dataValidation type="list" allowBlank="1" showInputMessage="1" xr:uid="{2ACE8615-D10E-44CD-A821-E0B78CE5A4F3}">
          <x14:formula1>
            <xm:f>_xlfn.ANCHORARRAY('Preço_Perfis e Fitas LED'!$Q$1)</xm:f>
          </x14:formula1>
          <xm:sqref>C52</xm:sqref>
        </x14:dataValidation>
        <x14:dataValidation type="list" allowBlank="1" showInputMessage="1" xr:uid="{2940EBCC-3748-4527-9EC0-CFEF41F83823}">
          <x14:formula1>
            <xm:f>_xlfn.ANCHORARRAY('Preço_Perfis e Fitas LED'!$R$1)</xm:f>
          </x14:formula1>
          <xm:sqref>C53</xm:sqref>
        </x14:dataValidation>
        <x14:dataValidation type="list" allowBlank="1" showInputMessage="1" xr:uid="{0642DDBF-BE31-4931-B721-EB575B36D16A}">
          <x14:formula1>
            <xm:f>_xlfn.ANCHORARRAY('Preço_Perfis e Fitas LED'!$S$1)</xm:f>
          </x14:formula1>
          <xm:sqref>C54</xm:sqref>
        </x14:dataValidation>
        <x14:dataValidation type="list" allowBlank="1" showInputMessage="1" xr:uid="{9E1736F8-D734-4A65-8918-DA52F0159A34}">
          <x14:formula1>
            <xm:f>_xlfn.ANCHORARRAY('Preço_Perfis e Fitas LED'!$T$1)</xm:f>
          </x14:formula1>
          <xm:sqref>C55</xm:sqref>
        </x14:dataValidation>
        <x14:dataValidation type="list" allowBlank="1" showInputMessage="1" xr:uid="{20B4D504-85FF-4AB8-937E-428904CFF359}">
          <x14:formula1>
            <xm:f>_xlfn.ANCHORARRAY('Preço_Perfis e Fitas LED'!$U$1)</xm:f>
          </x14:formula1>
          <xm:sqref>C56</xm:sqref>
        </x14:dataValidation>
        <x14:dataValidation type="list" allowBlank="1" showInputMessage="1" xr:uid="{81CFB596-BF20-4BC3-AAF4-EB1DE8A0A766}">
          <x14:formula1>
            <xm:f>_xlfn.ANCHORARRAY('Preço_Perfis e Fitas LED'!$V$1)</xm:f>
          </x14:formula1>
          <xm:sqref>C57</xm:sqref>
        </x14:dataValidation>
        <x14:dataValidation type="list" allowBlank="1" showInputMessage="1" xr:uid="{F8F0F66D-734B-4EC2-9E73-1EDCDE872637}">
          <x14:formula1>
            <xm:f>_xlfn.ANCHORARRAY('Preço_Perfis e Fitas LED'!$W$1)</xm:f>
          </x14:formula1>
          <xm:sqref>C58</xm:sqref>
        </x14:dataValidation>
        <x14:dataValidation type="list" allowBlank="1" showInputMessage="1" xr:uid="{3B9A43D9-C543-492F-872B-6015C48BC365}">
          <x14:formula1>
            <xm:f>_xlfn.ANCHORARRAY('Preço_Perfis e Fitas LED'!$X$1)</xm:f>
          </x14:formula1>
          <xm:sqref>C59</xm:sqref>
        </x14:dataValidation>
        <x14:dataValidation type="list" allowBlank="1" showInputMessage="1" xr:uid="{77C30D99-4E19-461F-86EB-13F2B52B418B}">
          <x14:formula1>
            <xm:f>_xlfn.ANCHORARRAY('Preço_Perfis e Fitas LED'!$Y$1)</xm:f>
          </x14:formula1>
          <xm:sqref>C60</xm:sqref>
        </x14:dataValidation>
        <x14:dataValidation type="list" allowBlank="1" showInputMessage="1" xr:uid="{8A2A1067-39FA-4F2F-A3E5-6B5E5E29667C}">
          <x14:formula1>
            <xm:f>_xlfn.ANCHORARRAY(Preços_Tomadas!$M$1)</xm:f>
          </x14:formula1>
          <xm:sqref>C61</xm:sqref>
        </x14:dataValidation>
        <x14:dataValidation type="list" allowBlank="1" showInputMessage="1" xr:uid="{0E56CD4D-A163-4600-992F-BA945D0C8DB3}">
          <x14:formula1>
            <xm:f>_xlfn.ANCHORARRAY(Preços_Tomadas!$N$1)</xm:f>
          </x14:formula1>
          <xm:sqref>C62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F6E1B-FB88-4EBA-939E-0B6C17667829}">
  <sheetPr codeName="Folha24">
    <tabColor theme="7" tint="0.59999389629810485"/>
  </sheetPr>
  <dimension ref="A3:J64"/>
  <sheetViews>
    <sheetView showGridLines="0" topLeftCell="B46" zoomScaleNormal="100" workbookViewId="0">
      <selection activeCell="D37" sqref="D37"/>
    </sheetView>
  </sheetViews>
  <sheetFormatPr defaultRowHeight="15"/>
  <cols>
    <col min="1" max="1" width="43.28515625" customWidth="1"/>
    <col min="2" max="2" width="25.7109375" customWidth="1"/>
    <col min="3" max="3" width="88" customWidth="1"/>
    <col min="4" max="4" width="29.140625" customWidth="1"/>
    <col min="5" max="5" width="39.28515625" customWidth="1"/>
    <col min="6" max="6" width="25.140625" customWidth="1"/>
    <col min="7" max="7" width="27.7109375" customWidth="1"/>
    <col min="8" max="8" width="12.85546875" customWidth="1"/>
    <col min="9" max="9" width="14.7109375" customWidth="1"/>
    <col min="10" max="10" width="18.28515625" customWidth="1"/>
    <col min="11" max="26" width="9.140625" customWidth="1"/>
  </cols>
  <sheetData>
    <row r="3" spans="1:10">
      <c r="C3" s="428" t="s">
        <v>1536</v>
      </c>
      <c r="D3" s="428"/>
      <c r="E3" s="428"/>
      <c r="F3" s="428"/>
      <c r="G3" s="428"/>
    </row>
    <row r="4" spans="1:10" ht="15.75" thickBot="1">
      <c r="C4" s="7" t="s">
        <v>1537</v>
      </c>
      <c r="D4" s="436"/>
      <c r="E4" s="436"/>
      <c r="F4" s="436"/>
      <c r="G4" s="436"/>
    </row>
    <row r="5" spans="1:10" ht="15.75" thickBot="1">
      <c r="C5" s="7" t="s">
        <v>1538</v>
      </c>
      <c r="D5" s="437"/>
      <c r="E5" s="437"/>
      <c r="F5" s="437"/>
      <c r="G5" s="437"/>
    </row>
    <row r="6" spans="1:10" ht="15.75" thickBot="1">
      <c r="C6" s="7" t="s">
        <v>1539</v>
      </c>
      <c r="D6" s="438"/>
      <c r="E6" s="437"/>
      <c r="F6" s="437"/>
      <c r="G6" s="437"/>
    </row>
    <row r="8" spans="1:10" ht="15.75" thickBot="1"/>
    <row r="9" spans="1:10" ht="15.75" thickBot="1">
      <c r="C9" s="185" t="s">
        <v>1571</v>
      </c>
      <c r="D9" s="360">
        <v>0</v>
      </c>
    </row>
    <row r="12" spans="1:10" ht="15.75" thickBot="1"/>
    <row r="13" spans="1:10" ht="15.75" thickBot="1">
      <c r="B13" s="432" t="s">
        <v>1570</v>
      </c>
      <c r="C13" s="433"/>
      <c r="D13" s="433"/>
      <c r="E13" s="433"/>
      <c r="F13" s="433"/>
      <c r="G13" s="433"/>
      <c r="H13" s="433"/>
      <c r="I13" s="434"/>
    </row>
    <row r="14" spans="1:10" s="34" customFormat="1">
      <c r="A14"/>
      <c r="B14"/>
      <c r="C14"/>
      <c r="D14"/>
      <c r="E14"/>
      <c r="F14"/>
      <c r="G14"/>
      <c r="H14"/>
      <c r="I14"/>
      <c r="J14" s="361"/>
    </row>
    <row r="15" spans="1:10">
      <c r="A15" s="6"/>
      <c r="B15" s="435"/>
      <c r="C15" s="435"/>
      <c r="D15" s="435"/>
      <c r="E15" s="5"/>
      <c r="F15" s="363"/>
      <c r="G15" s="364"/>
      <c r="H15" s="364"/>
      <c r="I15" s="364"/>
      <c r="J15" s="362"/>
    </row>
    <row r="16" spans="1:10">
      <c r="A16" s="6"/>
      <c r="B16" s="435"/>
      <c r="C16" s="435"/>
      <c r="D16" s="435"/>
      <c r="E16" s="5"/>
      <c r="F16" s="363"/>
      <c r="G16" s="364"/>
      <c r="H16" s="364"/>
      <c r="I16" s="364"/>
      <c r="J16" s="362"/>
    </row>
    <row r="17" spans="1:10">
      <c r="A17" s="6"/>
      <c r="B17" s="435"/>
      <c r="C17" s="435"/>
      <c r="D17" s="435"/>
      <c r="E17" s="5"/>
      <c r="F17" s="363"/>
      <c r="G17" s="364"/>
      <c r="H17" s="364"/>
      <c r="I17" s="364"/>
      <c r="J17" s="362"/>
    </row>
    <row r="18" spans="1:10" ht="15.75" thickBot="1">
      <c r="B18" s="428" t="s">
        <v>1381</v>
      </c>
      <c r="C18" s="428"/>
      <c r="D18" s="428"/>
      <c r="E18" s="428"/>
      <c r="F18" s="428"/>
      <c r="G18" s="428"/>
      <c r="H18" s="428"/>
    </row>
    <row r="19" spans="1:10" ht="16.5" thickBot="1">
      <c r="B19" s="340" t="s">
        <v>1543</v>
      </c>
      <c r="C19" s="349" t="s">
        <v>1541</v>
      </c>
      <c r="D19" s="349" t="s">
        <v>1540</v>
      </c>
      <c r="E19" s="349" t="s">
        <v>1545</v>
      </c>
      <c r="F19" s="349" t="s">
        <v>1542</v>
      </c>
      <c r="G19" s="349" t="s">
        <v>915</v>
      </c>
      <c r="H19" s="350" t="s">
        <v>1299</v>
      </c>
    </row>
    <row r="20" spans="1:10">
      <c r="B20" s="324" t="s">
        <v>1544</v>
      </c>
      <c r="C20" s="323"/>
      <c r="D20" s="323"/>
      <c r="E20" s="325">
        <f>IFERROR(_xlfn.XLOOKUP(C20,Preço_Puxadores!$B$3:$B$200, Preço_Puxadores!$H$3:$H$200), 0)</f>
        <v>0</v>
      </c>
      <c r="F20" s="321">
        <f>E20*D20</f>
        <v>0</v>
      </c>
      <c r="G20" s="326">
        <f>IFERROR(_xlfn.XLOOKUP(C20,Preço_Puxadores!$B$3:$B$200,Preço_Puxadores!$F$3:$F$200), 0)</f>
        <v>0</v>
      </c>
      <c r="H20" s="162">
        <f>G20*D20</f>
        <v>0</v>
      </c>
    </row>
    <row r="21" spans="1:10">
      <c r="B21" s="324" t="s">
        <v>1544</v>
      </c>
      <c r="C21" s="323"/>
      <c r="D21" s="323"/>
      <c r="E21" s="325">
        <f>IFERROR(_xlfn.XLOOKUP(C21,Preço_Puxadores!$B$3:$B$200, Preço_Puxadores!$H$3:$H$200), 0)</f>
        <v>0</v>
      </c>
      <c r="F21" s="321">
        <f t="shared" ref="F21:F29" si="0">E21*D21</f>
        <v>0</v>
      </c>
      <c r="G21" s="326">
        <f>IFERROR(_xlfn.XLOOKUP(C21,Preço_Puxadores!$B$3:$B$200,Preço_Puxadores!$F$3:$F$200), 0)</f>
        <v>0</v>
      </c>
      <c r="H21" s="162">
        <f t="shared" ref="H21:H29" si="1">G21*D21</f>
        <v>0</v>
      </c>
    </row>
    <row r="22" spans="1:10">
      <c r="B22" s="324" t="s">
        <v>1544</v>
      </c>
      <c r="C22" s="323"/>
      <c r="D22" s="323"/>
      <c r="E22" s="325">
        <f>IFERROR(_xlfn.XLOOKUP(C22,Preço_Puxadores!$B$3:$B$200, Preço_Puxadores!$H$3:$H$200), 0)</f>
        <v>0</v>
      </c>
      <c r="F22" s="321">
        <f t="shared" si="0"/>
        <v>0</v>
      </c>
      <c r="G22" s="326">
        <f>IFERROR(_xlfn.XLOOKUP(C22,Preço_Puxadores!$B$3:$B$200,Preço_Puxadores!$F$3:$F$200), 0)</f>
        <v>0</v>
      </c>
      <c r="H22" s="162">
        <f t="shared" si="1"/>
        <v>0</v>
      </c>
    </row>
    <row r="23" spans="1:10">
      <c r="B23" s="324" t="s">
        <v>1544</v>
      </c>
      <c r="C23" s="323"/>
      <c r="D23" s="323"/>
      <c r="E23" s="325">
        <f>IFERROR(_xlfn.XLOOKUP(C23,Preço_Puxadores!$B$3:$B$200, Preço_Puxadores!$H$3:$H$200), 0)</f>
        <v>0</v>
      </c>
      <c r="F23" s="321">
        <f t="shared" si="0"/>
        <v>0</v>
      </c>
      <c r="G23" s="326">
        <f>IFERROR(_xlfn.XLOOKUP(C23,Preço_Puxadores!$B$3:$B$200,Preço_Puxadores!$F$3:$F$200), 0)</f>
        <v>0</v>
      </c>
      <c r="H23" s="162">
        <f t="shared" si="1"/>
        <v>0</v>
      </c>
    </row>
    <row r="24" spans="1:10">
      <c r="B24" s="324" t="s">
        <v>1544</v>
      </c>
      <c r="C24" s="323"/>
      <c r="D24" s="323"/>
      <c r="E24" s="325">
        <f>IFERROR(_xlfn.XLOOKUP(C24,Preço_Puxadores!$B$3:$B$200, Preço_Puxadores!$H$3:$H$200), 0)</f>
        <v>0</v>
      </c>
      <c r="F24" s="321">
        <f t="shared" si="0"/>
        <v>0</v>
      </c>
      <c r="G24" s="326">
        <f>IFERROR(_xlfn.XLOOKUP(C24,Preço_Puxadores!$B$3:$B$200,Preço_Puxadores!$F$3:$F$200), 0)</f>
        <v>0</v>
      </c>
      <c r="H24" s="162">
        <f t="shared" si="1"/>
        <v>0</v>
      </c>
    </row>
    <row r="25" spans="1:10">
      <c r="B25" s="324" t="s">
        <v>1544</v>
      </c>
      <c r="C25" s="323"/>
      <c r="D25" s="323"/>
      <c r="E25" s="325">
        <f>IFERROR(_xlfn.XLOOKUP(C25,Preço_Puxadores!$B$3:$B$200, Preço_Puxadores!$H$3:$H$200), 0)</f>
        <v>0</v>
      </c>
      <c r="F25" s="321">
        <f t="shared" si="0"/>
        <v>0</v>
      </c>
      <c r="G25" s="326">
        <f>IFERROR(_xlfn.XLOOKUP(C25,Preço_Puxadores!$B$3:$B$200,Preço_Puxadores!$F$3:$F$200), 0)</f>
        <v>0</v>
      </c>
      <c r="H25" s="162">
        <f t="shared" si="1"/>
        <v>0</v>
      </c>
    </row>
    <row r="26" spans="1:10">
      <c r="B26" s="324" t="s">
        <v>1544</v>
      </c>
      <c r="C26" s="323"/>
      <c r="D26" s="323"/>
      <c r="E26" s="325">
        <f>IFERROR(_xlfn.XLOOKUP(C26,Preço_Puxadores!$B$3:$B$200, Preço_Puxadores!$H$3:$H$200), 0)</f>
        <v>0</v>
      </c>
      <c r="F26" s="321">
        <f t="shared" si="0"/>
        <v>0</v>
      </c>
      <c r="G26" s="326">
        <f>IFERROR(_xlfn.XLOOKUP(C26,Preço_Puxadores!$B$3:$B$200,Preço_Puxadores!$F$3:$F$200), 0)</f>
        <v>0</v>
      </c>
      <c r="H26" s="162">
        <f t="shared" si="1"/>
        <v>0</v>
      </c>
    </row>
    <row r="27" spans="1:10">
      <c r="B27" s="324" t="s">
        <v>1544</v>
      </c>
      <c r="C27" s="323"/>
      <c r="D27" s="323"/>
      <c r="E27" s="325">
        <f>IFERROR(_xlfn.XLOOKUP(C27,Preço_Puxadores!$B$3:$B$200, Preço_Puxadores!$H$3:$H$200), 0)</f>
        <v>0</v>
      </c>
      <c r="F27" s="321">
        <f t="shared" si="0"/>
        <v>0</v>
      </c>
      <c r="G27" s="326">
        <f>IFERROR(_xlfn.XLOOKUP(C27,Preço_Puxadores!$B$3:$B$200,Preço_Puxadores!$F$3:$F$200), 0)</f>
        <v>0</v>
      </c>
      <c r="H27" s="162">
        <f t="shared" si="1"/>
        <v>0</v>
      </c>
    </row>
    <row r="28" spans="1:10">
      <c r="B28" s="324" t="s">
        <v>1544</v>
      </c>
      <c r="C28" s="323"/>
      <c r="D28" s="323"/>
      <c r="E28" s="325">
        <f>IFERROR(_xlfn.XLOOKUP(C28,Preço_Puxadores!$B$3:$B$200, Preço_Puxadores!$H$3:$H$200), 0)</f>
        <v>0</v>
      </c>
      <c r="F28" s="321">
        <f t="shared" si="0"/>
        <v>0</v>
      </c>
      <c r="G28" s="326">
        <f>IFERROR(_xlfn.XLOOKUP(C28,Preço_Puxadores!$B$3:$B$200,Preço_Puxadores!$F$3:$F$200), 0)</f>
        <v>0</v>
      </c>
      <c r="H28" s="162">
        <f t="shared" si="1"/>
        <v>0</v>
      </c>
    </row>
    <row r="29" spans="1:10" ht="15.75" thickBot="1">
      <c r="B29" s="327" t="s">
        <v>1544</v>
      </c>
      <c r="C29" s="328"/>
      <c r="D29" s="328"/>
      <c r="E29" s="329">
        <f>IFERROR(_xlfn.XLOOKUP(C29,Preço_Puxadores!$B$3:$B$200, Preço_Puxadores!$H$3:$H$200), 0)</f>
        <v>0</v>
      </c>
      <c r="F29" s="322">
        <f t="shared" si="0"/>
        <v>0</v>
      </c>
      <c r="G29" s="330">
        <f>IFERROR(_xlfn.XLOOKUP(C29,Preço_Puxadores!$B$3:$B$200,Preço_Puxadores!$F$3:$F$200), 0)</f>
        <v>0</v>
      </c>
      <c r="H29" s="331">
        <f t="shared" si="1"/>
        <v>0</v>
      </c>
    </row>
    <row r="30" spans="1:10">
      <c r="B30" s="324" t="s">
        <v>1546</v>
      </c>
      <c r="C30" s="323"/>
      <c r="D30" s="323"/>
      <c r="E30" s="325">
        <f>IFERROR(_xlfn.XLOOKUP(C30,Preço_Rodapés!$H$5:$H$100,Preço_Rodapés!$G$5:$G$100), 0)</f>
        <v>0</v>
      </c>
      <c r="F30" s="332">
        <f>E30*D30</f>
        <v>0</v>
      </c>
      <c r="G30" s="326">
        <f>IFERROR(_xlfn.XLOOKUP(C30,Preço_Rodapés!$H$5:$H$100,Preço_Rodapés!$F$5:$F$100), 0)</f>
        <v>0</v>
      </c>
      <c r="H30" s="162">
        <f>G30*D30</f>
        <v>0</v>
      </c>
    </row>
    <row r="31" spans="1:10">
      <c r="B31" s="324" t="s">
        <v>1546</v>
      </c>
      <c r="C31" s="323"/>
      <c r="D31" s="323"/>
      <c r="E31" s="325">
        <f>IFERROR(_xlfn.XLOOKUP(C31,Preço_Rodapés!$H$5:$H$100,Preço_Rodapés!$G$5:$G$100), 0)</f>
        <v>0</v>
      </c>
      <c r="F31" s="332">
        <f t="shared" ref="F31:F34" si="2">E31*D31</f>
        <v>0</v>
      </c>
      <c r="G31" s="326">
        <f>IFERROR(_xlfn.XLOOKUP(C31,Preço_Rodapés!$H$5:$H$100,Preço_Rodapés!$F$5:$F$100), 0)</f>
        <v>0</v>
      </c>
      <c r="H31" s="162">
        <f t="shared" ref="H31:H34" si="3">G31*D31</f>
        <v>0</v>
      </c>
    </row>
    <row r="32" spans="1:10">
      <c r="B32" s="324" t="s">
        <v>1546</v>
      </c>
      <c r="C32" s="323"/>
      <c r="D32" s="323"/>
      <c r="E32" s="325">
        <f>IFERROR(_xlfn.XLOOKUP(C32,Preço_Rodapés!$H$5:$H$100,Preço_Rodapés!$G$5:$G$100), 0)</f>
        <v>0</v>
      </c>
      <c r="F32" s="332">
        <f t="shared" si="2"/>
        <v>0</v>
      </c>
      <c r="G32" s="326">
        <f>IFERROR(_xlfn.XLOOKUP(C32,Preço_Rodapés!$H$5:$H$100,Preço_Rodapés!$F$5:$F$100), 0)</f>
        <v>0</v>
      </c>
      <c r="H32" s="162">
        <f t="shared" si="3"/>
        <v>0</v>
      </c>
    </row>
    <row r="33" spans="2:8">
      <c r="B33" s="324" t="s">
        <v>1546</v>
      </c>
      <c r="C33" s="323"/>
      <c r="D33" s="323"/>
      <c r="E33" s="325">
        <f>IFERROR(_xlfn.XLOOKUP(C33,Preço_Rodapés!$H$5:$H$100,Preço_Rodapés!$G$5:$G$100), 0)</f>
        <v>0</v>
      </c>
      <c r="F33" s="332">
        <f t="shared" si="2"/>
        <v>0</v>
      </c>
      <c r="G33" s="326">
        <f>IFERROR(_xlfn.XLOOKUP(C33,Preço_Rodapés!$H$5:$H$100,Preço_Rodapés!$F$5:$F$100), 0)</f>
        <v>0</v>
      </c>
      <c r="H33" s="162">
        <f t="shared" si="3"/>
        <v>0</v>
      </c>
    </row>
    <row r="34" spans="2:8" ht="15.75" thickBot="1">
      <c r="B34" s="327" t="s">
        <v>1546</v>
      </c>
      <c r="C34" s="328"/>
      <c r="D34" s="328"/>
      <c r="E34" s="329">
        <f>IFERROR(_xlfn.XLOOKUP(C34,Preço_Rodapés!$H$5:$H$100,Preço_Rodapés!$G$5:$G$100), 0)</f>
        <v>0</v>
      </c>
      <c r="F34" s="333">
        <f t="shared" si="2"/>
        <v>0</v>
      </c>
      <c r="G34" s="330">
        <f>IFERROR(_xlfn.XLOOKUP(C34,Preço_Rodapés!$H$5:$H$100,Preço_Rodapés!$F$5:$F$100), 0)</f>
        <v>0</v>
      </c>
      <c r="H34" s="331">
        <f t="shared" si="3"/>
        <v>0</v>
      </c>
    </row>
    <row r="35" spans="2:8">
      <c r="B35" s="324" t="s">
        <v>1547</v>
      </c>
      <c r="C35" s="323"/>
      <c r="D35" s="334"/>
      <c r="E35" s="325">
        <f>IFERROR(_xlfn.XLOOKUP(C35,'Preço_Acessórios Cozinha'!$H$3:$H$100,'Preço_Acessórios Cozinha'!$G$3:$G$100), 0)</f>
        <v>0</v>
      </c>
      <c r="F35" s="335">
        <f>E35*D35</f>
        <v>0</v>
      </c>
      <c r="G35" s="326">
        <f>IFERROR(_xlfn.XLOOKUP(C35,'Preço_Acessórios Cozinha'!$H$3:$H$100,'Preço_Acessórios Cozinha'!$F$3:$F$100), 0)</f>
        <v>0</v>
      </c>
      <c r="H35" s="162">
        <f>G35*D35</f>
        <v>0</v>
      </c>
    </row>
    <row r="36" spans="2:8">
      <c r="B36" s="324" t="s">
        <v>1547</v>
      </c>
      <c r="C36" s="323"/>
      <c r="D36" s="334"/>
      <c r="E36" s="325">
        <f>IFERROR(_xlfn.XLOOKUP(C36,'Preço_Acessórios Cozinha'!$H$3:$H$100,'Preço_Acessórios Cozinha'!$G$3:$G$100), 0)</f>
        <v>0</v>
      </c>
      <c r="F36" s="335">
        <f t="shared" ref="F36:F44" si="4">E36*D36</f>
        <v>0</v>
      </c>
      <c r="G36" s="326">
        <f>IFERROR(_xlfn.XLOOKUP(C36,'Preço_Acessórios Cozinha'!$H$3:$H$100,'Preço_Acessórios Cozinha'!$F$3:$F$100), 0)</f>
        <v>0</v>
      </c>
      <c r="H36" s="162">
        <f t="shared" ref="H36:H44" si="5">G36*D36</f>
        <v>0</v>
      </c>
    </row>
    <row r="37" spans="2:8">
      <c r="B37" s="324" t="s">
        <v>1547</v>
      </c>
      <c r="C37" s="323"/>
      <c r="D37" s="334"/>
      <c r="E37" s="325">
        <f>IFERROR(_xlfn.XLOOKUP(C37,'Preço_Acessórios Cozinha'!$H$3:$H$100,'Preço_Acessórios Cozinha'!$G$3:$G$100), 0)</f>
        <v>0</v>
      </c>
      <c r="F37" s="335">
        <f t="shared" si="4"/>
        <v>0</v>
      </c>
      <c r="G37" s="326">
        <f>IFERROR(_xlfn.XLOOKUP(C37,'Preço_Acessórios Cozinha'!$H$3:$H$100,'Preço_Acessórios Cozinha'!$F$3:$F$100), 0)</f>
        <v>0</v>
      </c>
      <c r="H37" s="162">
        <f t="shared" si="5"/>
        <v>0</v>
      </c>
    </row>
    <row r="38" spans="2:8">
      <c r="B38" s="324" t="s">
        <v>1547</v>
      </c>
      <c r="C38" s="323"/>
      <c r="D38" s="334"/>
      <c r="E38" s="325">
        <f>IFERROR(_xlfn.XLOOKUP(C38,'Preço_Acessórios Cozinha'!$H$3:$H$100,'Preço_Acessórios Cozinha'!$G$3:$G$100), 0)</f>
        <v>0</v>
      </c>
      <c r="F38" s="335">
        <f t="shared" si="4"/>
        <v>0</v>
      </c>
      <c r="G38" s="326">
        <f>IFERROR(_xlfn.XLOOKUP(C38,'Preço_Acessórios Cozinha'!$H$3:$H$100,'Preço_Acessórios Cozinha'!$F$3:$F$100), 0)</f>
        <v>0</v>
      </c>
      <c r="H38" s="162">
        <f t="shared" si="5"/>
        <v>0</v>
      </c>
    </row>
    <row r="39" spans="2:8">
      <c r="B39" s="324" t="s">
        <v>1547</v>
      </c>
      <c r="C39" s="323"/>
      <c r="D39" s="334"/>
      <c r="E39" s="325">
        <f>IFERROR(_xlfn.XLOOKUP(C39,'Preço_Acessórios Cozinha'!$H$3:$H$100,'Preço_Acessórios Cozinha'!$G$3:$G$100), 0)</f>
        <v>0</v>
      </c>
      <c r="F39" s="335">
        <f t="shared" si="4"/>
        <v>0</v>
      </c>
      <c r="G39" s="326">
        <f>IFERROR(_xlfn.XLOOKUP(C39,'Preço_Acessórios Cozinha'!$H$3:$H$100,'Preço_Acessórios Cozinha'!$F$3:$F$100), 0)</f>
        <v>0</v>
      </c>
      <c r="H39" s="162">
        <f t="shared" si="5"/>
        <v>0</v>
      </c>
    </row>
    <row r="40" spans="2:8">
      <c r="B40" s="324" t="s">
        <v>1547</v>
      </c>
      <c r="C40" s="323"/>
      <c r="D40" s="334"/>
      <c r="E40" s="325">
        <f>IFERROR(_xlfn.XLOOKUP(C40,'Preço_Acessórios Cozinha'!$H$3:$H$100,'Preço_Acessórios Cozinha'!$G$3:$G$100), 0)</f>
        <v>0</v>
      </c>
      <c r="F40" s="335">
        <f t="shared" si="4"/>
        <v>0</v>
      </c>
      <c r="G40" s="326">
        <f>IFERROR(_xlfn.XLOOKUP(C40,'Preço_Acessórios Cozinha'!$H$3:$H$100,'Preço_Acessórios Cozinha'!$F$3:$F$100), 0)</f>
        <v>0</v>
      </c>
      <c r="H40" s="162">
        <f t="shared" si="5"/>
        <v>0</v>
      </c>
    </row>
    <row r="41" spans="2:8">
      <c r="B41" s="324" t="s">
        <v>1547</v>
      </c>
      <c r="C41" s="323"/>
      <c r="D41" s="334"/>
      <c r="E41" s="336">
        <f>IFERROR(_xlfn.XLOOKUP(C41,'Preço_Acessórios Cozinha'!$H$3:$H$100,'Preço_Acessórios Cozinha'!$G$3:$G$100), 0)</f>
        <v>0</v>
      </c>
      <c r="F41" s="335">
        <f t="shared" si="4"/>
        <v>0</v>
      </c>
      <c r="G41" s="326">
        <f>IFERROR(_xlfn.XLOOKUP(C41,'Preço_Acessórios Cozinha'!$H$3:$H$100,'Preço_Acessórios Cozinha'!$F$3:$F$100), 0)</f>
        <v>0</v>
      </c>
      <c r="H41" s="162">
        <f t="shared" si="5"/>
        <v>0</v>
      </c>
    </row>
    <row r="42" spans="2:8">
      <c r="B42" s="324" t="s">
        <v>1547</v>
      </c>
      <c r="C42" s="323"/>
      <c r="D42" s="334"/>
      <c r="E42" s="336">
        <f>IFERROR(_xlfn.XLOOKUP(C42,'Preço_Acessórios Cozinha'!$H$3:$H$100,'Preço_Acessórios Cozinha'!$G$3:$G$100), 0)</f>
        <v>0</v>
      </c>
      <c r="F42" s="335">
        <f t="shared" si="4"/>
        <v>0</v>
      </c>
      <c r="G42" s="326">
        <f>IFERROR(_xlfn.XLOOKUP(C42,'Preço_Acessórios Cozinha'!$H$3:$H$100,'Preço_Acessórios Cozinha'!$F$3:$F$100), 0)</f>
        <v>0</v>
      </c>
      <c r="H42" s="162">
        <f t="shared" si="5"/>
        <v>0</v>
      </c>
    </row>
    <row r="43" spans="2:8">
      <c r="B43" s="324" t="s">
        <v>1547</v>
      </c>
      <c r="C43" s="323"/>
      <c r="D43" s="334"/>
      <c r="E43" s="336">
        <f>IFERROR(_xlfn.XLOOKUP(C43,'Preço_Acessórios Cozinha'!$H$3:$H$100,'Preço_Acessórios Cozinha'!$G$3:$G$100), 0)</f>
        <v>0</v>
      </c>
      <c r="F43" s="335">
        <f t="shared" si="4"/>
        <v>0</v>
      </c>
      <c r="G43" s="326">
        <f>IFERROR(_xlfn.XLOOKUP(C43,'Preço_Acessórios Cozinha'!$H$3:$H$100,'Preço_Acessórios Cozinha'!$F$3:$F$100), 0)</f>
        <v>0</v>
      </c>
      <c r="H43" s="162">
        <f t="shared" si="5"/>
        <v>0</v>
      </c>
    </row>
    <row r="44" spans="2:8" ht="15.75" thickBot="1">
      <c r="B44" s="327" t="s">
        <v>1547</v>
      </c>
      <c r="C44" s="328"/>
      <c r="D44" s="337"/>
      <c r="E44" s="339">
        <f>IFERROR(_xlfn.XLOOKUP(C44,'Preço_Acessórios Cozinha'!$H$3:$H$100,'Preço_Acessórios Cozinha'!$G$3:$G$100), 0)</f>
        <v>0</v>
      </c>
      <c r="F44" s="338">
        <f t="shared" si="4"/>
        <v>0</v>
      </c>
      <c r="G44" s="330">
        <f>IFERROR(_xlfn.XLOOKUP(C44,'Preço_Acessórios Cozinha'!$H$3:$H$100,'Preço_Acessórios Cozinha'!$F$3:$F$100), 0)</f>
        <v>0</v>
      </c>
      <c r="H44" s="331">
        <f t="shared" si="5"/>
        <v>0</v>
      </c>
    </row>
    <row r="45" spans="2:8">
      <c r="B45" s="324" t="s">
        <v>1550</v>
      </c>
      <c r="C45" s="341"/>
      <c r="D45" s="343"/>
      <c r="E45" s="344">
        <f>IFERROR(_xlfn.XLOOKUP(C45,'Preço_Cestos Lixo'!$H$6:$H$9,'Preço_Cestos Lixo'!$G$6:$G$9), 0)</f>
        <v>0</v>
      </c>
      <c r="F45" s="345">
        <f>D45*E45</f>
        <v>0</v>
      </c>
      <c r="G45" s="346">
        <f>IFERROR(_xlfn.XLOOKUP(C45,'Preço_Cestos Lixo'!$H$6:$H$9,'Preço_Cestos Lixo'!$F$6:$F$9), 0)</f>
        <v>0</v>
      </c>
      <c r="H45" s="347">
        <f>G45*D45</f>
        <v>0</v>
      </c>
    </row>
    <row r="46" spans="2:8">
      <c r="B46" s="324" t="s">
        <v>1550</v>
      </c>
      <c r="C46" s="341"/>
      <c r="D46" s="323"/>
      <c r="E46" s="325">
        <f>IFERROR(_xlfn.XLOOKUP(C46,'Preço_Cestos Lixo'!$H$6:$H$9,'Preço_Cestos Lixo'!$G$6:$G$9), 0)</f>
        <v>0</v>
      </c>
      <c r="F46" s="332">
        <f t="shared" ref="F46:F59" si="6">D46*E46</f>
        <v>0</v>
      </c>
      <c r="G46" s="326">
        <f>IFERROR(_xlfn.XLOOKUP(C46,'Preço_Cestos Lixo'!$H$6:$H$9,'Preço_Cestos Lixo'!$F$6:$F$9), 0)</f>
        <v>0</v>
      </c>
      <c r="H46" s="162">
        <f t="shared" ref="H46:H59" si="7">G46*D46</f>
        <v>0</v>
      </c>
    </row>
    <row r="47" spans="2:8">
      <c r="B47" s="324" t="s">
        <v>1550</v>
      </c>
      <c r="C47" s="341"/>
      <c r="D47" s="323"/>
      <c r="E47" s="325">
        <f>IFERROR(_xlfn.XLOOKUP(C47,'Preço_Cestos Lixo'!$H$6:$H$9,'Preço_Cestos Lixo'!$G$6:$G$9), 0)</f>
        <v>0</v>
      </c>
      <c r="F47" s="332">
        <f t="shared" si="6"/>
        <v>0</v>
      </c>
      <c r="G47" s="326">
        <f>IFERROR(_xlfn.XLOOKUP(C47,'Preço_Cestos Lixo'!$H$6:$H$9,'Preço_Cestos Lixo'!$F$6:$F$9), 0)</f>
        <v>0</v>
      </c>
      <c r="H47" s="162">
        <f t="shared" si="7"/>
        <v>0</v>
      </c>
    </row>
    <row r="48" spans="2:8">
      <c r="B48" s="324" t="s">
        <v>1550</v>
      </c>
      <c r="C48" s="341"/>
      <c r="D48" s="323"/>
      <c r="E48" s="325">
        <f>IFERROR(_xlfn.XLOOKUP(C48,'Preço_Cestos Lixo'!$H$6:$H$9,'Preço_Cestos Lixo'!$G$6:$G$9), 0)</f>
        <v>0</v>
      </c>
      <c r="F48" s="332">
        <f t="shared" si="6"/>
        <v>0</v>
      </c>
      <c r="G48" s="326">
        <f>IFERROR(_xlfn.XLOOKUP(C48,'Preço_Cestos Lixo'!$H$6:$H$9,'Preço_Cestos Lixo'!$F$6:$F$9), 0)</f>
        <v>0</v>
      </c>
      <c r="H48" s="162">
        <f t="shared" si="7"/>
        <v>0</v>
      </c>
    </row>
    <row r="49" spans="2:8" ht="15.75" thickBot="1">
      <c r="B49" s="327" t="s">
        <v>1550</v>
      </c>
      <c r="C49" s="348"/>
      <c r="D49" s="328"/>
      <c r="E49" s="329">
        <f>IFERROR(_xlfn.XLOOKUP(C49,'Preço_Cestos Lixo'!$H$6:$H$9,'Preço_Cestos Lixo'!$G$6:$G$9), 0)</f>
        <v>0</v>
      </c>
      <c r="F49" s="333">
        <f t="shared" si="6"/>
        <v>0</v>
      </c>
      <c r="G49" s="330">
        <f>IFERROR(_xlfn.XLOOKUP(C49,'Preço_Cestos Lixo'!$H$6:$H$9,'Preço_Cestos Lixo'!$F$6:$F$9), 0)</f>
        <v>0</v>
      </c>
      <c r="H49" s="331">
        <f t="shared" si="7"/>
        <v>0</v>
      </c>
    </row>
    <row r="50" spans="2:8">
      <c r="B50" s="324" t="s">
        <v>1551</v>
      </c>
      <c r="C50" s="323"/>
      <c r="D50" s="323"/>
      <c r="E50" s="355">
        <f>IFERROR(_xlfn.XLOOKUP(C50,'Preço_Perfis e Fitas LED'!$H$9:$H$33,'Preço_Perfis e Fitas LED'!$G$9:$G$33), 0)</f>
        <v>0</v>
      </c>
      <c r="F50" s="332">
        <f t="shared" si="6"/>
        <v>0</v>
      </c>
      <c r="G50" s="342">
        <f>IFERROR(_xlfn.XLOOKUP(C50,'Preço_Perfis e Fitas LED'!$H$9:$H$33,'Preço_Perfis e Fitas LED'!$F$9:$F$33), 0)</f>
        <v>0</v>
      </c>
      <c r="H50" s="162">
        <f t="shared" si="7"/>
        <v>0</v>
      </c>
    </row>
    <row r="51" spans="2:8">
      <c r="B51" s="324" t="s">
        <v>1551</v>
      </c>
      <c r="C51" s="323"/>
      <c r="D51" s="323"/>
      <c r="E51" s="355">
        <f>IFERROR(_xlfn.XLOOKUP(C51,'Preço_Perfis e Fitas LED'!$H$9:$H$33,'Preço_Perfis e Fitas LED'!$G$9:$G$33), 0)</f>
        <v>0</v>
      </c>
      <c r="F51" s="332">
        <f t="shared" si="6"/>
        <v>0</v>
      </c>
      <c r="G51" s="342">
        <f>IFERROR(_xlfn.XLOOKUP(C51,'Preço_Perfis e Fitas LED'!$H$9:$H$33,'Preço_Perfis e Fitas LED'!$F$9:$F$33), 0)</f>
        <v>0</v>
      </c>
      <c r="H51" s="162">
        <f t="shared" si="7"/>
        <v>0</v>
      </c>
    </row>
    <row r="52" spans="2:8">
      <c r="B52" s="324" t="s">
        <v>1551</v>
      </c>
      <c r="C52" s="323"/>
      <c r="D52" s="323"/>
      <c r="E52" s="355">
        <f>IFERROR(_xlfn.XLOOKUP(C52,'Preço_Perfis e Fitas LED'!$H$9:$H$33,'Preço_Perfis e Fitas LED'!$G$9:$G$33), 0)</f>
        <v>0</v>
      </c>
      <c r="F52" s="332">
        <f t="shared" si="6"/>
        <v>0</v>
      </c>
      <c r="G52" s="342">
        <f>IFERROR(_xlfn.XLOOKUP(C52,'Preço_Perfis e Fitas LED'!$H$9:$H$33,'Preço_Perfis e Fitas LED'!$F$9:$F$33), 0)</f>
        <v>0</v>
      </c>
      <c r="H52" s="162">
        <f t="shared" si="7"/>
        <v>0</v>
      </c>
    </row>
    <row r="53" spans="2:8">
      <c r="B53" s="324" t="s">
        <v>1551</v>
      </c>
      <c r="C53" s="323"/>
      <c r="D53" s="323"/>
      <c r="E53" s="355">
        <f>IFERROR(_xlfn.XLOOKUP(C53,'Preço_Perfis e Fitas LED'!$H$9:$H$33,'Preço_Perfis e Fitas LED'!$G$9:$G$33), 0)</f>
        <v>0</v>
      </c>
      <c r="F53" s="332">
        <f t="shared" si="6"/>
        <v>0</v>
      </c>
      <c r="G53" s="342">
        <f>IFERROR(_xlfn.XLOOKUP(C53,'Preço_Perfis e Fitas LED'!$H$9:$H$33,'Preço_Perfis e Fitas LED'!$F$9:$F$33), 0)</f>
        <v>0</v>
      </c>
      <c r="H53" s="162">
        <f t="shared" si="7"/>
        <v>0</v>
      </c>
    </row>
    <row r="54" spans="2:8">
      <c r="B54" s="324" t="s">
        <v>1551</v>
      </c>
      <c r="C54" s="323"/>
      <c r="D54" s="323"/>
      <c r="E54" s="355">
        <f>IFERROR(_xlfn.XLOOKUP(C54,'Preço_Perfis e Fitas LED'!$H$9:$H$33,'Preço_Perfis e Fitas LED'!$G$9:$G$33), 0)</f>
        <v>0</v>
      </c>
      <c r="F54" s="332">
        <f>D54*E54</f>
        <v>0</v>
      </c>
      <c r="G54" s="342">
        <f>IFERROR(_xlfn.XLOOKUP(C54,'Preço_Perfis e Fitas LED'!$H$9:$H$33,'Preço_Perfis e Fitas LED'!$F$9:$F$33), 0)</f>
        <v>0</v>
      </c>
      <c r="H54" s="162">
        <f t="shared" si="7"/>
        <v>0</v>
      </c>
    </row>
    <row r="55" spans="2:8">
      <c r="B55" s="324" t="s">
        <v>1551</v>
      </c>
      <c r="C55" s="323"/>
      <c r="D55" s="323"/>
      <c r="E55" s="355">
        <f>IFERROR(_xlfn.XLOOKUP(C55,'Preço_Perfis e Fitas LED'!$H$9:$H$33,'Preço_Perfis e Fitas LED'!$G$9:$G$33), 0)</f>
        <v>0</v>
      </c>
      <c r="F55" s="332">
        <f t="shared" si="6"/>
        <v>0</v>
      </c>
      <c r="G55" s="342">
        <f>IFERROR(_xlfn.XLOOKUP(C55,'Preço_Perfis e Fitas LED'!$H$9:$H$33,'Preço_Perfis e Fitas LED'!$F$9:$F$33), 0)</f>
        <v>0</v>
      </c>
      <c r="H55" s="162">
        <f t="shared" si="7"/>
        <v>0</v>
      </c>
    </row>
    <row r="56" spans="2:8">
      <c r="B56" s="324" t="s">
        <v>1551</v>
      </c>
      <c r="C56" s="323"/>
      <c r="D56" s="323"/>
      <c r="E56" s="355">
        <f>IFERROR(_xlfn.XLOOKUP(C56,'Preço_Perfis e Fitas LED'!$H$9:$H$33,'Preço_Perfis e Fitas LED'!$G$9:$G$33), 0)</f>
        <v>0</v>
      </c>
      <c r="F56" s="332">
        <f t="shared" si="6"/>
        <v>0</v>
      </c>
      <c r="G56" s="342">
        <f>IFERROR(_xlfn.XLOOKUP(C56,'Preço_Perfis e Fitas LED'!$H$9:$H$33,'Preço_Perfis e Fitas LED'!$F$9:$F$33), 0)</f>
        <v>0</v>
      </c>
      <c r="H56" s="162">
        <f t="shared" si="7"/>
        <v>0</v>
      </c>
    </row>
    <row r="57" spans="2:8">
      <c r="B57" s="324" t="s">
        <v>1551</v>
      </c>
      <c r="C57" s="323"/>
      <c r="D57" s="323"/>
      <c r="E57" s="355">
        <f>IFERROR(_xlfn.XLOOKUP(C57,'Preço_Perfis e Fitas LED'!$H$9:$H$33,'Preço_Perfis e Fitas LED'!$G$9:$G$33), 0)</f>
        <v>0</v>
      </c>
      <c r="F57" s="332">
        <f t="shared" si="6"/>
        <v>0</v>
      </c>
      <c r="G57" s="342">
        <f>IFERROR(_xlfn.XLOOKUP(C57,'Preço_Perfis e Fitas LED'!$H$9:$H$33,'Preço_Perfis e Fitas LED'!$F$9:$F$33), 0)</f>
        <v>0</v>
      </c>
      <c r="H57" s="162">
        <f t="shared" si="7"/>
        <v>0</v>
      </c>
    </row>
    <row r="58" spans="2:8">
      <c r="B58" s="324" t="s">
        <v>1551</v>
      </c>
      <c r="C58" s="323"/>
      <c r="D58" s="323"/>
      <c r="E58" s="355">
        <f>IFERROR(_xlfn.XLOOKUP(C58,'Preço_Perfis e Fitas LED'!$H$9:$H$33,'Preço_Perfis e Fitas LED'!$G$9:$G$33), 0)</f>
        <v>0</v>
      </c>
      <c r="F58" s="332">
        <f t="shared" si="6"/>
        <v>0</v>
      </c>
      <c r="G58" s="342">
        <f>IFERROR(_xlfn.XLOOKUP(C58,'Preço_Perfis e Fitas LED'!$H$9:$H$33,'Preço_Perfis e Fitas LED'!$F$9:$F$33), 0)</f>
        <v>0</v>
      </c>
      <c r="H58" s="162">
        <f t="shared" si="7"/>
        <v>0</v>
      </c>
    </row>
    <row r="59" spans="2:8" ht="15.75" thickBot="1">
      <c r="B59" s="327" t="s">
        <v>1551</v>
      </c>
      <c r="C59" s="328"/>
      <c r="D59" s="328"/>
      <c r="E59" s="356">
        <f>IFERROR(_xlfn.XLOOKUP(C59,'Preço_Perfis e Fitas LED'!$H$9:$H$33,'Preço_Perfis e Fitas LED'!$G$9:$G$33), 0)</f>
        <v>0</v>
      </c>
      <c r="F59" s="333">
        <f t="shared" si="6"/>
        <v>0</v>
      </c>
      <c r="G59" s="357">
        <f>IFERROR(_xlfn.XLOOKUP(C59,'Preço_Perfis e Fitas LED'!$H$9:$H$33,'Preço_Perfis e Fitas LED'!$F$9:$F$33), 0)</f>
        <v>0</v>
      </c>
      <c r="H59" s="331">
        <f t="shared" si="7"/>
        <v>0</v>
      </c>
    </row>
    <row r="60" spans="2:8">
      <c r="B60" s="324" t="s">
        <v>1569</v>
      </c>
      <c r="C60" s="341"/>
      <c r="D60" s="343"/>
      <c r="E60" s="309">
        <f>IFERROR(_xlfn.XLOOKUP(C60,Preços_Tomadas!$H$7:$H$9,Preços_Tomadas!$G$7:$G$9), 0)</f>
        <v>0</v>
      </c>
      <c r="F60" s="332">
        <f>E60*D60</f>
        <v>0</v>
      </c>
      <c r="G60" s="342">
        <f>IFERROR(_xlfn.XLOOKUP(C60,Preços_Tomadas!$H$7:$H$9,Preços_Tomadas!$F$7:$F$9), 0)</f>
        <v>0</v>
      </c>
      <c r="H60" s="347">
        <f>G60*D60</f>
        <v>0</v>
      </c>
    </row>
    <row r="61" spans="2:8" ht="15.75" thickBot="1">
      <c r="B61" s="327" t="s">
        <v>1569</v>
      </c>
      <c r="C61" s="348"/>
      <c r="D61" s="328"/>
      <c r="E61" s="358">
        <f>IFERROR(_xlfn.XLOOKUP(C61,Preços_Tomadas!$H$7:$H$9,Preços_Tomadas!$G$7:$G$9), 0)</f>
        <v>0</v>
      </c>
      <c r="F61" s="333">
        <f>E61*D61</f>
        <v>0</v>
      </c>
      <c r="G61" s="357">
        <f>IFERROR(_xlfn.XLOOKUP(C61,Preços_Tomadas!$H$7:$H$9,Preços_Tomadas!$F$7:$F$9), 0)</f>
        <v>0</v>
      </c>
      <c r="H61" s="331">
        <f>G61*D61</f>
        <v>0</v>
      </c>
    </row>
    <row r="63" spans="2:8" ht="15.75" thickBot="1"/>
    <row r="64" spans="2:8" ht="15.75" thickBot="1">
      <c r="C64" s="185" t="s">
        <v>1572</v>
      </c>
      <c r="D64" s="359">
        <f>D9+SUM(F20:F61)</f>
        <v>0</v>
      </c>
    </row>
  </sheetData>
  <mergeCells count="9">
    <mergeCell ref="B16:D16"/>
    <mergeCell ref="B17:D17"/>
    <mergeCell ref="B18:H18"/>
    <mergeCell ref="C3:G3"/>
    <mergeCell ref="D4:G4"/>
    <mergeCell ref="D5:G5"/>
    <mergeCell ref="D6:G6"/>
    <mergeCell ref="B13:I13"/>
    <mergeCell ref="B15:D15"/>
  </mergeCells>
  <dataValidations count="1">
    <dataValidation type="list" allowBlank="1" showInputMessage="1" showErrorMessage="1" sqref="D20:D61" xr:uid="{AA4F8A8D-51FB-45B5-917F-CFDFE25D6580}">
      <formula1>"0,1,2,3,4,5,6,7,8,9,10,11,12,13,14,15,16,17,18,19,20,21,22,23,24,25,26,27,28,29,30,31,32,33,34,35,36,37,38,39,40,41,42,43,44,45,46,47,48,49,50,51,52,53,54,55,56,57,58,59,60,61,62,63,64,65,66,67,68,69,70,71,72,73,74,75,76,77,78,79,80,81,82,83,84,85,86,87,"</formula1>
    </dataValidation>
  </dataValidations>
  <printOptions horizontalCentered="1"/>
  <pageMargins left="0.7" right="0.7" top="0.75" bottom="0.75" header="0.3" footer="0.3"/>
  <pageSetup paperSize="9" fitToHeight="0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allowBlank="1" showInputMessage="1" xr:uid="{1612D5C5-B84C-4F4A-A4FF-70D073965E02}">
          <x14:formula1>
            <xm:f>_xlfn.ANCHORARRAY(Preços_Tomadas!$N$1)</xm:f>
          </x14:formula1>
          <xm:sqref>C61</xm:sqref>
        </x14:dataValidation>
        <x14:dataValidation type="list" allowBlank="1" showInputMessage="1" xr:uid="{9F5D9257-C004-41CD-8F8B-49E8C5E60258}">
          <x14:formula1>
            <xm:f>_xlfn.ANCHORARRAY(Preços_Tomadas!$M$1)</xm:f>
          </x14:formula1>
          <xm:sqref>C60</xm:sqref>
        </x14:dataValidation>
        <x14:dataValidation type="list" allowBlank="1" showInputMessage="1" xr:uid="{1E5F4408-3713-492C-95A6-0B975EE3CE75}">
          <x14:formula1>
            <xm:f>_xlfn.ANCHORARRAY('Preço_Perfis e Fitas LED'!$Y$1)</xm:f>
          </x14:formula1>
          <xm:sqref>C59</xm:sqref>
        </x14:dataValidation>
        <x14:dataValidation type="list" allowBlank="1" showInputMessage="1" xr:uid="{B9986D43-5999-4D0D-9032-491720B9D058}">
          <x14:formula1>
            <xm:f>_xlfn.ANCHORARRAY('Preço_Perfis e Fitas LED'!$X$1)</xm:f>
          </x14:formula1>
          <xm:sqref>C58</xm:sqref>
        </x14:dataValidation>
        <x14:dataValidation type="list" allowBlank="1" showInputMessage="1" xr:uid="{9129DF42-2B7D-4C45-87B8-63F1FDF034FF}">
          <x14:formula1>
            <xm:f>_xlfn.ANCHORARRAY('Preço_Perfis e Fitas LED'!$W$1)</xm:f>
          </x14:formula1>
          <xm:sqref>C57</xm:sqref>
        </x14:dataValidation>
        <x14:dataValidation type="list" allowBlank="1" showInputMessage="1" xr:uid="{4BFB004A-9D8A-43D1-81BF-5A8472824880}">
          <x14:formula1>
            <xm:f>_xlfn.ANCHORARRAY('Preço_Perfis e Fitas LED'!$V$1)</xm:f>
          </x14:formula1>
          <xm:sqref>C56</xm:sqref>
        </x14:dataValidation>
        <x14:dataValidation type="list" allowBlank="1" showInputMessage="1" xr:uid="{01309C91-E2D1-4A4F-BF9E-E191F1390F58}">
          <x14:formula1>
            <xm:f>_xlfn.ANCHORARRAY('Preço_Perfis e Fitas LED'!$U$1)</xm:f>
          </x14:formula1>
          <xm:sqref>C55</xm:sqref>
        </x14:dataValidation>
        <x14:dataValidation type="list" allowBlank="1" showInputMessage="1" xr:uid="{071CFEC3-F16F-4F21-9F51-A062DB07948C}">
          <x14:formula1>
            <xm:f>_xlfn.ANCHORARRAY('Preço_Perfis e Fitas LED'!$T$1)</xm:f>
          </x14:formula1>
          <xm:sqref>C54</xm:sqref>
        </x14:dataValidation>
        <x14:dataValidation type="list" allowBlank="1" showInputMessage="1" xr:uid="{DC25F88B-BE1E-4FC5-A3DD-175AAE502DD0}">
          <x14:formula1>
            <xm:f>_xlfn.ANCHORARRAY('Preço_Perfis e Fitas LED'!$S$1)</xm:f>
          </x14:formula1>
          <xm:sqref>C53</xm:sqref>
        </x14:dataValidation>
        <x14:dataValidation type="list" allowBlank="1" showInputMessage="1" xr:uid="{BE539EDF-EF79-4DF0-8503-B2E83DB0BC51}">
          <x14:formula1>
            <xm:f>_xlfn.ANCHORARRAY('Preço_Perfis e Fitas LED'!$R$1)</xm:f>
          </x14:formula1>
          <xm:sqref>C52</xm:sqref>
        </x14:dataValidation>
        <x14:dataValidation type="list" allowBlank="1" showInputMessage="1" xr:uid="{2873E529-F089-4A62-A3E3-11D363C2C738}">
          <x14:formula1>
            <xm:f>_xlfn.ANCHORARRAY('Preço_Perfis e Fitas LED'!$Q$1)</xm:f>
          </x14:formula1>
          <xm:sqref>C51</xm:sqref>
        </x14:dataValidation>
        <x14:dataValidation type="list" allowBlank="1" showInputMessage="1" xr:uid="{35591119-0487-4EF5-A887-6D322F5FB919}">
          <x14:formula1>
            <xm:f>_xlfn.ANCHORARRAY('Preço_Perfis e Fitas LED'!$P$1)</xm:f>
          </x14:formula1>
          <xm:sqref>C50</xm:sqref>
        </x14:dataValidation>
        <x14:dataValidation type="list" allowBlank="1" showInputMessage="1" xr:uid="{896E60B9-9911-4BFA-860E-9E51D64F6DFD}">
          <x14:formula1>
            <xm:f>_xlfn.ANCHORARRAY('Preço_Cestos Lixo'!$Q$1)</xm:f>
          </x14:formula1>
          <xm:sqref>C49</xm:sqref>
        </x14:dataValidation>
        <x14:dataValidation type="list" allowBlank="1" showInputMessage="1" xr:uid="{338EB224-444A-45D9-96BC-91DE73736BD7}">
          <x14:formula1>
            <xm:f>_xlfn.ANCHORARRAY('Preço_Cestos Lixo'!$P$1)</xm:f>
          </x14:formula1>
          <xm:sqref>C48</xm:sqref>
        </x14:dataValidation>
        <x14:dataValidation type="list" allowBlank="1" showInputMessage="1" xr:uid="{3103B844-4220-43D8-91F9-1107189E5F7F}">
          <x14:formula1>
            <xm:f>_xlfn.ANCHORARRAY('Preço_Cestos Lixo'!$O$1)</xm:f>
          </x14:formula1>
          <xm:sqref>C47</xm:sqref>
        </x14:dataValidation>
        <x14:dataValidation type="list" allowBlank="1" showInputMessage="1" xr:uid="{ED1906B5-50E0-4955-9C5F-D5BBE3A77096}">
          <x14:formula1>
            <xm:f>_xlfn.ANCHORARRAY('Preço_Cestos Lixo'!$N$1)</xm:f>
          </x14:formula1>
          <xm:sqref>C46</xm:sqref>
        </x14:dataValidation>
        <x14:dataValidation type="list" allowBlank="1" showInputMessage="1" xr:uid="{67AB8964-D3F4-4F7C-A9F7-80B751D24BDE}">
          <x14:formula1>
            <xm:f>_xlfn.ANCHORARRAY('Preço_Cestos Lixo'!$M$1)</xm:f>
          </x14:formula1>
          <xm:sqref>C45</xm:sqref>
        </x14:dataValidation>
        <x14:dataValidation type="list" allowBlank="1" showInputMessage="1" xr:uid="{5E15AE7D-2EA4-4DCD-ACF7-936745663C47}">
          <x14:formula1>
            <xm:f>_xlfn.ANCHORARRAY('Preço_Acessórios Cozinha'!$Y$1)</xm:f>
          </x14:formula1>
          <xm:sqref>C44</xm:sqref>
        </x14:dataValidation>
        <x14:dataValidation type="list" allowBlank="1" showInputMessage="1" xr:uid="{07E4B090-BF04-4E52-86C9-3C0E80E16438}">
          <x14:formula1>
            <xm:f>_xlfn.ANCHORARRAY('Preço_Acessórios Cozinha'!$X$1)</xm:f>
          </x14:formula1>
          <xm:sqref>C43</xm:sqref>
        </x14:dataValidation>
        <x14:dataValidation type="list" allowBlank="1" showInputMessage="1" xr:uid="{A0DA9026-65FA-41BF-8EF3-35AE370003A4}">
          <x14:formula1>
            <xm:f>_xlfn.ANCHORARRAY('Preço_Acessórios Cozinha'!$W$1)</xm:f>
          </x14:formula1>
          <xm:sqref>C42</xm:sqref>
        </x14:dataValidation>
        <x14:dataValidation type="list" allowBlank="1" showInputMessage="1" xr:uid="{A9363D96-D6E0-4533-83C8-38FC70595B16}">
          <x14:formula1>
            <xm:f>_xlfn.ANCHORARRAY('Preço_Acessórios Cozinha'!$V$1)</xm:f>
          </x14:formula1>
          <xm:sqref>C41</xm:sqref>
        </x14:dataValidation>
        <x14:dataValidation type="list" allowBlank="1" showInputMessage="1" xr:uid="{57ABFEEE-E559-4239-8061-EA49AAB6DE7C}">
          <x14:formula1>
            <xm:f>_xlfn.ANCHORARRAY('Preço_Acessórios Cozinha'!$U$1)</xm:f>
          </x14:formula1>
          <xm:sqref>C40</xm:sqref>
        </x14:dataValidation>
        <x14:dataValidation type="list" allowBlank="1" showInputMessage="1" xr:uid="{97A5387D-964C-4AA5-917C-C249EE30896F}">
          <x14:formula1>
            <xm:f>_xlfn.ANCHORARRAY('Preço_Acessórios Cozinha'!$T$1)</xm:f>
          </x14:formula1>
          <xm:sqref>C39</xm:sqref>
        </x14:dataValidation>
        <x14:dataValidation type="list" allowBlank="1" showInputMessage="1" xr:uid="{133AAF9A-FF55-481D-B2E5-3E51CE84A9FA}">
          <x14:formula1>
            <xm:f>_xlfn.ANCHORARRAY('Preço_Acessórios Cozinha'!$S$1)</xm:f>
          </x14:formula1>
          <xm:sqref>C38</xm:sqref>
        </x14:dataValidation>
        <x14:dataValidation type="list" allowBlank="1" showInputMessage="1" xr:uid="{B65162E7-2519-4FB1-BF4D-B724ED30F728}">
          <x14:formula1>
            <xm:f>_xlfn.ANCHORARRAY('Preço_Acessórios Cozinha'!$R$1)</xm:f>
          </x14:formula1>
          <xm:sqref>C37</xm:sqref>
        </x14:dataValidation>
        <x14:dataValidation type="list" allowBlank="1" showInputMessage="1" xr:uid="{90B176F6-72D5-46AE-95FD-9B96B81A6F80}">
          <x14:formula1>
            <xm:f>_xlfn.ANCHORARRAY('Preço_Acessórios Cozinha'!$Q$1)</xm:f>
          </x14:formula1>
          <xm:sqref>C36</xm:sqref>
        </x14:dataValidation>
        <x14:dataValidation type="list" allowBlank="1" showInputMessage="1" xr:uid="{174507E8-308B-495B-B0CF-30C09A1FB30B}">
          <x14:formula1>
            <xm:f>_xlfn.ANCHORARRAY('Preço_Acessórios Cozinha'!$P$1)</xm:f>
          </x14:formula1>
          <xm:sqref>C35</xm:sqref>
        </x14:dataValidation>
        <x14:dataValidation type="list" allowBlank="1" showInputMessage="1" xr:uid="{E71F5DA2-1349-4B8C-9B4E-4EEC450BBF4B}">
          <x14:formula1>
            <xm:f>_xlfn.ANCHORARRAY(Preço_Rodapés!$Y$1)</xm:f>
          </x14:formula1>
          <xm:sqref>C34</xm:sqref>
        </x14:dataValidation>
        <x14:dataValidation type="list" allowBlank="1" showInputMessage="1" xr:uid="{7ABED926-82E2-4EE8-94F2-59DD227311E7}">
          <x14:formula1>
            <xm:f>_xlfn.ANCHORARRAY(Preço_Rodapés!$X$1)</xm:f>
          </x14:formula1>
          <xm:sqref>C33</xm:sqref>
        </x14:dataValidation>
        <x14:dataValidation type="list" allowBlank="1" showInputMessage="1" xr:uid="{77E81A42-7924-439B-80EC-35D2EDDB0741}">
          <x14:formula1>
            <xm:f>_xlfn.ANCHORARRAY(Preço_Rodapés!$W$1)</xm:f>
          </x14:formula1>
          <xm:sqref>C32</xm:sqref>
        </x14:dataValidation>
        <x14:dataValidation type="list" allowBlank="1" showInputMessage="1" xr:uid="{546AA179-4E87-44ED-9F09-A5DE4030419D}">
          <x14:formula1>
            <xm:f>_xlfn.ANCHORARRAY(Preço_Rodapés!$V$1)</xm:f>
          </x14:formula1>
          <xm:sqref>C31</xm:sqref>
        </x14:dataValidation>
        <x14:dataValidation type="list" allowBlank="1" showInputMessage="1" xr:uid="{5958A680-AAC1-4A04-8975-35D41F4B5D76}">
          <x14:formula1>
            <xm:f>_xlfn.ANCHORARRAY(Preço_Rodapés!$U$1)</xm:f>
          </x14:formula1>
          <xm:sqref>C30</xm:sqref>
        </x14:dataValidation>
        <x14:dataValidation type="list" allowBlank="1" showInputMessage="1" xr:uid="{1D407791-5BC8-4193-B04D-C8ED226F119D}">
          <x14:formula1>
            <xm:f>_xlfn.ANCHORARRAY(Preço_Puxadores!$AI$1)</xm:f>
          </x14:formula1>
          <xm:sqref>C29</xm:sqref>
        </x14:dataValidation>
        <x14:dataValidation type="list" allowBlank="1" showInputMessage="1" xr:uid="{AB0EC30E-663B-4D03-86A9-8B3FFDCFB815}">
          <x14:formula1>
            <xm:f>_xlfn.ANCHORARRAY(Preço_Puxadores!$AH$1)</xm:f>
          </x14:formula1>
          <xm:sqref>C28</xm:sqref>
        </x14:dataValidation>
        <x14:dataValidation type="list" allowBlank="1" showInputMessage="1" xr:uid="{59B05057-693E-498A-8831-5EF16C7C4A87}">
          <x14:formula1>
            <xm:f>_xlfn.ANCHORARRAY(Preço_Puxadores!$AG$1)</xm:f>
          </x14:formula1>
          <xm:sqref>C27</xm:sqref>
        </x14:dataValidation>
        <x14:dataValidation type="list" allowBlank="1" showInputMessage="1" xr:uid="{B1F9BFB2-4977-4CD3-B85B-5ACAABC52E34}">
          <x14:formula1>
            <xm:f>_xlfn.ANCHORARRAY(Preço_Puxadores!$AF$1)</xm:f>
          </x14:formula1>
          <xm:sqref>C26</xm:sqref>
        </x14:dataValidation>
        <x14:dataValidation type="list" allowBlank="1" showInputMessage="1" xr:uid="{69050C6A-E5FE-4F23-A0F1-79F983695580}">
          <x14:formula1>
            <xm:f>_xlfn.ANCHORARRAY(Preço_Puxadores!$AE$1)</xm:f>
          </x14:formula1>
          <xm:sqref>C25</xm:sqref>
        </x14:dataValidation>
        <x14:dataValidation type="list" allowBlank="1" showInputMessage="1" xr:uid="{0013CACA-392C-46D9-8905-FE7BAAB4FD70}">
          <x14:formula1>
            <xm:f>_xlfn.ANCHORARRAY(Preço_Puxadores!$AD$1)</xm:f>
          </x14:formula1>
          <xm:sqref>C24</xm:sqref>
        </x14:dataValidation>
        <x14:dataValidation type="list" allowBlank="1" showInputMessage="1" xr:uid="{ADFB95D3-CA8D-4AED-8FBA-AA2873D2D6C4}">
          <x14:formula1>
            <xm:f>_xlfn.ANCHORARRAY(Preço_Puxadores!$AC$1)</xm:f>
          </x14:formula1>
          <xm:sqref>C23</xm:sqref>
        </x14:dataValidation>
        <x14:dataValidation type="list" allowBlank="1" showInputMessage="1" xr:uid="{A0E0E325-806F-4CE6-B9D7-38F8AE4B2E5D}">
          <x14:formula1>
            <xm:f>_xlfn.ANCHORARRAY(Preço_Puxadores!$AB$1)</xm:f>
          </x14:formula1>
          <xm:sqref>C22</xm:sqref>
        </x14:dataValidation>
        <x14:dataValidation type="list" allowBlank="1" showInputMessage="1" xr:uid="{4F2E861E-D8E9-4E3E-B8E6-BE0B6F3127D6}">
          <x14:formula1>
            <xm:f>_xlfn.ANCHORARRAY(Preço_Puxadores!$AA$1)</xm:f>
          </x14:formula1>
          <xm:sqref>C21</xm:sqref>
        </x14:dataValidation>
        <x14:dataValidation type="list" allowBlank="1" showInputMessage="1" xr:uid="{C32B77B6-967D-4ABB-914D-E2E5F53B336F}">
          <x14:formula1>
            <xm:f>_xlfn.ANCHORARRAY(Preço_Puxadores!$Z$1)</xm:f>
          </x14:formula1>
          <xm:sqref>C20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A7AF9-844A-4A6E-9532-941EB8571F3F}">
  <sheetPr codeName="Folha1">
    <tabColor theme="7" tint="0.59999389629810485"/>
    <pageSetUpPr fitToPage="1"/>
  </sheetPr>
  <dimension ref="B1:Z191"/>
  <sheetViews>
    <sheetView showGridLines="0" topLeftCell="A151" zoomScale="85" zoomScaleNormal="85" workbookViewId="0">
      <selection activeCell="E11" sqref="E11"/>
    </sheetView>
  </sheetViews>
  <sheetFormatPr defaultRowHeight="15"/>
  <cols>
    <col min="2" max="2" width="29.28515625" customWidth="1"/>
    <col min="3" max="3" width="74" customWidth="1"/>
    <col min="4" max="4" width="27.42578125" customWidth="1"/>
    <col min="5" max="5" width="49.7109375" customWidth="1"/>
    <col min="6" max="6" width="25.140625" customWidth="1"/>
    <col min="11" max="11" width="15.42578125" customWidth="1"/>
  </cols>
  <sheetData>
    <row r="1" spans="2:26" ht="15.75" customHeight="1">
      <c r="Z1" t="str" cm="1">
        <f t="array" aca="1" ref="Z1" ca="1">_xlfn._xlws.FILTER('Preços_Placas &amp; Seccionadora'!$M$73:$M$146, ISNUMBER(PESQUISA(E123, 'Preços_Placas &amp; Seccionadora'!$M$73:$M$146)), "Sem resultados")</f>
        <v>Sem resultados</v>
      </c>
    </row>
    <row r="7" spans="2:26" ht="21.75" thickBot="1">
      <c r="B7" s="441"/>
      <c r="C7" s="441"/>
      <c r="D7" s="365">
        <v>1</v>
      </c>
    </row>
    <row r="8" spans="2:26" ht="15.75" thickBot="1">
      <c r="B8" s="190"/>
      <c r="C8" s="184"/>
      <c r="D8" s="184"/>
      <c r="E8" s="184"/>
      <c r="F8" s="184"/>
      <c r="G8" s="52"/>
    </row>
    <row r="9" spans="2:26" ht="15.75" thickBot="1">
      <c r="B9" s="67" t="s">
        <v>1336</v>
      </c>
      <c r="C9" s="381">
        <v>1</v>
      </c>
      <c r="D9" s="366" t="s">
        <v>1412</v>
      </c>
      <c r="G9" s="53"/>
    </row>
    <row r="10" spans="2:26" ht="15.75" thickBot="1">
      <c r="B10" s="49"/>
      <c r="G10" s="53"/>
    </row>
    <row r="11" spans="2:26" ht="26.25">
      <c r="B11" s="49"/>
      <c r="C11" s="255" t="s">
        <v>149</v>
      </c>
      <c r="D11" s="178" t="s">
        <v>17</v>
      </c>
      <c r="E11" s="382">
        <v>1</v>
      </c>
      <c r="F11" s="445" t="s">
        <v>1400</v>
      </c>
      <c r="G11" s="53"/>
    </row>
    <row r="12" spans="2:26" ht="17.25" customHeight="1">
      <c r="B12" s="49"/>
      <c r="C12" s="213"/>
      <c r="D12" s="367"/>
      <c r="E12" s="368"/>
      <c r="F12" s="446"/>
      <c r="G12" s="53"/>
    </row>
    <row r="13" spans="2:26">
      <c r="B13" s="49"/>
      <c r="C13" s="181"/>
      <c r="D13" s="367" t="s">
        <v>152</v>
      </c>
      <c r="E13" s="383" t="s">
        <v>1435</v>
      </c>
      <c r="F13" s="180"/>
      <c r="G13" s="53"/>
    </row>
    <row r="14" spans="2:26">
      <c r="B14" s="49"/>
      <c r="C14" s="181"/>
      <c r="D14" s="367"/>
      <c r="E14" s="368"/>
      <c r="F14" s="180"/>
      <c r="G14" s="53"/>
    </row>
    <row r="15" spans="2:26">
      <c r="B15" s="49"/>
      <c r="C15" s="181"/>
      <c r="D15" s="367" t="s">
        <v>1337</v>
      </c>
      <c r="E15" s="383" t="s">
        <v>664</v>
      </c>
      <c r="F15" s="180"/>
      <c r="G15" s="53"/>
    </row>
    <row r="16" spans="2:26">
      <c r="B16" s="49"/>
      <c r="C16" s="181"/>
      <c r="D16" s="368"/>
      <c r="E16" s="368"/>
      <c r="F16" s="180"/>
      <c r="G16" s="53"/>
    </row>
    <row r="17" spans="2:7">
      <c r="B17" s="49"/>
      <c r="C17" s="181"/>
      <c r="D17" s="367" t="s">
        <v>1339</v>
      </c>
      <c r="E17" s="383" t="s">
        <v>1357</v>
      </c>
      <c r="F17" s="180"/>
      <c r="G17" s="53"/>
    </row>
    <row r="18" spans="2:7">
      <c r="B18" s="49"/>
      <c r="C18" s="181"/>
      <c r="D18" s="368"/>
      <c r="E18" s="368"/>
      <c r="F18" s="180"/>
      <c r="G18" s="53"/>
    </row>
    <row r="19" spans="2:7">
      <c r="B19" s="49"/>
      <c r="C19" s="181"/>
      <c r="D19" s="367" t="s">
        <v>1576</v>
      </c>
      <c r="E19" s="383" t="s">
        <v>1383</v>
      </c>
      <c r="F19" s="180"/>
      <c r="G19" s="53"/>
    </row>
    <row r="20" spans="2:7">
      <c r="B20" s="49"/>
      <c r="C20" s="181"/>
      <c r="D20" s="368"/>
      <c r="E20" s="368"/>
      <c r="F20" s="180"/>
      <c r="G20" s="53"/>
    </row>
    <row r="21" spans="2:7">
      <c r="B21" s="49"/>
      <c r="C21" s="181"/>
      <c r="D21" s="367" t="s">
        <v>1380</v>
      </c>
      <c r="E21" s="383" t="s">
        <v>1383</v>
      </c>
      <c r="F21" s="180"/>
      <c r="G21" s="53"/>
    </row>
    <row r="22" spans="2:7">
      <c r="B22" s="49"/>
      <c r="C22" s="181"/>
      <c r="D22" s="368"/>
      <c r="E22" s="368"/>
      <c r="F22" s="180"/>
      <c r="G22" s="53"/>
    </row>
    <row r="23" spans="2:7">
      <c r="B23" s="49"/>
      <c r="C23" s="181"/>
      <c r="D23" s="367" t="s">
        <v>1535</v>
      </c>
      <c r="E23" s="383" t="s">
        <v>1345</v>
      </c>
      <c r="F23" s="180"/>
      <c r="G23" s="53"/>
    </row>
    <row r="24" spans="2:7">
      <c r="B24" s="49"/>
      <c r="C24" s="181"/>
      <c r="D24" s="368"/>
      <c r="E24" s="368"/>
      <c r="F24" s="180"/>
      <c r="G24" s="53"/>
    </row>
    <row r="25" spans="2:7">
      <c r="B25" s="49"/>
      <c r="C25" s="189" t="s">
        <v>18</v>
      </c>
      <c r="D25" s="369" t="s">
        <v>19</v>
      </c>
      <c r="E25" s="369" t="s">
        <v>20</v>
      </c>
      <c r="F25" s="182" t="s">
        <v>21</v>
      </c>
      <c r="G25" s="53"/>
    </row>
    <row r="26" spans="2:7" ht="15.75" thickBot="1">
      <c r="B26" s="49"/>
      <c r="C26" s="183"/>
      <c r="D26" s="384">
        <v>15</v>
      </c>
      <c r="E26" s="384">
        <v>78</v>
      </c>
      <c r="F26" s="385">
        <v>60</v>
      </c>
      <c r="G26" s="53"/>
    </row>
    <row r="27" spans="2:7">
      <c r="B27" s="49"/>
      <c r="G27" s="53"/>
    </row>
    <row r="28" spans="2:7">
      <c r="B28" s="49"/>
      <c r="C28" s="185" t="s">
        <v>1316</v>
      </c>
      <c r="D28" s="442" t="s">
        <v>1437</v>
      </c>
      <c r="E28" s="442"/>
      <c r="F28" s="442"/>
      <c r="G28" s="53"/>
    </row>
    <row r="29" spans="2:7">
      <c r="B29" s="49"/>
      <c r="C29" s="185"/>
      <c r="D29" s="5"/>
      <c r="E29" s="5"/>
      <c r="F29" s="5"/>
      <c r="G29" s="53"/>
    </row>
    <row r="30" spans="2:7">
      <c r="B30" s="49"/>
      <c r="C30" s="185" t="s">
        <v>1326</v>
      </c>
      <c r="D30" s="442" t="s">
        <v>1300</v>
      </c>
      <c r="E30" s="442"/>
      <c r="F30" s="442"/>
      <c r="G30" s="53"/>
    </row>
    <row r="31" spans="2:7">
      <c r="B31" s="49"/>
      <c r="G31" s="53"/>
    </row>
    <row r="32" spans="2:7">
      <c r="B32" s="49"/>
      <c r="C32" s="185" t="s">
        <v>1533</v>
      </c>
      <c r="D32" s="442" t="s">
        <v>58</v>
      </c>
      <c r="E32" s="442"/>
      <c r="F32" s="442"/>
      <c r="G32" s="53"/>
    </row>
    <row r="33" spans="2:7">
      <c r="B33" s="49"/>
      <c r="G33" s="53"/>
    </row>
    <row r="34" spans="2:7">
      <c r="B34" s="49"/>
      <c r="C34" s="185" t="s">
        <v>1577</v>
      </c>
      <c r="D34" s="449">
        <v>0</v>
      </c>
      <c r="E34" s="449"/>
      <c r="F34" s="449"/>
      <c r="G34" s="53"/>
    </row>
    <row r="35" spans="2:7">
      <c r="B35" s="49"/>
      <c r="G35" s="53"/>
    </row>
    <row r="36" spans="2:7">
      <c r="B36" s="49"/>
      <c r="C36" s="185" t="s">
        <v>1534</v>
      </c>
      <c r="D36" s="449">
        <v>1</v>
      </c>
      <c r="E36" s="449"/>
      <c r="F36" s="449"/>
      <c r="G36" s="53"/>
    </row>
    <row r="37" spans="2:7">
      <c r="B37" s="49"/>
      <c r="G37" s="53"/>
    </row>
    <row r="38" spans="2:7">
      <c r="B38" s="49"/>
      <c r="C38" s="185" t="s">
        <v>1578</v>
      </c>
      <c r="D38" s="449">
        <v>0</v>
      </c>
      <c r="E38" s="449"/>
      <c r="F38" s="449"/>
      <c r="G38" s="53"/>
    </row>
    <row r="39" spans="2:7" ht="15.75" thickBot="1">
      <c r="B39" s="49"/>
      <c r="G39" s="53"/>
    </row>
    <row r="40" spans="2:7" ht="21">
      <c r="B40" s="49"/>
      <c r="C40" s="235" t="s">
        <v>1398</v>
      </c>
      <c r="D40" s="184"/>
      <c r="E40" s="236" t="s">
        <v>1384</v>
      </c>
      <c r="F40" s="52"/>
      <c r="G40" s="53"/>
    </row>
    <row r="41" spans="2:7">
      <c r="B41" s="49"/>
      <c r="C41" s="67" t="s">
        <v>1565</v>
      </c>
      <c r="D41" s="383" t="s">
        <v>1555</v>
      </c>
      <c r="E41" s="387">
        <v>0</v>
      </c>
      <c r="F41" s="53"/>
      <c r="G41" s="53"/>
    </row>
    <row r="42" spans="2:7">
      <c r="B42" s="49"/>
      <c r="C42" s="67"/>
      <c r="F42" s="53"/>
      <c r="G42" s="53"/>
    </row>
    <row r="43" spans="2:7">
      <c r="B43" s="49"/>
      <c r="C43" s="67" t="s">
        <v>1565</v>
      </c>
      <c r="D43" s="383" t="s">
        <v>1330</v>
      </c>
      <c r="E43" s="387">
        <v>0</v>
      </c>
      <c r="F43" s="53"/>
      <c r="G43" s="53"/>
    </row>
    <row r="44" spans="2:7">
      <c r="B44" s="49"/>
      <c r="C44" s="67"/>
      <c r="F44" s="53"/>
      <c r="G44" s="53"/>
    </row>
    <row r="45" spans="2:7">
      <c r="B45" s="49"/>
      <c r="C45" s="67" t="s">
        <v>1566</v>
      </c>
      <c r="D45" s="383" t="s">
        <v>34</v>
      </c>
      <c r="E45" s="387">
        <v>0</v>
      </c>
      <c r="F45" s="53"/>
      <c r="G45" s="53"/>
    </row>
    <row r="46" spans="2:7">
      <c r="B46" s="49"/>
      <c r="C46" s="67"/>
      <c r="F46" s="53"/>
      <c r="G46" s="53"/>
    </row>
    <row r="47" spans="2:7">
      <c r="B47" s="49"/>
      <c r="C47" s="67" t="s">
        <v>1566</v>
      </c>
      <c r="D47" s="383"/>
      <c r="E47" s="387"/>
      <c r="F47" s="53"/>
      <c r="G47" s="53"/>
    </row>
    <row r="48" spans="2:7" ht="15.75" thickBot="1">
      <c r="B48" s="49"/>
      <c r="C48" s="70"/>
      <c r="D48" s="187"/>
      <c r="E48" s="187"/>
      <c r="F48" s="188"/>
      <c r="G48" s="53"/>
    </row>
    <row r="49" spans="2:7">
      <c r="B49" s="49"/>
      <c r="C49" s="185"/>
      <c r="G49" s="53"/>
    </row>
    <row r="50" spans="2:7">
      <c r="B50" s="49"/>
      <c r="C50" s="86" t="s">
        <v>181</v>
      </c>
      <c r="D50" s="87">
        <f>Caixote_Custo!E74</f>
        <v>411.68904948148162</v>
      </c>
      <c r="E50" s="208" t="s">
        <v>186</v>
      </c>
      <c r="F50" s="88">
        <f>Caixote_Custo!E149</f>
        <v>1144.4530791111113</v>
      </c>
      <c r="G50" s="53"/>
    </row>
    <row r="51" spans="2:7">
      <c r="B51" s="49"/>
      <c r="C51" s="6"/>
      <c r="D51" s="212"/>
      <c r="G51" s="53"/>
    </row>
    <row r="52" spans="2:7">
      <c r="B52" s="49"/>
      <c r="C52" s="81" t="s">
        <v>180</v>
      </c>
      <c r="D52" s="210">
        <f>Caixote_Custo!E75</f>
        <v>37.052014453333342</v>
      </c>
      <c r="E52" s="185" t="s">
        <v>148</v>
      </c>
      <c r="F52" s="82">
        <f>Caixote_Custo!E150</f>
        <v>103.00077712000001</v>
      </c>
      <c r="G52" s="53"/>
    </row>
    <row r="53" spans="2:7" ht="15.75" thickBot="1">
      <c r="B53" s="49"/>
      <c r="C53" s="62"/>
      <c r="D53" s="210"/>
      <c r="E53" s="57"/>
      <c r="F53" s="82"/>
      <c r="G53" s="53"/>
    </row>
    <row r="54" spans="2:7" ht="16.5" thickTop="1" thickBot="1">
      <c r="B54" s="49"/>
      <c r="C54" s="6"/>
      <c r="D54" s="234">
        <f>Caixote_Custo!E77</f>
        <v>37.052014453333342</v>
      </c>
      <c r="E54" s="185" t="s">
        <v>147</v>
      </c>
      <c r="F54" s="233">
        <f>Caixote_Custo!E152</f>
        <v>103.00077712000001</v>
      </c>
      <c r="G54" s="53"/>
    </row>
    <row r="55" spans="2:7">
      <c r="B55" s="49"/>
      <c r="G55" s="53"/>
    </row>
    <row r="56" spans="2:7" ht="15.75" thickBot="1">
      <c r="B56" s="51"/>
      <c r="C56" s="187"/>
      <c r="D56" s="187"/>
      <c r="E56" s="187"/>
      <c r="F56" s="187"/>
      <c r="G56" s="188"/>
    </row>
    <row r="57" spans="2:7" ht="15.75">
      <c r="B57" s="443"/>
      <c r="C57" s="444"/>
    </row>
    <row r="63" spans="2:7" ht="21.75" thickBot="1">
      <c r="B63" s="441"/>
      <c r="C63" s="441"/>
      <c r="D63" s="365">
        <v>1</v>
      </c>
    </row>
    <row r="64" spans="2:7" ht="15.75" thickBot="1">
      <c r="B64" s="190"/>
      <c r="C64" s="184"/>
      <c r="D64" s="184"/>
      <c r="E64" s="184"/>
      <c r="F64" s="184"/>
      <c r="G64" s="52"/>
    </row>
    <row r="65" spans="2:7" ht="15.75" thickBot="1">
      <c r="B65" s="67" t="s">
        <v>1336</v>
      </c>
      <c r="C65" s="381">
        <v>1</v>
      </c>
      <c r="D65" s="366" t="s">
        <v>1412</v>
      </c>
      <c r="G65" s="53"/>
    </row>
    <row r="66" spans="2:7" ht="15.75" thickBot="1">
      <c r="B66" s="49"/>
      <c r="G66" s="53"/>
    </row>
    <row r="67" spans="2:7" ht="26.25">
      <c r="B67" s="49"/>
      <c r="C67" s="256" t="s">
        <v>151</v>
      </c>
      <c r="D67" s="214" t="s">
        <v>17</v>
      </c>
      <c r="E67" s="388">
        <v>2</v>
      </c>
      <c r="F67" s="215"/>
      <c r="G67" s="53"/>
    </row>
    <row r="68" spans="2:7" ht="19.5" customHeight="1">
      <c r="B68" s="49"/>
      <c r="C68" s="216"/>
      <c r="D68" s="370"/>
      <c r="E68" s="371"/>
      <c r="F68" s="217"/>
      <c r="G68" s="53"/>
    </row>
    <row r="69" spans="2:7" ht="18.75">
      <c r="B69" s="49"/>
      <c r="C69" s="218"/>
      <c r="D69" s="370" t="s">
        <v>152</v>
      </c>
      <c r="E69" s="389" t="s">
        <v>1501</v>
      </c>
      <c r="F69" s="217"/>
      <c r="G69" s="53"/>
    </row>
    <row r="70" spans="2:7">
      <c r="B70" s="49"/>
      <c r="C70" s="219"/>
      <c r="D70" s="371"/>
      <c r="E70" s="371"/>
      <c r="F70" s="217"/>
      <c r="G70" s="53"/>
    </row>
    <row r="71" spans="2:7">
      <c r="B71" s="49"/>
      <c r="C71" s="219"/>
      <c r="D71" s="370" t="s">
        <v>1337</v>
      </c>
      <c r="E71" s="390" t="s">
        <v>1300</v>
      </c>
      <c r="F71" s="217"/>
      <c r="G71" s="53"/>
    </row>
    <row r="72" spans="2:7">
      <c r="B72" s="49"/>
      <c r="C72" s="219"/>
      <c r="D72" s="371"/>
      <c r="E72" s="371"/>
      <c r="F72" s="217"/>
      <c r="G72" s="53"/>
    </row>
    <row r="73" spans="2:7">
      <c r="B73" s="49"/>
      <c r="C73" s="219"/>
      <c r="D73" s="370" t="s">
        <v>1338</v>
      </c>
      <c r="E73" s="390" t="s">
        <v>1360</v>
      </c>
      <c r="F73" s="217"/>
      <c r="G73" s="53"/>
    </row>
    <row r="74" spans="2:7">
      <c r="B74" s="49"/>
      <c r="C74" s="219"/>
      <c r="D74" s="371"/>
      <c r="E74" s="371"/>
      <c r="F74" s="217"/>
      <c r="G74" s="53"/>
    </row>
    <row r="75" spans="2:7">
      <c r="B75" s="49"/>
      <c r="C75" s="219"/>
      <c r="D75" s="367" t="s">
        <v>1576</v>
      </c>
      <c r="E75" s="390" t="s">
        <v>1383</v>
      </c>
      <c r="F75" s="217"/>
      <c r="G75" s="53"/>
    </row>
    <row r="76" spans="2:7">
      <c r="B76" s="49"/>
      <c r="C76" s="219"/>
      <c r="D76" s="368"/>
      <c r="E76" s="371"/>
      <c r="F76" s="217"/>
      <c r="G76" s="53"/>
    </row>
    <row r="77" spans="2:7">
      <c r="B77" s="49"/>
      <c r="C77" s="219"/>
      <c r="D77" s="367" t="s">
        <v>1380</v>
      </c>
      <c r="E77" s="390" t="s">
        <v>1383</v>
      </c>
      <c r="F77" s="217"/>
      <c r="G77" s="53"/>
    </row>
    <row r="78" spans="2:7">
      <c r="B78" s="49"/>
      <c r="C78" s="219"/>
      <c r="D78" s="371"/>
      <c r="E78" s="391"/>
      <c r="F78" s="217"/>
      <c r="G78" s="53"/>
    </row>
    <row r="79" spans="2:7">
      <c r="B79" s="49"/>
      <c r="C79" s="219"/>
      <c r="D79" s="367" t="s">
        <v>1535</v>
      </c>
      <c r="E79" s="390" t="s">
        <v>1345</v>
      </c>
      <c r="F79" s="217"/>
      <c r="G79" s="53"/>
    </row>
    <row r="80" spans="2:7">
      <c r="B80" s="49"/>
      <c r="C80" s="219"/>
      <c r="D80" s="371"/>
      <c r="E80" s="371"/>
      <c r="F80" s="217"/>
      <c r="G80" s="53"/>
    </row>
    <row r="81" spans="2:7">
      <c r="B81" s="49"/>
      <c r="C81" s="222" t="s">
        <v>18</v>
      </c>
      <c r="D81" s="372" t="s">
        <v>19</v>
      </c>
      <c r="E81" s="372" t="s">
        <v>20</v>
      </c>
      <c r="F81" s="220" t="s">
        <v>21</v>
      </c>
      <c r="G81" s="53"/>
    </row>
    <row r="82" spans="2:7" ht="15.75" thickBot="1">
      <c r="B82" s="49"/>
      <c r="C82" s="221"/>
      <c r="D82" s="392">
        <v>90</v>
      </c>
      <c r="E82" s="392">
        <v>100</v>
      </c>
      <c r="F82" s="393">
        <v>40</v>
      </c>
      <c r="G82" s="53"/>
    </row>
    <row r="83" spans="2:7">
      <c r="B83" s="49"/>
      <c r="G83" s="53"/>
    </row>
    <row r="84" spans="2:7">
      <c r="B84" s="49"/>
      <c r="C84" s="185" t="s">
        <v>1316</v>
      </c>
      <c r="D84" s="442" t="s">
        <v>1437</v>
      </c>
      <c r="E84" s="442"/>
      <c r="F84" s="442"/>
      <c r="G84" s="53"/>
    </row>
    <row r="85" spans="2:7">
      <c r="B85" s="49"/>
      <c r="G85" s="53"/>
    </row>
    <row r="86" spans="2:7">
      <c r="B86" s="49"/>
      <c r="C86" s="185" t="s">
        <v>1326</v>
      </c>
      <c r="D86" s="442" t="s">
        <v>1300</v>
      </c>
      <c r="E86" s="442"/>
      <c r="F86" s="442"/>
      <c r="G86" s="53"/>
    </row>
    <row r="87" spans="2:7">
      <c r="B87" s="49"/>
      <c r="G87" s="53"/>
    </row>
    <row r="88" spans="2:7">
      <c r="B88" s="49"/>
      <c r="C88" s="185" t="s">
        <v>1533</v>
      </c>
      <c r="D88" s="442" t="s">
        <v>61</v>
      </c>
      <c r="E88" s="442"/>
      <c r="F88" s="442"/>
      <c r="G88" s="53"/>
    </row>
    <row r="89" spans="2:7">
      <c r="B89" s="49"/>
      <c r="G89" s="53"/>
    </row>
    <row r="90" spans="2:7">
      <c r="B90" s="49"/>
      <c r="C90" s="185" t="s">
        <v>1577</v>
      </c>
      <c r="D90" s="449">
        <v>1</v>
      </c>
      <c r="E90" s="449"/>
      <c r="F90" s="449"/>
      <c r="G90" s="53"/>
    </row>
    <row r="91" spans="2:7">
      <c r="B91" s="49"/>
      <c r="G91" s="53"/>
    </row>
    <row r="92" spans="2:7">
      <c r="B92" s="49"/>
      <c r="C92" s="185" t="s">
        <v>1534</v>
      </c>
      <c r="D92" s="449">
        <v>1</v>
      </c>
      <c r="E92" s="449"/>
      <c r="F92" s="449"/>
      <c r="G92" s="53"/>
    </row>
    <row r="93" spans="2:7">
      <c r="B93" s="49"/>
      <c r="G93" s="53"/>
    </row>
    <row r="94" spans="2:7">
      <c r="B94" s="49"/>
      <c r="C94" s="185" t="s">
        <v>1578</v>
      </c>
      <c r="D94" s="450">
        <v>0</v>
      </c>
      <c r="E94" s="451"/>
      <c r="F94" s="452"/>
      <c r="G94" s="53"/>
    </row>
    <row r="95" spans="2:7" ht="15.75" thickBot="1">
      <c r="B95" s="49"/>
      <c r="C95" s="185"/>
      <c r="G95" s="53"/>
    </row>
    <row r="96" spans="2:7" ht="21">
      <c r="B96" s="49"/>
      <c r="C96" s="235" t="s">
        <v>1399</v>
      </c>
      <c r="D96" s="184"/>
      <c r="E96" s="236" t="s">
        <v>1384</v>
      </c>
      <c r="F96" s="52"/>
      <c r="G96" s="53"/>
    </row>
    <row r="97" spans="2:7">
      <c r="B97" s="49"/>
      <c r="C97" s="67" t="s">
        <v>1565</v>
      </c>
      <c r="D97" s="383" t="s">
        <v>1330</v>
      </c>
      <c r="E97" s="387">
        <v>0</v>
      </c>
      <c r="F97" s="53"/>
      <c r="G97" s="53"/>
    </row>
    <row r="98" spans="2:7">
      <c r="B98" s="49"/>
      <c r="C98" s="67"/>
      <c r="F98" s="53"/>
      <c r="G98" s="53"/>
    </row>
    <row r="99" spans="2:7">
      <c r="B99" s="49"/>
      <c r="C99" s="67" t="s">
        <v>1565</v>
      </c>
      <c r="D99" s="383"/>
      <c r="E99" s="387"/>
      <c r="F99" s="53"/>
      <c r="G99" s="53"/>
    </row>
    <row r="100" spans="2:7">
      <c r="B100" s="49"/>
      <c r="C100" s="67"/>
      <c r="F100" s="53"/>
      <c r="G100" s="53"/>
    </row>
    <row r="101" spans="2:7">
      <c r="B101" s="49"/>
      <c r="C101" s="67" t="s">
        <v>1566</v>
      </c>
      <c r="D101" s="383" t="s">
        <v>34</v>
      </c>
      <c r="E101" s="387">
        <v>0</v>
      </c>
      <c r="F101" s="53"/>
      <c r="G101" s="53"/>
    </row>
    <row r="102" spans="2:7">
      <c r="B102" s="49"/>
      <c r="C102" s="67"/>
      <c r="F102" s="53"/>
      <c r="G102" s="53"/>
    </row>
    <row r="103" spans="2:7">
      <c r="B103" s="49"/>
      <c r="C103" s="67" t="s">
        <v>1566</v>
      </c>
      <c r="D103" s="383"/>
      <c r="E103" s="387"/>
      <c r="F103" s="53"/>
      <c r="G103" s="53"/>
    </row>
    <row r="104" spans="2:7" ht="15.75" thickBot="1">
      <c r="B104" s="49"/>
      <c r="C104" s="70"/>
      <c r="D104" s="187"/>
      <c r="E104" s="187"/>
      <c r="F104" s="188"/>
      <c r="G104" s="53"/>
    </row>
    <row r="105" spans="2:7">
      <c r="B105" s="49"/>
      <c r="C105" s="185"/>
      <c r="G105" s="53"/>
    </row>
    <row r="106" spans="2:7">
      <c r="B106" s="49"/>
      <c r="C106" s="86" t="s">
        <v>181</v>
      </c>
      <c r="D106" s="87">
        <f>Caixote_Custo!L74</f>
        <v>333.39382109663262</v>
      </c>
      <c r="E106" s="208" t="s">
        <v>186</v>
      </c>
      <c r="F106" s="85">
        <f>Caixote_Custo!L149</f>
        <v>878.96318551212005</v>
      </c>
      <c r="G106" s="53"/>
    </row>
    <row r="107" spans="2:7">
      <c r="B107" s="49"/>
      <c r="C107" s="6"/>
      <c r="D107" s="209"/>
      <c r="G107" s="53"/>
    </row>
    <row r="108" spans="2:7">
      <c r="B108" s="49"/>
      <c r="C108" s="6" t="s">
        <v>180</v>
      </c>
      <c r="D108" s="210">
        <f>Caixote_Custo!L75</f>
        <v>120.02177559478774</v>
      </c>
      <c r="E108" s="185" t="s">
        <v>148</v>
      </c>
      <c r="F108" s="61">
        <f>Caixote_Custo!L150</f>
        <v>316.42674678436322</v>
      </c>
      <c r="G108" s="53"/>
    </row>
    <row r="109" spans="2:7" ht="15.75" thickBot="1">
      <c r="B109" s="49"/>
      <c r="C109" s="55"/>
      <c r="D109" s="211"/>
      <c r="E109" s="57"/>
      <c r="F109" s="61"/>
      <c r="G109" s="53"/>
    </row>
    <row r="110" spans="2:7" ht="16.5" thickTop="1" thickBot="1">
      <c r="B110" s="49"/>
      <c r="C110" s="6" t="s">
        <v>156</v>
      </c>
      <c r="D110" s="234">
        <f>Caixote_Custo!L77</f>
        <v>120.02177559478774</v>
      </c>
      <c r="E110" s="185" t="s">
        <v>147</v>
      </c>
      <c r="F110" s="233">
        <f>Caixote_Custo!L152</f>
        <v>316.42674678436322</v>
      </c>
      <c r="G110" s="53"/>
    </row>
    <row r="111" spans="2:7">
      <c r="B111" s="49"/>
      <c r="G111" s="53"/>
    </row>
    <row r="112" spans="2:7" ht="15.75" thickBot="1">
      <c r="B112" s="51"/>
      <c r="C112" s="187"/>
      <c r="D112" s="187"/>
      <c r="E112" s="187"/>
      <c r="F112" s="187"/>
      <c r="G112" s="188"/>
    </row>
    <row r="116" spans="2:7" ht="16.5" customHeight="1"/>
    <row r="117" spans="2:7" ht="24.75" customHeight="1" thickBot="1">
      <c r="B117" s="441"/>
      <c r="C117" s="441"/>
      <c r="D117" s="365">
        <v>1</v>
      </c>
    </row>
    <row r="118" spans="2:7" ht="19.5" customHeight="1" thickBot="1">
      <c r="B118" s="439" t="s">
        <v>1335</v>
      </c>
      <c r="C118" s="184"/>
      <c r="D118" s="184"/>
      <c r="E118" s="184"/>
      <c r="F118" s="184"/>
      <c r="G118" s="52"/>
    </row>
    <row r="119" spans="2:7" ht="19.5" customHeight="1" thickBot="1">
      <c r="B119" s="440"/>
      <c r="C119" s="381">
        <v>1</v>
      </c>
      <c r="D119" s="366" t="s">
        <v>1410</v>
      </c>
      <c r="G119" s="53"/>
    </row>
    <row r="120" spans="2:7" ht="19.5" thickBot="1">
      <c r="B120" s="192"/>
      <c r="C120" s="394"/>
      <c r="G120" s="53"/>
    </row>
    <row r="121" spans="2:7" ht="27.75" customHeight="1">
      <c r="B121" s="49"/>
      <c r="C121" s="255" t="s">
        <v>155</v>
      </c>
      <c r="D121" s="178" t="s">
        <v>17</v>
      </c>
      <c r="E121" s="382">
        <v>7</v>
      </c>
      <c r="F121" s="447" t="s">
        <v>1392</v>
      </c>
      <c r="G121" s="53"/>
    </row>
    <row r="122" spans="2:7" ht="18.75">
      <c r="B122" s="49"/>
      <c r="C122" s="179"/>
      <c r="D122" s="367"/>
      <c r="E122" s="368"/>
      <c r="F122" s="448"/>
      <c r="G122" s="53"/>
    </row>
    <row r="123" spans="2:7" ht="18.75">
      <c r="B123" s="49"/>
      <c r="C123" s="179"/>
      <c r="D123" s="367" t="s">
        <v>152</v>
      </c>
      <c r="E123" s="395" t="s">
        <v>1432</v>
      </c>
      <c r="F123" s="180"/>
      <c r="G123" s="53"/>
    </row>
    <row r="124" spans="2:7" ht="18.75">
      <c r="B124" s="49"/>
      <c r="C124" s="179"/>
      <c r="D124" s="367"/>
      <c r="E124" s="368"/>
      <c r="F124" s="180"/>
      <c r="G124" s="53"/>
    </row>
    <row r="125" spans="2:7">
      <c r="B125" s="49"/>
      <c r="C125" s="181"/>
      <c r="D125" s="367" t="s">
        <v>1337</v>
      </c>
      <c r="E125" s="383" t="s">
        <v>666</v>
      </c>
      <c r="F125" s="180"/>
      <c r="G125" s="53"/>
    </row>
    <row r="126" spans="2:7">
      <c r="B126" s="49"/>
      <c r="C126" s="181"/>
      <c r="D126" s="368"/>
      <c r="E126" s="368"/>
      <c r="F126" s="180"/>
      <c r="G126" s="53"/>
    </row>
    <row r="127" spans="2:7">
      <c r="B127" s="49"/>
      <c r="C127" s="181"/>
      <c r="D127" s="367" t="s">
        <v>1338</v>
      </c>
      <c r="E127" s="383" t="s">
        <v>1360</v>
      </c>
      <c r="F127" s="180"/>
      <c r="G127" s="53"/>
    </row>
    <row r="128" spans="2:7">
      <c r="B128" s="49"/>
      <c r="C128" s="181"/>
      <c r="D128" s="367"/>
      <c r="E128" s="368"/>
      <c r="F128" s="180"/>
      <c r="G128" s="53"/>
    </row>
    <row r="129" spans="2:7">
      <c r="B129" s="49"/>
      <c r="C129" s="181"/>
      <c r="D129" s="367" t="s">
        <v>1576</v>
      </c>
      <c r="E129" s="383" t="s">
        <v>1383</v>
      </c>
      <c r="F129" s="180"/>
      <c r="G129" s="53"/>
    </row>
    <row r="130" spans="2:7">
      <c r="B130" s="49"/>
      <c r="C130" s="181"/>
      <c r="D130" s="368"/>
      <c r="E130" s="368"/>
      <c r="F130" s="180"/>
      <c r="G130" s="53"/>
    </row>
    <row r="131" spans="2:7">
      <c r="B131" s="49"/>
      <c r="C131" s="181"/>
      <c r="D131" s="367" t="s">
        <v>1380</v>
      </c>
      <c r="E131" s="383" t="s">
        <v>1383</v>
      </c>
      <c r="F131" s="180"/>
      <c r="G131" s="53"/>
    </row>
    <row r="132" spans="2:7">
      <c r="B132" s="49"/>
      <c r="C132" s="181"/>
      <c r="D132" s="368"/>
      <c r="E132" s="368"/>
      <c r="F132" s="180"/>
      <c r="G132" s="53"/>
    </row>
    <row r="133" spans="2:7">
      <c r="B133" s="49"/>
      <c r="C133" s="181"/>
      <c r="D133" s="367" t="s">
        <v>1535</v>
      </c>
      <c r="E133" s="383" t="s">
        <v>1345</v>
      </c>
      <c r="F133" s="180"/>
      <c r="G133" s="53"/>
    </row>
    <row r="134" spans="2:7">
      <c r="B134" s="49"/>
      <c r="C134" s="181"/>
      <c r="D134" s="368"/>
      <c r="E134" s="368"/>
      <c r="F134" s="180"/>
      <c r="G134" s="53"/>
    </row>
    <row r="135" spans="2:7">
      <c r="B135" s="49"/>
      <c r="C135" s="189" t="s">
        <v>18</v>
      </c>
      <c r="D135" s="369" t="s">
        <v>19</v>
      </c>
      <c r="E135" s="369" t="s">
        <v>20</v>
      </c>
      <c r="F135" s="182" t="s">
        <v>21</v>
      </c>
      <c r="G135" s="53"/>
    </row>
    <row r="136" spans="2:7" ht="15.75" thickBot="1">
      <c r="B136" s="49"/>
      <c r="C136" s="183"/>
      <c r="D136" s="384">
        <v>60</v>
      </c>
      <c r="E136" s="384">
        <v>240</v>
      </c>
      <c r="F136" s="385">
        <v>60</v>
      </c>
      <c r="G136" s="53"/>
    </row>
    <row r="137" spans="2:7">
      <c r="B137" s="49"/>
      <c r="D137" s="5"/>
      <c r="E137" s="5"/>
      <c r="F137" s="5"/>
      <c r="G137" s="53"/>
    </row>
    <row r="138" spans="2:7">
      <c r="B138" s="49"/>
      <c r="C138" s="185" t="s">
        <v>1316</v>
      </c>
      <c r="D138" s="455" t="s">
        <v>1437</v>
      </c>
      <c r="E138" s="456"/>
      <c r="F138" s="457"/>
      <c r="G138" s="53"/>
    </row>
    <row r="139" spans="2:7">
      <c r="B139" s="49"/>
      <c r="G139" s="53"/>
    </row>
    <row r="140" spans="2:7">
      <c r="B140" s="49"/>
      <c r="C140" s="185" t="s">
        <v>1326</v>
      </c>
      <c r="D140" s="455" t="s">
        <v>666</v>
      </c>
      <c r="E140" s="456"/>
      <c r="F140" s="457"/>
      <c r="G140" s="53"/>
    </row>
    <row r="141" spans="2:7">
      <c r="B141" s="49"/>
      <c r="G141" s="53"/>
    </row>
    <row r="142" spans="2:7">
      <c r="B142" s="49"/>
      <c r="C142" s="185" t="s">
        <v>1533</v>
      </c>
      <c r="D142" s="442" t="s">
        <v>58</v>
      </c>
      <c r="E142" s="442"/>
      <c r="F142" s="442"/>
      <c r="G142" s="53"/>
    </row>
    <row r="143" spans="2:7">
      <c r="B143" s="49"/>
      <c r="G143" s="53"/>
    </row>
    <row r="144" spans="2:7">
      <c r="B144" s="49"/>
      <c r="C144" s="185" t="s">
        <v>1577</v>
      </c>
      <c r="D144" s="449">
        <v>3</v>
      </c>
      <c r="E144" s="449"/>
      <c r="F144" s="449"/>
      <c r="G144" s="53"/>
    </row>
    <row r="145" spans="2:7">
      <c r="B145" s="49"/>
      <c r="G145" s="53"/>
    </row>
    <row r="146" spans="2:7">
      <c r="B146" s="49"/>
      <c r="C146" s="185" t="s">
        <v>1534</v>
      </c>
      <c r="D146" s="449">
        <v>1</v>
      </c>
      <c r="E146" s="449"/>
      <c r="F146" s="449"/>
      <c r="G146" s="53"/>
    </row>
    <row r="147" spans="2:7">
      <c r="B147" s="49"/>
      <c r="G147" s="53"/>
    </row>
    <row r="148" spans="2:7">
      <c r="B148" s="49"/>
      <c r="C148" s="185" t="s">
        <v>1578</v>
      </c>
      <c r="D148" s="450">
        <v>0</v>
      </c>
      <c r="E148" s="451"/>
      <c r="F148" s="452"/>
      <c r="G148" s="53"/>
    </row>
    <row r="149" spans="2:7" ht="15.75" thickBot="1">
      <c r="B149" s="49"/>
      <c r="G149" s="53"/>
    </row>
    <row r="150" spans="2:7" ht="21">
      <c r="B150" s="49"/>
      <c r="C150" s="235" t="s">
        <v>1382</v>
      </c>
      <c r="D150" s="184"/>
      <c r="E150" s="236" t="s">
        <v>1384</v>
      </c>
      <c r="F150" s="52"/>
      <c r="G150" s="53"/>
    </row>
    <row r="151" spans="2:7">
      <c r="B151" s="49"/>
      <c r="C151" s="67" t="s">
        <v>1565</v>
      </c>
      <c r="D151" s="383" t="s">
        <v>1330</v>
      </c>
      <c r="E151" s="386">
        <v>2</v>
      </c>
      <c r="F151" s="53"/>
      <c r="G151" s="53"/>
    </row>
    <row r="152" spans="2:7">
      <c r="B152" s="49"/>
      <c r="C152" s="67"/>
      <c r="F152" s="53"/>
      <c r="G152" s="53"/>
    </row>
    <row r="153" spans="2:7">
      <c r="B153" s="49"/>
      <c r="C153" s="67" t="s">
        <v>1565</v>
      </c>
      <c r="D153" s="383" t="s">
        <v>1331</v>
      </c>
      <c r="E153" s="386">
        <v>0</v>
      </c>
      <c r="F153" s="53"/>
      <c r="G153" s="53"/>
    </row>
    <row r="154" spans="2:7">
      <c r="B154" s="49"/>
      <c r="C154" s="67"/>
      <c r="F154" s="53"/>
      <c r="G154" s="53"/>
    </row>
    <row r="155" spans="2:7">
      <c r="B155" s="49"/>
      <c r="C155" s="67" t="s">
        <v>1566</v>
      </c>
      <c r="D155" s="383" t="s">
        <v>1342</v>
      </c>
      <c r="E155" s="386">
        <v>0</v>
      </c>
      <c r="F155" s="53"/>
      <c r="G155" s="53"/>
    </row>
    <row r="156" spans="2:7">
      <c r="B156" s="49"/>
      <c r="C156" s="67"/>
      <c r="E156" s="5"/>
      <c r="F156" s="53"/>
      <c r="G156" s="53"/>
    </row>
    <row r="157" spans="2:7">
      <c r="B157" s="49"/>
      <c r="C157" s="67" t="s">
        <v>1566</v>
      </c>
      <c r="D157" s="383" t="s">
        <v>1343</v>
      </c>
      <c r="E157" s="386">
        <v>0</v>
      </c>
      <c r="F157" s="53"/>
      <c r="G157" s="53"/>
    </row>
    <row r="158" spans="2:7" ht="15.75" thickBot="1">
      <c r="B158" s="49"/>
      <c r="C158" s="51"/>
      <c r="D158" s="187"/>
      <c r="E158" s="187"/>
      <c r="F158" s="188"/>
      <c r="G158" s="53"/>
    </row>
    <row r="159" spans="2:7">
      <c r="B159" s="49"/>
      <c r="G159" s="53"/>
    </row>
    <row r="160" spans="2:7">
      <c r="B160" s="49"/>
      <c r="G160" s="53"/>
    </row>
    <row r="161" spans="2:8">
      <c r="B161" s="49"/>
      <c r="C161" s="86" t="s">
        <v>181</v>
      </c>
      <c r="D161" s="191">
        <f>Caixote_Custo!S74</f>
        <v>2667.9732984356742</v>
      </c>
      <c r="E161" s="237" t="s">
        <v>186</v>
      </c>
      <c r="F161" s="88">
        <f>Caixote_Custo!S149</f>
        <v>2248.3717513333336</v>
      </c>
      <c r="G161" s="53"/>
    </row>
    <row r="162" spans="2:8">
      <c r="B162" s="49"/>
      <c r="E162" s="238"/>
      <c r="G162" s="53"/>
    </row>
    <row r="163" spans="2:8">
      <c r="B163" s="49"/>
      <c r="C163" s="6" t="s">
        <v>187</v>
      </c>
      <c r="D163" s="186">
        <f>Caixote_Custo!S75</f>
        <v>960.47038743684266</v>
      </c>
      <c r="E163" s="239" t="s">
        <v>148</v>
      </c>
      <c r="F163" s="61">
        <f>Caixote_Custo!S150</f>
        <v>809.41383048000012</v>
      </c>
      <c r="G163" s="53"/>
    </row>
    <row r="164" spans="2:8" ht="15.75" thickBot="1">
      <c r="B164" s="49"/>
      <c r="C164" s="55"/>
      <c r="D164" s="186"/>
      <c r="E164" s="240"/>
      <c r="F164" s="61"/>
      <c r="G164" s="53"/>
    </row>
    <row r="165" spans="2:8" ht="16.5" thickTop="1" thickBot="1">
      <c r="B165" s="49"/>
      <c r="C165" s="6" t="s">
        <v>1385</v>
      </c>
      <c r="D165" s="232">
        <f>Caixote_Custo!S77</f>
        <v>1026.4303874368427</v>
      </c>
      <c r="E165" s="81" t="s">
        <v>1386</v>
      </c>
      <c r="F165" s="231">
        <f>Caixote_Custo!S152</f>
        <v>949.41383048000012</v>
      </c>
      <c r="G165" s="53"/>
    </row>
    <row r="166" spans="2:8">
      <c r="B166" s="49"/>
      <c r="G166" s="53"/>
    </row>
    <row r="167" spans="2:8" ht="15.75" thickBot="1">
      <c r="B167" s="51"/>
      <c r="C167" s="187"/>
      <c r="D167" s="187"/>
      <c r="E167" s="187"/>
      <c r="F167" s="187"/>
      <c r="G167" s="188"/>
    </row>
    <row r="170" spans="2:8" ht="15.75" thickBot="1"/>
    <row r="171" spans="2:8" ht="15.75" thickBot="1">
      <c r="C171" s="63" t="s">
        <v>158</v>
      </c>
      <c r="D171" s="64">
        <f>D54+D110+D165</f>
        <v>1183.5041774849637</v>
      </c>
      <c r="E171" s="46" t="s">
        <v>159</v>
      </c>
      <c r="F171" s="71">
        <f>F54+F110+F165</f>
        <v>1368.8413543843633</v>
      </c>
      <c r="G171" s="5" t="s">
        <v>81</v>
      </c>
      <c r="H171" t="s">
        <v>1301</v>
      </c>
    </row>
    <row r="172" spans="2:8" ht="15.75" thickBot="1">
      <c r="H172" t="s">
        <v>1302</v>
      </c>
    </row>
    <row r="173" spans="2:8" ht="16.5" thickBot="1">
      <c r="C173" s="7"/>
      <c r="D173" s="65"/>
      <c r="E173" s="453" t="s">
        <v>160</v>
      </c>
      <c r="F173" s="454"/>
    </row>
    <row r="174" spans="2:8">
      <c r="E174" s="69" t="s">
        <v>161</v>
      </c>
      <c r="F174" s="72">
        <f>(115*$D$171)/100</f>
        <v>1361.0298041077083</v>
      </c>
    </row>
    <row r="175" spans="2:8">
      <c r="E175" s="67" t="s">
        <v>162</v>
      </c>
      <c r="F175" s="73">
        <f>(120*$D$171)/100</f>
        <v>1420.2050129819565</v>
      </c>
    </row>
    <row r="176" spans="2:8">
      <c r="E176" s="67" t="s">
        <v>163</v>
      </c>
      <c r="F176" s="73">
        <f>(125*$D$171)/100</f>
        <v>1479.3802218562048</v>
      </c>
    </row>
    <row r="177" spans="5:11">
      <c r="E177" s="67" t="s">
        <v>164</v>
      </c>
      <c r="F177" s="73">
        <f>(130*$D$171)/100</f>
        <v>1538.5554307304528</v>
      </c>
    </row>
    <row r="178" spans="5:11">
      <c r="E178" s="68" t="s">
        <v>165</v>
      </c>
      <c r="F178" s="73">
        <f>(135*$D$171)/100</f>
        <v>1597.7306396047011</v>
      </c>
    </row>
    <row r="179" spans="5:11">
      <c r="E179" s="67" t="s">
        <v>166</v>
      </c>
      <c r="F179" s="73">
        <f>(140*$D$171)/100</f>
        <v>1656.9058484789493</v>
      </c>
    </row>
    <row r="180" spans="5:11">
      <c r="E180" s="67" t="s">
        <v>167</v>
      </c>
      <c r="F180" s="73">
        <f>(145*$D$171)/100</f>
        <v>1716.0810573531976</v>
      </c>
    </row>
    <row r="181" spans="5:11">
      <c r="E181" s="67" t="s">
        <v>168</v>
      </c>
      <c r="F181" s="66">
        <f>(150*$D$171)/100</f>
        <v>1775.2562662274458</v>
      </c>
    </row>
    <row r="182" spans="5:11">
      <c r="E182" s="67" t="s">
        <v>169</v>
      </c>
      <c r="F182" s="66">
        <f>(155*$D$171)/100</f>
        <v>1834.4314751016939</v>
      </c>
    </row>
    <row r="183" spans="5:11">
      <c r="E183" s="67" t="s">
        <v>170</v>
      </c>
      <c r="F183" s="66">
        <f>(160*$D$171)/100</f>
        <v>1893.6066839759419</v>
      </c>
    </row>
    <row r="184" spans="5:11">
      <c r="E184" s="67" t="s">
        <v>171</v>
      </c>
      <c r="F184" s="66">
        <f>(165*$D$171)/100</f>
        <v>1952.7818928501902</v>
      </c>
      <c r="G184" s="5"/>
    </row>
    <row r="185" spans="5:11" ht="15.75">
      <c r="E185" s="93" t="s">
        <v>172</v>
      </c>
      <c r="F185" s="90">
        <f>(170*$D$171)/100</f>
        <v>2011.9571017244382</v>
      </c>
      <c r="G185" s="91" t="s">
        <v>81</v>
      </c>
      <c r="H185" s="92" t="s">
        <v>179</v>
      </c>
      <c r="I185" s="92"/>
      <c r="J185" s="92"/>
      <c r="K185" s="92"/>
    </row>
    <row r="186" spans="5:11">
      <c r="E186" s="67" t="s">
        <v>173</v>
      </c>
      <c r="F186" s="66">
        <f>(175*$D$171)/100</f>
        <v>2071.1323105986867</v>
      </c>
    </row>
    <row r="187" spans="5:11">
      <c r="E187" s="67" t="s">
        <v>174</v>
      </c>
      <c r="F187" s="74">
        <f>(180*$D$171)/100</f>
        <v>2130.3075194729345</v>
      </c>
    </row>
    <row r="188" spans="5:11">
      <c r="E188" s="67" t="s">
        <v>175</v>
      </c>
      <c r="F188" s="74">
        <f>(185*$D$171)/100</f>
        <v>2189.4827283471827</v>
      </c>
    </row>
    <row r="189" spans="5:11">
      <c r="E189" s="67" t="s">
        <v>176</v>
      </c>
      <c r="F189" s="74">
        <f>(190*$D$171)/100</f>
        <v>2248.657937221431</v>
      </c>
    </row>
    <row r="190" spans="5:11">
      <c r="E190" s="67" t="s">
        <v>177</v>
      </c>
      <c r="F190" s="74">
        <f>(195*$D$171)/100</f>
        <v>2307.8331460956792</v>
      </c>
    </row>
    <row r="191" spans="5:11" ht="15.75" thickBot="1">
      <c r="E191" s="70" t="s">
        <v>178</v>
      </c>
      <c r="F191" s="75">
        <f>(200*$D$171)/100</f>
        <v>2367.0083549699275</v>
      </c>
    </row>
  </sheetData>
  <sheetProtection algorithmName="SHA-512" hashValue="9S9fcUI000JSvYh2bEnnELKfe461slknyF5hlQIr2gRBNVv1gYJTTF7L6GnDIYu9z+oLvtxiZq/4O0SKcwer1A==" saltValue="K1yUARnGgAQEk/ILOxPtew==" spinCount="100000" sheet="1" selectLockedCells="1"/>
  <dataConsolidate/>
  <mergeCells count="26">
    <mergeCell ref="D144:F144"/>
    <mergeCell ref="D146:F146"/>
    <mergeCell ref="D148:F148"/>
    <mergeCell ref="E173:F173"/>
    <mergeCell ref="D138:F138"/>
    <mergeCell ref="D140:F140"/>
    <mergeCell ref="D142:F142"/>
    <mergeCell ref="F121:F122"/>
    <mergeCell ref="D32:F32"/>
    <mergeCell ref="D34:F34"/>
    <mergeCell ref="D36:F36"/>
    <mergeCell ref="D38:F38"/>
    <mergeCell ref="D88:F88"/>
    <mergeCell ref="D90:F90"/>
    <mergeCell ref="D92:F92"/>
    <mergeCell ref="D94:F94"/>
    <mergeCell ref="B118:B119"/>
    <mergeCell ref="B117:C117"/>
    <mergeCell ref="B63:C63"/>
    <mergeCell ref="B7:C7"/>
    <mergeCell ref="D30:F30"/>
    <mergeCell ref="B57:C57"/>
    <mergeCell ref="F11:F12"/>
    <mergeCell ref="D28:F28"/>
    <mergeCell ref="D84:F84"/>
    <mergeCell ref="D86:F86"/>
  </mergeCells>
  <phoneticPr fontId="4" type="noConversion"/>
  <conditionalFormatting sqref="F174:F19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D148:F148 C9 E67 C65 D146:F146 C119 D144:F144 E11 E121 E157 E155 E153 E151 E97 E99 E101 E103 E41 E43 E45 E47 D38:F38 D36:F36 D34:F34 D90:F90 D92:F92 D94:F94" xr:uid="{34E271C5-0B38-42C9-816A-394BBA7E1037}">
      <formula1>"0,1,2,3,4,5,6,7,8,9,10,11,12,13,14,15,16,17,18,19,20,21,22,23,24,25,26,27,28,29,30,31,32,33,34,35,36,37,38,39,40,41,42,43,44,45,46,47,48,49,50,51,52,53,54,55,56,57,58,59,60,61,62,63,64,65,66,67,68,69,70,71,72,73,74,75,76,77,78,79,80,81,82,83,84,85,86,87,"</formula1>
    </dataValidation>
    <dataValidation type="list" allowBlank="1" showInputMessage="1" showErrorMessage="1" sqref="E129 E75 E19" xr:uid="{8265CD97-B650-46FA-9CE2-C0FB834F0AEC}">
      <formula1>"Sim, Não, Só Cima, Só Baixo"</formula1>
    </dataValidation>
    <dataValidation type="list" allowBlank="1" showInputMessage="1" showErrorMessage="1" sqref="E131 E77 E21" xr:uid="{BA04D5A2-79E1-4B0E-BBEC-648707568CCD}">
      <formula1>"Sim, Não, Só Esquerda, Só Direita"</formula1>
    </dataValidation>
  </dataValidations>
  <pageMargins left="0.7" right="0.7" top="0.75" bottom="0.75" header="0.3" footer="0.3"/>
  <pageSetup paperSize="9" scale="25" fitToWidth="0" orientation="portrait" verticalDpi="0" r:id="rId1"/>
  <ignoredErrors>
    <ignoredError sqref="D50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7EBEC1A-4FDC-4732-928F-42E43960D44C}">
          <x14:formula1>
            <xm:f>Preço_Pintura!$J$50:$J$60</xm:f>
          </x14:formula1>
          <xm:sqref>D86:F86 E125 E15 D140:F140 E71 D30:F30</xm:sqref>
        </x14:dataValidation>
        <x14:dataValidation type="list" allowBlank="1" showInputMessage="1" showErrorMessage="1" xr:uid="{7DD4D53A-C9BC-4D6A-B099-82966D63349D}">
          <x14:formula1>
            <xm:f>'Preço_Sistema Abertura Portas'!$D$46:$D$51</xm:f>
          </x14:formula1>
          <xm:sqref>E17 E73</xm:sqref>
        </x14:dataValidation>
        <x14:dataValidation type="list" allowBlank="1" showInputMessage="1" showErrorMessage="1" xr:uid="{01C77F43-A5E6-4022-BF48-00D631B656E9}">
          <x14:formula1>
            <xm:f>'Preço_Sistema Abertura Portas'!$H$46:$H$51</xm:f>
          </x14:formula1>
          <xm:sqref>E127</xm:sqref>
        </x14:dataValidation>
        <x14:dataValidation type="list" allowBlank="1" showInputMessage="1" xr:uid="{D955DE29-D2DE-4B0F-B848-F1EF5E69C9E0}">
          <x14:formula1>
            <xm:f>_xlfn.ANCHORARRAY('Preços_Placas &amp; Seccionadora'!$AE$1)</xm:f>
          </x14:formula1>
          <xm:sqref>D138:F138</xm:sqref>
        </x14:dataValidation>
        <x14:dataValidation type="list" allowBlank="1" showInputMessage="1" showErrorMessage="1" xr:uid="{463CD91F-AFC1-4B93-BF2C-6871FFE0B64C}">
          <x14:formula1>
            <xm:f>Preços_Gavetas!$B$97:$B$102</xm:f>
          </x14:formula1>
          <xm:sqref>D153 D41 D43 D97 D99 D151</xm:sqref>
        </x14:dataValidation>
        <x14:dataValidation type="list" allowBlank="1" showInputMessage="1" xr:uid="{E929AD6F-1867-42FE-B12E-2C16B01A544C}">
          <x14:formula1>
            <xm:f>_xlfn.ANCHORARRAY('Preços_Placas &amp; Seccionadora'!$Z$1)</xm:f>
          </x14:formula1>
          <xm:sqref>E13</xm:sqref>
        </x14:dataValidation>
        <x14:dataValidation type="list" allowBlank="1" showInputMessage="1" showErrorMessage="1" xr:uid="{A0FE20A5-A27C-476D-9BA9-159465CE3E69}">
          <x14:formula1>
            <xm:f>'Preço_Sistema Abertura Portas'!$D$42:$D$44</xm:f>
          </x14:formula1>
          <xm:sqref>E23 E79 E133</xm:sqref>
        </x14:dataValidation>
        <x14:dataValidation type="list" allowBlank="1" showInputMessage="1" showErrorMessage="1" xr:uid="{1AB3AA78-8C17-4004-AB35-4512A3BE2BFF}">
          <x14:formula1>
            <xm:f>Preço_Orlagem!$E$18:$E$25</xm:f>
          </x14:formula1>
          <xm:sqref>D32:F32 D142:F142 D88:F88</xm:sqref>
        </x14:dataValidation>
        <x14:dataValidation type="list" allowBlank="1" showInputMessage="1" xr:uid="{04937F41-9CC9-4336-B510-77C701356436}">
          <x14:formula1>
            <xm:f>_xlfn.ANCHORARRAY('Preços_Placas &amp; Seccionadora'!$AA$1)</xm:f>
          </x14:formula1>
          <xm:sqref>D28:F28</xm:sqref>
        </x14:dataValidation>
        <x14:dataValidation type="list" allowBlank="1" showInputMessage="1" xr:uid="{118C0416-19EC-4D98-B252-D43006128491}">
          <x14:formula1>
            <xm:f>_xlfn.ANCHORARRAY('Preços_Placas &amp; Seccionadora'!$AB$1)</xm:f>
          </x14:formula1>
          <xm:sqref>E69</xm:sqref>
        </x14:dataValidation>
        <x14:dataValidation type="list" allowBlank="1" showInputMessage="1" xr:uid="{FCAD2210-2E7B-4FF3-B48B-985B3C311827}">
          <x14:formula1>
            <xm:f>_xlfn.ANCHORARRAY('Preços_Placas &amp; Seccionadora'!$AC$1)</xm:f>
          </x14:formula1>
          <xm:sqref>D84:F84</xm:sqref>
        </x14:dataValidation>
        <x14:dataValidation type="list" allowBlank="1" showInputMessage="1" xr:uid="{699EC388-922D-4B97-B026-C209AC95C687}">
          <x14:formula1>
            <xm:f>_xlfn.ANCHORARRAY('Preços_Placas &amp; Seccionadora'!$AD$1)</xm:f>
          </x14:formula1>
          <xm:sqref>E123</xm:sqref>
        </x14:dataValidation>
        <x14:dataValidation type="list" allowBlank="1" showInputMessage="1" showErrorMessage="1" xr:uid="{A40839D8-08D1-4E1C-8B86-CD4C1F2327B6}">
          <x14:formula1>
            <xm:f>Preços_Gavetas!$B$103:$B$1085</xm:f>
          </x14:formula1>
          <xm:sqref>D157</xm:sqref>
        </x14:dataValidation>
        <x14:dataValidation type="list" allowBlank="1" showInputMessage="1" showErrorMessage="1" xr:uid="{A98B0F24-9B1F-4966-AC2C-DEF5A5467C81}">
          <x14:formula1>
            <xm:f>Preços_Gavetas!$B$103:$B$108</xm:f>
          </x14:formula1>
          <xm:sqref>D45 D47 D101 D103 D155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A90C2-75BF-4761-835F-FB97112D1E9D}">
  <sheetPr codeName="Folha2">
    <tabColor theme="0"/>
  </sheetPr>
  <dimension ref="A1:T153"/>
  <sheetViews>
    <sheetView showGridLines="0" topLeftCell="J34" zoomScale="68" zoomScaleNormal="68" workbookViewId="0">
      <selection activeCell="J46" sqref="J46"/>
    </sheetView>
  </sheetViews>
  <sheetFormatPr defaultRowHeight="15"/>
  <cols>
    <col min="2" max="2" width="32.85546875" customWidth="1"/>
    <col min="3" max="3" width="37.7109375" customWidth="1"/>
    <col min="4" max="4" width="42.5703125" customWidth="1"/>
    <col min="5" max="5" width="37.7109375" customWidth="1"/>
    <col min="6" max="6" width="53.140625" customWidth="1"/>
    <col min="9" max="9" width="47.7109375" customWidth="1"/>
    <col min="10" max="10" width="48.42578125" customWidth="1"/>
    <col min="11" max="11" width="46.7109375" customWidth="1"/>
    <col min="12" max="12" width="32.5703125" customWidth="1"/>
    <col min="13" max="13" width="32.85546875" customWidth="1"/>
    <col min="15" max="15" width="9" customWidth="1"/>
    <col min="16" max="16" width="41.5703125" customWidth="1"/>
    <col min="17" max="17" width="45" customWidth="1"/>
    <col min="18" max="18" width="41.5703125" customWidth="1"/>
    <col min="19" max="19" width="39" customWidth="1"/>
    <col min="20" max="20" width="39.85546875" customWidth="1"/>
  </cols>
  <sheetData>
    <row r="1" spans="1:20" ht="15.75" thickBot="1"/>
    <row r="2" spans="1:20" ht="46.5" customHeight="1">
      <c r="A2" s="34"/>
      <c r="B2" s="461" t="s">
        <v>139</v>
      </c>
      <c r="C2" s="462"/>
      <c r="D2" s="462"/>
      <c r="E2" s="462"/>
      <c r="F2" s="462"/>
      <c r="G2" s="184"/>
      <c r="H2" s="184"/>
      <c r="I2" s="462" t="s">
        <v>144</v>
      </c>
      <c r="J2" s="462"/>
      <c r="K2" s="462"/>
      <c r="L2" s="462"/>
      <c r="M2" s="462"/>
      <c r="N2" s="184"/>
      <c r="O2" s="184"/>
      <c r="P2" s="462" t="s">
        <v>145</v>
      </c>
      <c r="Q2" s="462"/>
      <c r="R2" s="462"/>
      <c r="S2" s="462"/>
      <c r="T2" s="463"/>
    </row>
    <row r="3" spans="1:20" ht="16.5" customHeight="1" thickBot="1">
      <c r="B3" s="271" t="s">
        <v>1408</v>
      </c>
      <c r="C3" s="263"/>
      <c r="D3" s="263"/>
      <c r="E3" s="263"/>
      <c r="F3" s="263"/>
      <c r="I3" s="265" t="s">
        <v>1408</v>
      </c>
      <c r="J3" s="263"/>
      <c r="K3" s="263"/>
      <c r="L3" s="263"/>
      <c r="M3" s="263"/>
      <c r="P3" s="265" t="s">
        <v>1408</v>
      </c>
      <c r="Q3" s="263"/>
      <c r="R3" s="263"/>
      <c r="S3" s="263"/>
      <c r="T3" s="264"/>
    </row>
    <row r="4" spans="1:20" ht="16.5" customHeight="1" thickBot="1">
      <c r="B4" s="270">
        <f>Orçamento_Cozinhas!C9</f>
        <v>1</v>
      </c>
      <c r="C4" s="263"/>
      <c r="D4" s="263"/>
      <c r="E4" s="263"/>
      <c r="F4" s="263"/>
      <c r="I4" s="268">
        <f>Orçamento_Cozinhas!C65</f>
        <v>1</v>
      </c>
      <c r="J4" s="263"/>
      <c r="K4" s="263"/>
      <c r="L4" s="263"/>
      <c r="M4" s="263"/>
      <c r="P4" s="266">
        <f>Orçamento_Cozinhas!C119</f>
        <v>1</v>
      </c>
      <c r="Q4" s="263"/>
      <c r="R4" s="263"/>
      <c r="S4" s="263"/>
      <c r="T4" s="264"/>
    </row>
    <row r="5" spans="1:20">
      <c r="B5" s="50"/>
      <c r="C5" s="185" t="s">
        <v>17</v>
      </c>
      <c r="D5" s="58">
        <f>Orçamento_Cozinhas!E11</f>
        <v>1</v>
      </c>
      <c r="I5" s="6"/>
      <c r="J5" s="185" t="s">
        <v>17</v>
      </c>
      <c r="K5" s="58">
        <f>Orçamento_Cozinhas!E67</f>
        <v>2</v>
      </c>
      <c r="P5" s="6"/>
      <c r="Q5" s="185" t="s">
        <v>17</v>
      </c>
      <c r="R5" s="58">
        <f>Orçamento_Cozinhas!E121</f>
        <v>7</v>
      </c>
      <c r="T5" s="53"/>
    </row>
    <row r="6" spans="1:20">
      <c r="B6" s="49"/>
      <c r="T6" s="53"/>
    </row>
    <row r="7" spans="1:20">
      <c r="B7" s="50" t="s">
        <v>18</v>
      </c>
      <c r="C7" s="5" t="s">
        <v>19</v>
      </c>
      <c r="D7" s="5" t="s">
        <v>20</v>
      </c>
      <c r="E7" s="5" t="s">
        <v>21</v>
      </c>
      <c r="F7" s="5" t="s">
        <v>53</v>
      </c>
      <c r="I7" s="6" t="s">
        <v>18</v>
      </c>
      <c r="J7" s="5" t="s">
        <v>19</v>
      </c>
      <c r="K7" s="5" t="s">
        <v>20</v>
      </c>
      <c r="L7" s="5" t="s">
        <v>21</v>
      </c>
      <c r="M7" s="5" t="s">
        <v>53</v>
      </c>
      <c r="P7" s="6" t="s">
        <v>18</v>
      </c>
      <c r="Q7" s="5" t="s">
        <v>19</v>
      </c>
      <c r="R7" s="5" t="s">
        <v>20</v>
      </c>
      <c r="S7" s="5" t="s">
        <v>21</v>
      </c>
      <c r="T7" s="54" t="s">
        <v>53</v>
      </c>
    </row>
    <row r="8" spans="1:20">
      <c r="B8" s="49"/>
      <c r="C8" s="14">
        <f>Orçamento_Cozinhas!D26</f>
        <v>15</v>
      </c>
      <c r="D8" s="14">
        <f>Orçamento_Cozinhas!E26</f>
        <v>78</v>
      </c>
      <c r="E8" s="14">
        <f>Orçamento_Cozinhas!F26</f>
        <v>60</v>
      </c>
      <c r="F8" s="35">
        <f>(C8*E8)/10000</f>
        <v>0.09</v>
      </c>
      <c r="J8" s="14">
        <f>Orçamento_Cozinhas!D82</f>
        <v>90</v>
      </c>
      <c r="K8" s="14">
        <f>Orçamento_Cozinhas!E82</f>
        <v>100</v>
      </c>
      <c r="L8" s="14">
        <f>Orçamento_Cozinhas!F82</f>
        <v>40</v>
      </c>
      <c r="M8" s="35">
        <f>(J8*L8)/10000</f>
        <v>0.36</v>
      </c>
      <c r="Q8" s="14">
        <f>Orçamento_Cozinhas!D136</f>
        <v>60</v>
      </c>
      <c r="R8" s="14">
        <f>Orçamento_Cozinhas!E136</f>
        <v>240</v>
      </c>
      <c r="S8" s="14">
        <f>Orçamento_Cozinhas!F136</f>
        <v>60</v>
      </c>
      <c r="T8" s="193">
        <f>(Q8*S8)/10000</f>
        <v>0.36</v>
      </c>
    </row>
    <row r="9" spans="1:20" ht="21">
      <c r="B9" s="194"/>
      <c r="I9" s="272"/>
      <c r="P9" s="272"/>
      <c r="T9" s="53"/>
    </row>
    <row r="10" spans="1:20" ht="18.75">
      <c r="B10" s="60"/>
      <c r="C10" s="7" t="s">
        <v>0</v>
      </c>
      <c r="D10" s="56" t="str">
        <f>Orçamento_Cozinhas!D28</f>
        <v>Melamina F067 Hidrófuga - 16mm</v>
      </c>
      <c r="I10" s="273"/>
      <c r="J10" s="7" t="s">
        <v>0</v>
      </c>
      <c r="K10" s="56" t="str">
        <f>Orçamento_Cozinhas!D84</f>
        <v>Melamina F067 Hidrófuga - 16mm</v>
      </c>
      <c r="P10" s="273"/>
      <c r="Q10" s="7" t="s">
        <v>0</v>
      </c>
      <c r="R10" s="56" t="str">
        <f>Orçamento_Cozinhas!D138</f>
        <v>Melamina F067 Hidrófuga - 16mm</v>
      </c>
      <c r="T10" s="53"/>
    </row>
    <row r="11" spans="1:20" ht="18.75">
      <c r="B11" s="60"/>
      <c r="C11" s="7" t="s">
        <v>24</v>
      </c>
      <c r="D11" s="16">
        <f>IFERROR(VLOOKUP(D10,'Preços_Placas &amp; Seccionadora'!M73:N146, 2, FALSE), 0)</f>
        <v>8.82</v>
      </c>
      <c r="E11" s="7"/>
      <c r="F11" s="43"/>
      <c r="I11" s="273"/>
      <c r="J11" s="7" t="s">
        <v>24</v>
      </c>
      <c r="K11" s="16">
        <f>IFERROR(VLOOKUP(K10,'Preços_Placas &amp; Seccionadora'!M73:N146, 2, FALSE), 0)</f>
        <v>8.82</v>
      </c>
      <c r="L11" s="7"/>
      <c r="M11" s="43"/>
      <c r="P11" s="273"/>
      <c r="Q11" s="7" t="s">
        <v>24</v>
      </c>
      <c r="R11" s="16">
        <f>IFERROR(VLOOKUP(R10,'Preços_Placas &amp; Seccionadora'!M73:N146, 2, FALSE), 0)</f>
        <v>8.82</v>
      </c>
      <c r="S11" s="7"/>
      <c r="T11" s="195"/>
    </row>
    <row r="12" spans="1:20" ht="18.75">
      <c r="B12" s="60"/>
      <c r="C12" s="7" t="s">
        <v>1326</v>
      </c>
      <c r="D12" s="16" t="str">
        <f>Orçamento_Cozinhas!D30</f>
        <v>Nenhuma</v>
      </c>
      <c r="E12" s="7"/>
      <c r="F12" s="43"/>
      <c r="I12" s="273"/>
      <c r="J12" s="7" t="s">
        <v>1326</v>
      </c>
      <c r="K12" s="16" t="str">
        <f>Orçamento_Cozinhas!D86</f>
        <v>Nenhuma</v>
      </c>
      <c r="L12" s="7"/>
      <c r="M12" s="43"/>
      <c r="P12" s="273"/>
      <c r="Q12" s="7" t="s">
        <v>1326</v>
      </c>
      <c r="R12" s="173" t="str">
        <f>Orçamento_Cozinhas!D140</f>
        <v>Esmalte Mate Branco</v>
      </c>
      <c r="S12" s="7"/>
      <c r="T12" s="195"/>
    </row>
    <row r="13" spans="1:20" ht="18.75">
      <c r="B13" s="60"/>
      <c r="C13" s="7" t="s">
        <v>1327</v>
      </c>
      <c r="D13" s="16">
        <f>IF(_xlfn.XLOOKUP(D10, 'Preços_Placas &amp; Seccionadora'!$I$60:$I$199, 'Preços_Placas &amp; Seccionadora'!$J$60:$J$199, "Não Pintar")="Não Pintar", 0, IFERROR(VLOOKUP(D12,Preço_Pintura!J37:K46, 2, FALSE), 0))</f>
        <v>0</v>
      </c>
      <c r="E13" s="7"/>
      <c r="F13" s="43"/>
      <c r="I13" s="273"/>
      <c r="J13" s="7" t="s">
        <v>1327</v>
      </c>
      <c r="K13" s="16">
        <f>IF(_xlfn.XLOOKUP(K10, 'Preços_Placas &amp; Seccionadora'!$I$60:$I$199, 'Preços_Placas &amp; Seccionadora'!$J$60:$J$199, "Não Pintar")="Não Pintar", 0, IFERROR(VLOOKUP(K12,Preço_Pintura!J37:K46, 2, FALSE), 0))</f>
        <v>0</v>
      </c>
      <c r="L13" s="7"/>
      <c r="M13" s="43"/>
      <c r="P13" s="273"/>
      <c r="Q13" s="7" t="s">
        <v>1327</v>
      </c>
      <c r="R13" s="16">
        <f>IF(_xlfn.XLOOKUP(R10, 'Preços_Placas &amp; Seccionadora'!$I$60:$I$199, 'Preços_Placas &amp; Seccionadora'!$J$60:$J$199, "Não Pintar")="Não Pintar", 0, IFERROR(VLOOKUP(R12,Preço_Pintura!J37:K46, 2, FALSE), 0))</f>
        <v>0</v>
      </c>
      <c r="S13" s="7"/>
      <c r="T13" s="195"/>
    </row>
    <row r="14" spans="1:20" ht="18.75">
      <c r="B14" s="60"/>
      <c r="C14" s="7" t="s">
        <v>47</v>
      </c>
      <c r="D14" s="42" t="str">
        <f>Orçamento_Cozinhas!D32</f>
        <v>Orla - À Cor</v>
      </c>
      <c r="I14" s="273"/>
      <c r="J14" s="7" t="s">
        <v>47</v>
      </c>
      <c r="K14" s="42" t="str">
        <f>Orçamento_Cozinhas!D88</f>
        <v>Orla - Standard 1mm</v>
      </c>
      <c r="P14" s="273"/>
      <c r="Q14" s="7" t="s">
        <v>47</v>
      </c>
      <c r="R14" s="42" t="str">
        <f>Orçamento_Cozinhas!D142</f>
        <v>Orla - À Cor</v>
      </c>
      <c r="T14" s="53"/>
    </row>
    <row r="15" spans="1:20">
      <c r="B15" s="196"/>
      <c r="C15" s="7" t="s">
        <v>54</v>
      </c>
      <c r="D15" s="16">
        <f>IFERROR(VLOOKUP(D14,Preço_Orlagem!E17:F25, 2, FALSE), 0)</f>
        <v>0.61414000000000002</v>
      </c>
      <c r="E15" s="7"/>
      <c r="F15" s="274"/>
      <c r="I15" s="9"/>
      <c r="J15" s="7" t="s">
        <v>54</v>
      </c>
      <c r="K15" s="16">
        <f>IFERROR(VLOOKUP(K14,Preço_Orlagem!E18:F25, 2, FALSE), 0)</f>
        <v>0.62</v>
      </c>
      <c r="L15" s="7"/>
      <c r="M15" s="274"/>
      <c r="P15" s="9"/>
      <c r="Q15" s="7" t="s">
        <v>54</v>
      </c>
      <c r="R15" s="16">
        <f>IFERROR(VLOOKUP(R14,Preço_Orlagem!E18:F25, 2, FALSE), 0)</f>
        <v>0.61414000000000002</v>
      </c>
      <c r="S15" s="7"/>
      <c r="T15" s="197"/>
    </row>
    <row r="16" spans="1:20">
      <c r="B16" s="49"/>
      <c r="T16" s="53"/>
    </row>
    <row r="17" spans="2:20">
      <c r="B17" s="198" t="s">
        <v>26</v>
      </c>
      <c r="C17" s="10" t="s">
        <v>27</v>
      </c>
      <c r="D17" s="10" t="s">
        <v>22</v>
      </c>
      <c r="E17" s="10" t="s">
        <v>55</v>
      </c>
      <c r="F17" s="6"/>
      <c r="I17" s="10" t="s">
        <v>26</v>
      </c>
      <c r="J17" s="10" t="s">
        <v>27</v>
      </c>
      <c r="K17" s="10" t="s">
        <v>22</v>
      </c>
      <c r="L17" s="10" t="s">
        <v>55</v>
      </c>
      <c r="M17" s="6"/>
      <c r="P17" s="10" t="s">
        <v>26</v>
      </c>
      <c r="Q17" s="10" t="s">
        <v>27</v>
      </c>
      <c r="R17" s="10" t="s">
        <v>22</v>
      </c>
      <c r="S17" s="10" t="s">
        <v>55</v>
      </c>
      <c r="T17" s="199"/>
    </row>
    <row r="18" spans="2:20">
      <c r="B18" s="200" t="s">
        <v>29</v>
      </c>
      <c r="C18" s="8">
        <v>2</v>
      </c>
      <c r="D18" s="8">
        <f>E8*D8/10000*C18</f>
        <v>0.93600000000000005</v>
      </c>
      <c r="E18" s="19">
        <f t="shared" ref="E18:E22" si="0">D18*$D$11</f>
        <v>8.2555200000000006</v>
      </c>
      <c r="F18" s="186"/>
      <c r="I18" s="8" t="s">
        <v>29</v>
      </c>
      <c r="J18" s="8">
        <v>2</v>
      </c>
      <c r="K18" s="8">
        <f>L8*K8/10000*J18</f>
        <v>0.8</v>
      </c>
      <c r="L18" s="11">
        <f>K18*$K$11</f>
        <v>7.0560000000000009</v>
      </c>
      <c r="M18" s="186"/>
      <c r="P18" s="8" t="s">
        <v>29</v>
      </c>
      <c r="Q18" s="8">
        <v>2</v>
      </c>
      <c r="R18" s="8">
        <f>S8*R8/10000*Q18</f>
        <v>2.88</v>
      </c>
      <c r="S18" s="11">
        <f t="shared" ref="S18:S19" si="1">R18*$R$11</f>
        <v>25.401599999999998</v>
      </c>
      <c r="T18" s="201"/>
    </row>
    <row r="19" spans="2:20">
      <c r="B19" s="200" t="s">
        <v>30</v>
      </c>
      <c r="C19" s="8">
        <v>2</v>
      </c>
      <c r="D19" s="8">
        <f>C8*E8/10000*C19</f>
        <v>0.18</v>
      </c>
      <c r="E19" s="19">
        <f t="shared" si="0"/>
        <v>1.5875999999999999</v>
      </c>
      <c r="F19" s="186"/>
      <c r="I19" s="8" t="s">
        <v>30</v>
      </c>
      <c r="J19" s="8">
        <v>2</v>
      </c>
      <c r="K19" s="8">
        <f>J8*L8/10000*J19</f>
        <v>0.72</v>
      </c>
      <c r="L19" s="11">
        <f>K19*$K$11</f>
        <v>6.3503999999999996</v>
      </c>
      <c r="M19" s="186"/>
      <c r="P19" s="8" t="s">
        <v>30</v>
      </c>
      <c r="Q19" s="8">
        <v>2</v>
      </c>
      <c r="R19" s="8">
        <f>Q8*S8/10000*Q19</f>
        <v>0.72</v>
      </c>
      <c r="S19" s="11">
        <f t="shared" si="1"/>
        <v>6.3503999999999996</v>
      </c>
      <c r="T19" s="201"/>
    </row>
    <row r="20" spans="2:20">
      <c r="B20" s="200" t="s">
        <v>31</v>
      </c>
      <c r="C20" s="8">
        <f>Orçamento_Cozinhas!D34</f>
        <v>0</v>
      </c>
      <c r="D20" s="8">
        <f>C8*E8/10000*C20</f>
        <v>0</v>
      </c>
      <c r="E20" s="19">
        <f t="shared" si="0"/>
        <v>0</v>
      </c>
      <c r="F20" s="186"/>
      <c r="I20" s="8" t="s">
        <v>31</v>
      </c>
      <c r="J20" s="8">
        <f>Orçamento_Cozinhas!D90</f>
        <v>1</v>
      </c>
      <c r="K20" s="8">
        <f>J8*L8/10000*J20</f>
        <v>0.36</v>
      </c>
      <c r="L20" s="11">
        <f>K20*$K$11</f>
        <v>3.1751999999999998</v>
      </c>
      <c r="M20" s="186"/>
      <c r="P20" s="8" t="s">
        <v>31</v>
      </c>
      <c r="Q20" s="8">
        <f>Orçamento_Cozinhas!D144</f>
        <v>3</v>
      </c>
      <c r="R20" s="8">
        <f>Q8*S8/10000*Q20</f>
        <v>1.08</v>
      </c>
      <c r="S20" s="11">
        <f>R20*$R$11</f>
        <v>9.5256000000000007</v>
      </c>
      <c r="T20" s="201"/>
    </row>
    <row r="21" spans="2:20">
      <c r="B21" s="200" t="s">
        <v>32</v>
      </c>
      <c r="C21" s="8">
        <f>Orçamento_Cozinhas!D36</f>
        <v>1</v>
      </c>
      <c r="D21" s="8">
        <f>D8*C8/10000*C21</f>
        <v>0.11700000000000001</v>
      </c>
      <c r="E21" s="19">
        <f t="shared" si="0"/>
        <v>1.0319400000000001</v>
      </c>
      <c r="F21" s="186"/>
      <c r="I21" s="8" t="s">
        <v>32</v>
      </c>
      <c r="J21" s="8">
        <f>Orçamento_Cozinhas!D92</f>
        <v>1</v>
      </c>
      <c r="K21" s="8">
        <f>K8*J8/10000*J21</f>
        <v>0.9</v>
      </c>
      <c r="L21" s="11">
        <f>K21*$K$11</f>
        <v>7.9380000000000006</v>
      </c>
      <c r="M21" s="186"/>
      <c r="P21" s="8" t="s">
        <v>32</v>
      </c>
      <c r="Q21" s="8">
        <f>Orçamento_Cozinhas!D146</f>
        <v>1</v>
      </c>
      <c r="R21" s="8">
        <f>R8*Q8/10000*Q21</f>
        <v>1.44</v>
      </c>
      <c r="S21" s="11">
        <f>R21*$R$11</f>
        <v>12.700799999999999</v>
      </c>
      <c r="T21" s="201"/>
    </row>
    <row r="22" spans="2:20">
      <c r="B22" s="200" t="s">
        <v>33</v>
      </c>
      <c r="C22" s="8">
        <f>Orçamento_Cozinhas!D38</f>
        <v>0</v>
      </c>
      <c r="D22" s="8">
        <f>D8*E8/10000*C22</f>
        <v>0</v>
      </c>
      <c r="E22" s="19">
        <f t="shared" si="0"/>
        <v>0</v>
      </c>
      <c r="F22" s="186"/>
      <c r="I22" s="8" t="s">
        <v>33</v>
      </c>
      <c r="J22" s="8">
        <f>Orçamento_Cozinhas!D94</f>
        <v>0</v>
      </c>
      <c r="K22" s="8">
        <f>K8*L8/10000*J22</f>
        <v>0</v>
      </c>
      <c r="L22" s="11">
        <f>K22*$K$11</f>
        <v>0</v>
      </c>
      <c r="M22" s="186"/>
      <c r="P22" s="8" t="s">
        <v>1329</v>
      </c>
      <c r="Q22" s="8">
        <f>Orçamento_Cozinhas!D148</f>
        <v>0</v>
      </c>
      <c r="R22" s="8">
        <f>R8*S8/10000*Q22</f>
        <v>0</v>
      </c>
      <c r="S22" s="11">
        <f>(R22*Q22)*$R$11</f>
        <v>0</v>
      </c>
      <c r="T22" s="201"/>
    </row>
    <row r="23" spans="2:20">
      <c r="B23" s="200" t="s">
        <v>142</v>
      </c>
      <c r="C23" s="8">
        <f>((($C$8*$D$8))+(($C$8*$E$8)*2)+(($D$8*$E$8)*2))/10000</f>
        <v>1.2330000000000001</v>
      </c>
      <c r="D23" s="8">
        <f>C23+D20+D22</f>
        <v>1.2330000000000001</v>
      </c>
      <c r="E23" s="19">
        <f>IF(_xlfn.XLOOKUP(D10,'Preços_Placas &amp; Seccionadora'!I60:I138,'Preços_Placas &amp; Seccionadora'!J60:J138, "")="Não Pintar", 0, D23*D13)</f>
        <v>0</v>
      </c>
      <c r="F23" s="186"/>
      <c r="I23" s="8" t="s">
        <v>142</v>
      </c>
      <c r="J23" s="8">
        <f>((($J$8*$K$8))+(($J$8*$L$8)*2)+(($K$8*$L$8)*2))/10000</f>
        <v>2.42</v>
      </c>
      <c r="K23" s="8">
        <f>J23+K22+K20</f>
        <v>2.78</v>
      </c>
      <c r="L23" s="11">
        <f>IF(_xlfn.XLOOKUP(K10,'Preços_Placas &amp; Seccionadora'!I60:I138,'Preços_Placas &amp; Seccionadora'!J60:J138, "")="Não Pintar", 0, K23*K13)</f>
        <v>0</v>
      </c>
      <c r="M23" s="186"/>
      <c r="P23" s="8" t="s">
        <v>142</v>
      </c>
      <c r="Q23" s="8">
        <f>((($Q$8*$R$8))+(($Q$8*$S$8)*2)+(($R$8*$S$8)*2))/10000</f>
        <v>5.04</v>
      </c>
      <c r="R23" s="8">
        <f>Q23+R20+R22</f>
        <v>6.12</v>
      </c>
      <c r="S23" s="11">
        <f>IF(_xlfn.XLOOKUP(R10,'Preços_Placas &amp; Seccionadora'!I60:I138,'Preços_Placas &amp; Seccionadora'!J60:J138, "")="Não Pintar", 0, R23*R13)</f>
        <v>0</v>
      </c>
      <c r="T23" s="201"/>
    </row>
    <row r="24" spans="2:20">
      <c r="B24" s="200" t="s">
        <v>1387</v>
      </c>
      <c r="C24" s="8">
        <f>IF(Orçamento_Cozinhas!E19="Sim", 2, IF(OR(Orçamento_Cozinhas!E19="Só Cima",Orçamento_Cozinhas!E19="Só Baixo"), 1, 0))</f>
        <v>2</v>
      </c>
      <c r="D24" s="8">
        <f>C24*((C8/100)*(E8/100))</f>
        <v>0.18</v>
      </c>
      <c r="E24" s="19">
        <f>D24*$D$40</f>
        <v>1.5264</v>
      </c>
      <c r="F24" s="186"/>
      <c r="I24" s="8" t="s">
        <v>1387</v>
      </c>
      <c r="J24" s="8">
        <f>IF(Orçamento_Cozinhas!E75="Sim", 2, IF(OR(Orçamento_Cozinhas!E75="Só Cima",Orçamento_Cozinhas!E75="Só Baixo"), 1, 0))</f>
        <v>2</v>
      </c>
      <c r="K24" s="8">
        <f>J24 * ((J8/100) * (L8/100))</f>
        <v>0.72000000000000008</v>
      </c>
      <c r="L24" s="11">
        <f>K24*$K$40</f>
        <v>12.894500882723836</v>
      </c>
      <c r="M24" s="186"/>
      <c r="P24" s="8" t="s">
        <v>1387</v>
      </c>
      <c r="Q24" s="8">
        <f>IF(Orçamento_Cozinhas!E129="Sim", 2, IF(OR(Orçamento_Cozinhas!E129="Só Cima",Orçamento_Cozinhas!E129="Só Baixo"), 1, 0))</f>
        <v>2</v>
      </c>
      <c r="R24" s="8">
        <f>Q24 * ((Q8/100) * (S8/100))</f>
        <v>0.72</v>
      </c>
      <c r="S24" s="11">
        <f>R24*$R$40</f>
        <v>8.0567999999999991</v>
      </c>
      <c r="T24" s="201"/>
    </row>
    <row r="25" spans="2:20">
      <c r="B25" s="200" t="s">
        <v>1388</v>
      </c>
      <c r="C25" s="8">
        <f>IF(Orçamento_Cozinhas!E21="Sim", 2, IF(OR(Orçamento_Cozinhas!E21="Só Cima",Orçamento_Cozinhas!E21="Só Baixo"), 1, 0))</f>
        <v>2</v>
      </c>
      <c r="D25" s="8">
        <f>C25 * ((D8/100) * (E8/100))</f>
        <v>0.93599999999999994</v>
      </c>
      <c r="E25" s="19">
        <f>D25*D40</f>
        <v>7.9372800000000003</v>
      </c>
      <c r="F25" s="186"/>
      <c r="I25" s="8" t="s">
        <v>1388</v>
      </c>
      <c r="J25" s="8">
        <f>IF(Orçamento_Cozinhas!E77="Sim", 2, IF(OR(Orçamento_Cozinhas!E77="Só Cima",Orçamento_Cozinhas!E77="Só Baixo"), 1, 0))</f>
        <v>2</v>
      </c>
      <c r="K25" s="8">
        <f>J25 * ((K8/100) * (L8/100))</f>
        <v>0.8</v>
      </c>
      <c r="L25" s="11">
        <f>K25*$K$40</f>
        <v>14.327223203026485</v>
      </c>
      <c r="M25" s="186"/>
      <c r="P25" s="8" t="s">
        <v>1388</v>
      </c>
      <c r="Q25" s="8">
        <f>IF(Orçamento_Cozinhas!E131="Sim", 2, IF(OR(Orçamento_Cozinhas!E131="Só Esquerda", Orçamento_Cozinhas!E131="Só Direita"), 1, 0))</f>
        <v>2</v>
      </c>
      <c r="R25" s="8">
        <f>Q25 * ((R8/100) * (S8/100))</f>
        <v>2.88</v>
      </c>
      <c r="S25" s="11">
        <f>R25*$R$40</f>
        <v>32.227199999999996</v>
      </c>
      <c r="T25" s="201"/>
    </row>
    <row r="26" spans="2:20" ht="14.25" customHeight="1">
      <c r="B26" s="200" t="s">
        <v>1391</v>
      </c>
      <c r="C26" s="8">
        <f>Orçamento_Cozinhas!E41+Orçamento_Cozinhas!E43+Orçamento_Cozinhas!E45+Orçamento_Cozinhas!E47</f>
        <v>0</v>
      </c>
      <c r="D26" s="8">
        <f>C26*(((C8*E8)-32.5-17)/10000)</f>
        <v>0</v>
      </c>
      <c r="E26" s="11">
        <f>D26*D11</f>
        <v>0</v>
      </c>
      <c r="F26" s="186"/>
      <c r="I26" s="8" t="s">
        <v>1391</v>
      </c>
      <c r="J26" s="8">
        <f>Orçamento_Cozinhas!E97+Orçamento_Cozinhas!E99+Orçamento_Cozinhas!E101+Orçamento_Cozinhas!E103</f>
        <v>0</v>
      </c>
      <c r="K26" s="8">
        <f>J26*(((J8*L8)-32.5-17)/10000)</f>
        <v>0</v>
      </c>
      <c r="L26" s="11">
        <f>K26*K11</f>
        <v>0</v>
      </c>
      <c r="M26" s="186"/>
      <c r="P26" s="8" t="s">
        <v>1391</v>
      </c>
      <c r="Q26" s="8">
        <f>Orçamento_Cozinhas!E151+Orçamento_Cozinhas!E153+Orçamento_Cozinhas!E155+Orçamento_Cozinhas!E157</f>
        <v>2</v>
      </c>
      <c r="R26" s="8">
        <f>Q26*(((Q8*S8)-32.5-17)/10000)</f>
        <v>0.71009999999999995</v>
      </c>
      <c r="S26" s="11">
        <f>R26*R11</f>
        <v>6.2630819999999998</v>
      </c>
      <c r="T26" s="201"/>
    </row>
    <row r="27" spans="2:20">
      <c r="B27" s="200" t="s">
        <v>1401</v>
      </c>
      <c r="C27" s="8">
        <v>1</v>
      </c>
      <c r="D27" s="8"/>
      <c r="E27" s="19">
        <f>IF(C8 &lt; 80, 'Preços_Pés, Fixação e Organiza.'!C25, 'Preços_Pés, Fixação e Organiza.'!C26)</f>
        <v>4.2919999999999998</v>
      </c>
      <c r="I27" s="8" t="s">
        <v>1401</v>
      </c>
      <c r="J27" s="8">
        <v>1</v>
      </c>
      <c r="K27" s="8"/>
      <c r="L27" s="19">
        <f>IF(J8 &lt; 80, 'Preços_Pés, Fixação e Organiza.'!C25, 'Preços_Pés, Fixação e Organiza.'!C26)</f>
        <v>6.4379999999999997</v>
      </c>
      <c r="P27" s="8" t="s">
        <v>1401</v>
      </c>
      <c r="Q27" s="8">
        <v>1</v>
      </c>
      <c r="R27" s="8"/>
      <c r="S27" s="19">
        <f>IF(Q8 &lt; 80, 'Preços_Pés, Fixação e Organiza.'!C25, 'Preços_Pés, Fixação e Organiza.'!C26)</f>
        <v>4.2919999999999998</v>
      </c>
      <c r="T27" s="53"/>
    </row>
    <row r="28" spans="2:20">
      <c r="B28" s="49"/>
      <c r="T28" s="53"/>
    </row>
    <row r="29" spans="2:20">
      <c r="B29" s="200" t="s">
        <v>35</v>
      </c>
      <c r="C29" s="17">
        <f>((4*C8+4*D8+4*E8)+(C22*D8+C22*E8)+(C20*C8+C20*E8))/100</f>
        <v>6.12</v>
      </c>
      <c r="D29" s="8">
        <f>C29</f>
        <v>6.12</v>
      </c>
      <c r="E29" s="11">
        <f>D29*D15</f>
        <v>3.7585368000000003</v>
      </c>
      <c r="I29" s="8" t="s">
        <v>35</v>
      </c>
      <c r="J29" s="17">
        <f>((4*J8+4*K8+4*L8)+(J22*K8+J22*L8)+(J20*J8+J20*L8))/100</f>
        <v>10.5</v>
      </c>
      <c r="K29" s="8">
        <f>J29</f>
        <v>10.5</v>
      </c>
      <c r="L29" s="11">
        <f>K29*K15</f>
        <v>6.51</v>
      </c>
      <c r="P29" s="8" t="s">
        <v>35</v>
      </c>
      <c r="Q29" s="17">
        <f>((4*Q8+4*R8+4*S8)+(Q22*R8+Q22*S8)+(Q20*Q8+Q20*S8))/100</f>
        <v>18</v>
      </c>
      <c r="R29" s="8">
        <f>Q29</f>
        <v>18</v>
      </c>
      <c r="S29" s="11">
        <f>R29*R15</f>
        <v>11.05452</v>
      </c>
      <c r="T29" s="53"/>
    </row>
    <row r="30" spans="2:20">
      <c r="B30" s="202"/>
      <c r="C30" s="12"/>
      <c r="D30" s="12"/>
      <c r="E30" s="12"/>
      <c r="I30" s="12"/>
      <c r="J30" s="12"/>
      <c r="K30" s="12"/>
      <c r="L30" s="12"/>
      <c r="P30" s="12"/>
      <c r="Q30" s="12"/>
      <c r="R30" s="12"/>
      <c r="S30" s="12"/>
      <c r="T30" s="53"/>
    </row>
    <row r="31" spans="2:20">
      <c r="B31" s="203" t="s">
        <v>140</v>
      </c>
      <c r="C31" s="39"/>
      <c r="D31" s="40" t="s">
        <v>49</v>
      </c>
      <c r="E31" s="41">
        <f>SUM(E18:E27)+SUM(E29)</f>
        <v>28.389276800000005</v>
      </c>
      <c r="I31" s="38" t="s">
        <v>140</v>
      </c>
      <c r="J31" s="39"/>
      <c r="K31" s="40" t="s">
        <v>49</v>
      </c>
      <c r="L31" s="41">
        <f>SUM(L18:L27)+SUM(L29)</f>
        <v>64.689324085750329</v>
      </c>
      <c r="P31" s="38" t="s">
        <v>140</v>
      </c>
      <c r="Q31" s="39"/>
      <c r="R31" s="40" t="s">
        <v>49</v>
      </c>
      <c r="S31" s="41">
        <f>SUM(S18:S27)+SUM(S29)</f>
        <v>115.87200199999999</v>
      </c>
      <c r="T31" s="53"/>
    </row>
    <row r="32" spans="2:20">
      <c r="B32" s="49"/>
      <c r="T32" s="53"/>
    </row>
    <row r="33" spans="2:20">
      <c r="B33" s="49"/>
      <c r="T33" s="53"/>
    </row>
    <row r="34" spans="2:20">
      <c r="B34" s="49"/>
      <c r="T34" s="53"/>
    </row>
    <row r="35" spans="2:20">
      <c r="B35" s="50" t="s">
        <v>37</v>
      </c>
      <c r="C35" s="5" t="s">
        <v>19</v>
      </c>
      <c r="D35" s="5" t="s">
        <v>20</v>
      </c>
      <c r="E35" s="5"/>
      <c r="I35" s="6" t="s">
        <v>37</v>
      </c>
      <c r="J35" s="5" t="s">
        <v>19</v>
      </c>
      <c r="K35" s="5" t="s">
        <v>20</v>
      </c>
      <c r="L35" s="5"/>
      <c r="P35" s="6" t="s">
        <v>37</v>
      </c>
      <c r="Q35" s="5" t="s">
        <v>19</v>
      </c>
      <c r="R35" s="5" t="s">
        <v>20</v>
      </c>
      <c r="S35" s="5"/>
      <c r="T35" s="53"/>
    </row>
    <row r="36" spans="2:20">
      <c r="B36" s="49"/>
      <c r="C36" s="13">
        <f>(C8-((0.3*$D$5)+0.3))/$D$5</f>
        <v>14.4</v>
      </c>
      <c r="D36" s="14">
        <f>$D$8</f>
        <v>78</v>
      </c>
      <c r="E36" s="14">
        <v>0.16</v>
      </c>
      <c r="J36" s="13">
        <f>(J8-((0.3*$K$5)+0.3))/$K$5</f>
        <v>44.55</v>
      </c>
      <c r="K36" s="14">
        <f>$K$8</f>
        <v>100</v>
      </c>
      <c r="L36" s="14">
        <v>0.16</v>
      </c>
      <c r="Q36" s="13">
        <f>(Q8-((0.3*$R$5)+0.3))/$R$5</f>
        <v>8.2285714285714295</v>
      </c>
      <c r="R36" s="14">
        <f>$R$8</f>
        <v>240</v>
      </c>
      <c r="S36" s="14">
        <v>0.16</v>
      </c>
      <c r="T36" s="53"/>
    </row>
    <row r="37" spans="2:20">
      <c r="B37" s="49"/>
      <c r="T37" s="53"/>
    </row>
    <row r="38" spans="2:20">
      <c r="B38" s="49"/>
      <c r="C38" s="7" t="s">
        <v>22</v>
      </c>
      <c r="D38" s="8">
        <f>SUM(D51:D53)</f>
        <v>3.3039168000000001</v>
      </c>
      <c r="E38" t="s">
        <v>23</v>
      </c>
      <c r="J38" s="7" t="s">
        <v>22</v>
      </c>
      <c r="K38" s="8">
        <f>SUM(K51:K53)</f>
        <v>5.7521256000000003</v>
      </c>
      <c r="L38" t="s">
        <v>23</v>
      </c>
      <c r="Q38" s="7" t="s">
        <v>22</v>
      </c>
      <c r="R38" s="8">
        <f>SUM(R51:R53)</f>
        <v>9.1649718857142854</v>
      </c>
      <c r="S38" t="s">
        <v>23</v>
      </c>
      <c r="T38" s="53"/>
    </row>
    <row r="39" spans="2:20">
      <c r="B39" s="49"/>
      <c r="C39" s="7" t="s">
        <v>141</v>
      </c>
      <c r="D39" s="17" t="str">
        <f>Orçamento_Cozinhas!E13</f>
        <v>Melamina Branca Hidrófuga B3768 - 16mm</v>
      </c>
      <c r="J39" s="7" t="s">
        <v>141</v>
      </c>
      <c r="K39" s="8" t="str">
        <f>Orçamento_Cozinhas!E69</f>
        <v>Termolaminado Cinza Alto Brilho - 19mm</v>
      </c>
      <c r="Q39" s="7" t="s">
        <v>141</v>
      </c>
      <c r="R39" s="8" t="str">
        <f>Orçamento_Cozinhas!E123</f>
        <v>MDF Hidrófugo - 19mm</v>
      </c>
      <c r="T39" s="53"/>
    </row>
    <row r="40" spans="2:20">
      <c r="B40" s="49"/>
      <c r="C40" s="7" t="s">
        <v>24</v>
      </c>
      <c r="D40" s="16">
        <f>IFERROR(VLOOKUP(D39,'Preços_Placas &amp; Seccionadora'!M73:N151, 2, FALSE), 0)</f>
        <v>8.48</v>
      </c>
      <c r="J40" s="7" t="s">
        <v>24</v>
      </c>
      <c r="K40" s="16">
        <f>IFERROR(VLOOKUP(K39,'Preços_Placas &amp; Seccionadora'!M73:N146, 2, FALSE), 0)</f>
        <v>17.909029003783104</v>
      </c>
      <c r="Q40" s="7" t="s">
        <v>24</v>
      </c>
      <c r="R40" s="16">
        <f>IFERROR(VLOOKUP(R39,'Preços_Placas &amp; Seccionadora'!M73:N146, 2, FALSE), 0)</f>
        <v>11.19</v>
      </c>
      <c r="T40" s="53"/>
    </row>
    <row r="41" spans="2:20">
      <c r="B41" s="49"/>
      <c r="C41" s="7" t="s">
        <v>25</v>
      </c>
      <c r="D41" s="16">
        <f>D15</f>
        <v>0.61414000000000002</v>
      </c>
      <c r="J41" s="7" t="s">
        <v>25</v>
      </c>
      <c r="K41" s="16">
        <f>K15</f>
        <v>0.62</v>
      </c>
      <c r="Q41" s="7" t="s">
        <v>25</v>
      </c>
      <c r="R41" s="16">
        <f>R15</f>
        <v>0.61414000000000002</v>
      </c>
      <c r="T41" s="53"/>
    </row>
    <row r="42" spans="2:20">
      <c r="B42" s="49"/>
      <c r="C42" s="7" t="s">
        <v>142</v>
      </c>
      <c r="D42" s="11" t="str">
        <f>Orçamento_Cozinhas!E15</f>
        <v>Velaturas Claras c/ Afinação</v>
      </c>
      <c r="J42" s="7" t="s">
        <v>142</v>
      </c>
      <c r="K42" s="11" t="str">
        <f>Orçamento_Cozinhas!E71</f>
        <v>Nenhuma</v>
      </c>
      <c r="Q42" s="7" t="s">
        <v>142</v>
      </c>
      <c r="R42" s="11" t="str">
        <f>Orçamento_Cozinhas!E125</f>
        <v>Esmalte Mate Branco</v>
      </c>
      <c r="T42" s="53"/>
    </row>
    <row r="43" spans="2:20">
      <c r="B43" s="49"/>
      <c r="C43" s="7" t="s">
        <v>143</v>
      </c>
      <c r="D43" s="11">
        <f>IF(_xlfn.XLOOKUP(D39, 'Preços_Placas &amp; Seccionadora'!$I$60:$I$199, 'Preços_Placas &amp; Seccionadora'!$J$60:$J$199, "Não Pintar")="Não Pintar", 0, IFERROR(VLOOKUP(D42,Preço_Pintura!J37:K46, 2, FALSE), 0))</f>
        <v>0</v>
      </c>
      <c r="E43" t="s">
        <v>38</v>
      </c>
      <c r="J43" s="7" t="s">
        <v>143</v>
      </c>
      <c r="K43" s="11">
        <f>IF(_xlfn.XLOOKUP(K39, 'Preços_Placas &amp; Seccionadora'!$I$60:$I$199, 'Preços_Placas &amp; Seccionadora'!$J$60:$J$199, "Não Pintar")="Não Pintar", 0, IFERROR(VLOOKUP(K42,Preço_Pintura!J37:K46, 2, FALSE), 0))</f>
        <v>0</v>
      </c>
      <c r="L43" t="s">
        <v>38</v>
      </c>
      <c r="Q43" s="7" t="s">
        <v>143</v>
      </c>
      <c r="R43" s="11">
        <f>IF(_xlfn.XLOOKUP(R39, 'Preços_Placas &amp; Seccionadora'!$I$60:$I$199, 'Preços_Placas &amp; Seccionadora'!$J$60:$J$199, "Não Pintar")="Não Pintar", 0, IFERROR(VLOOKUP(R42,Preço_Pintura!J37:K46, 2, FALSE), 0))</f>
        <v>27.693180000000002</v>
      </c>
      <c r="S43" t="s">
        <v>38</v>
      </c>
      <c r="T43" s="53"/>
    </row>
    <row r="44" spans="2:20">
      <c r="B44" s="49"/>
      <c r="C44" s="7" t="s">
        <v>1323</v>
      </c>
      <c r="D44" s="11" t="str">
        <f>Orçamento_Cozinhas!E17</f>
        <v>Normal</v>
      </c>
      <c r="J44" s="7" t="s">
        <v>1323</v>
      </c>
      <c r="K44" s="11" t="str">
        <f>Orçamento_Cozinhas!E73</f>
        <v>Tip-on (Pulsador Preto) / Tic-Tac</v>
      </c>
      <c r="Q44" s="7" t="s">
        <v>1323</v>
      </c>
      <c r="R44" s="11" t="str">
        <f>Orçamento_Cozinhas!E127</f>
        <v>Tip-on (Pulsador Preto) / Tic-Tac</v>
      </c>
      <c r="T44" s="53"/>
    </row>
    <row r="45" spans="2:20">
      <c r="B45" s="49"/>
      <c r="C45" s="7" t="s">
        <v>1344</v>
      </c>
      <c r="D45" s="11">
        <f>IFERROR(VLOOKUP(D44,'Preço_Sistema Abertura Portas'!D46:E51, 2, FALSE), 0)</f>
        <v>0</v>
      </c>
      <c r="J45" s="7" t="s">
        <v>1344</v>
      </c>
      <c r="K45" s="11">
        <f>IFERROR(VLOOKUP(K44,'Preço_Sistema Abertura Portas'!D46:E51, 2, FALSE), 0)</f>
        <v>4.5446666666666671</v>
      </c>
      <c r="Q45" s="7" t="s">
        <v>1344</v>
      </c>
      <c r="R45" s="11">
        <f>IFERROR(VLOOKUP(R44,'Preço_Sistema Abertura Portas'!D46:E51, 2, FALSE), 0)</f>
        <v>4.5446666666666671</v>
      </c>
      <c r="T45" s="53"/>
    </row>
    <row r="46" spans="2:20">
      <c r="B46" s="49"/>
      <c r="C46" s="7" t="s">
        <v>1358</v>
      </c>
      <c r="D46" s="11" t="str">
        <f>Orçamento_Cozinhas!E23</f>
        <v>Dobradiça Standard (com mola)</v>
      </c>
      <c r="J46" s="7" t="s">
        <v>1358</v>
      </c>
      <c r="K46" s="11" t="str">
        <f>Orçamento_Cozinhas!E79</f>
        <v>Dobradiça Standard (com mola)</v>
      </c>
      <c r="Q46" s="7" t="s">
        <v>1358</v>
      </c>
      <c r="R46" s="11" t="str">
        <f>Orçamento_Cozinhas!E133</f>
        <v>Dobradiça Standard (com mola)</v>
      </c>
      <c r="T46" s="53"/>
    </row>
    <row r="47" spans="2:20">
      <c r="B47" s="49"/>
      <c r="C47" s="7" t="s">
        <v>39</v>
      </c>
      <c r="D47" s="8">
        <f>IF(SUM(C59:C64)&gt;0,0,IF(C26&gt;0,0,IF(D36&lt;=89,2,IF(R36&lt;=180,3,IF(R36&lt;=240,4,5)))))</f>
        <v>2</v>
      </c>
      <c r="J47" s="7" t="s">
        <v>39</v>
      </c>
      <c r="K47" s="8">
        <f>IF(SUM(J59:J64)&gt;0,0,IF(J26&gt;0,0,IF(K36&lt;=89,2,IF(R36&lt;=180,3,IF(R36&lt;=240,4,5)))))</f>
        <v>4</v>
      </c>
      <c r="Q47" s="7" t="s">
        <v>39</v>
      </c>
      <c r="R47" s="8">
        <f>IF(SUM(Q59:Q64)&gt;0,0,IF(Q26&gt;0,0,IF(R36&lt;=89,2,IF(R36&lt;=180,3,IF(R36&lt;=240,4,5)))))</f>
        <v>0</v>
      </c>
      <c r="T47" s="53"/>
    </row>
    <row r="48" spans="2:20">
      <c r="B48" s="49"/>
      <c r="C48" s="7" t="s">
        <v>40</v>
      </c>
      <c r="D48" s="16">
        <f>IFERROR(VLOOKUP(IF(D44="Tip-on (Pulsador Preto) / Tic-Tac", "Dobradiça Livre (sem mola)", D46), 'Preço_Sistema Abertura Portas'!D42:E44, 2, FALSE), 0)</f>
        <v>3.2876666666666665</v>
      </c>
      <c r="J48" s="7" t="s">
        <v>40</v>
      </c>
      <c r="K48" s="16">
        <f>IFERROR(VLOOKUP(IF(K44="Tip-on (Pulsador Preto) / Tic-Tac", "Dobradiça Livre (sem mola)", K46), 'Preço_Sistema Abertura Portas'!D42:E44, 2, FALSE), 0)</f>
        <v>3.3376666666666663</v>
      </c>
      <c r="Q48" s="7" t="s">
        <v>1379</v>
      </c>
      <c r="R48" s="16">
        <f>IFERROR(VLOOKUP(IF(R44="Tip-on (Pulsador Preto) / Tic-Tac", "Dobradiça Livre (sem mola)", R46), 'Preço_Sistema Abertura Portas'!D42:E44, 2, FALSE), 0)</f>
        <v>3.3376666666666663</v>
      </c>
      <c r="T48" s="53"/>
    </row>
    <row r="49" spans="2:20">
      <c r="B49" s="49"/>
      <c r="T49" s="53"/>
    </row>
    <row r="50" spans="2:20">
      <c r="B50" s="204" t="s">
        <v>26</v>
      </c>
      <c r="C50" s="15" t="s">
        <v>27</v>
      </c>
      <c r="D50" s="15" t="s">
        <v>41</v>
      </c>
      <c r="E50" s="15" t="s">
        <v>28</v>
      </c>
      <c r="F50" s="15" t="s">
        <v>42</v>
      </c>
      <c r="I50" s="15" t="s">
        <v>26</v>
      </c>
      <c r="J50" s="15" t="s">
        <v>27</v>
      </c>
      <c r="K50" s="15" t="s">
        <v>41</v>
      </c>
      <c r="L50" s="15" t="s">
        <v>28</v>
      </c>
      <c r="M50" s="15" t="s">
        <v>42</v>
      </c>
      <c r="P50" s="15" t="s">
        <v>26</v>
      </c>
      <c r="Q50" s="15" t="s">
        <v>27</v>
      </c>
      <c r="R50" s="15" t="s">
        <v>41</v>
      </c>
      <c r="S50" s="15" t="s">
        <v>28</v>
      </c>
      <c r="T50" s="205" t="s">
        <v>42</v>
      </c>
    </row>
    <row r="51" spans="2:20">
      <c r="B51" s="200" t="s">
        <v>43</v>
      </c>
      <c r="C51" s="8">
        <f>$D$5</f>
        <v>1</v>
      </c>
      <c r="D51" s="8">
        <f>(($C$36*$D$36)/10000)</f>
        <v>0.11232</v>
      </c>
      <c r="E51" s="11">
        <f>D51*D40</f>
        <v>0.95247360000000003</v>
      </c>
      <c r="F51" s="11">
        <f>E51*C51</f>
        <v>0.95247360000000003</v>
      </c>
      <c r="I51" s="8" t="s">
        <v>43</v>
      </c>
      <c r="J51" s="8">
        <f>$K$5</f>
        <v>2</v>
      </c>
      <c r="K51" s="89">
        <f>(($J$36*$K$36)/10000)</f>
        <v>0.44550000000000001</v>
      </c>
      <c r="L51" s="11">
        <f>K51*K40</f>
        <v>7.9784724211853728</v>
      </c>
      <c r="M51" s="8">
        <f>L51*J51</f>
        <v>15.956944842370746</v>
      </c>
      <c r="P51" s="8" t="s">
        <v>43</v>
      </c>
      <c r="Q51" s="8">
        <f>$R$5</f>
        <v>7</v>
      </c>
      <c r="R51" s="8">
        <f>(($Q$36*$R$36)/10000)</f>
        <v>0.19748571428571432</v>
      </c>
      <c r="S51" s="11">
        <f>R51*R40</f>
        <v>2.2098651428571432</v>
      </c>
      <c r="T51" s="206">
        <f>S51*Q51</f>
        <v>15.469056000000002</v>
      </c>
    </row>
    <row r="52" spans="2:20">
      <c r="B52" s="200" t="s">
        <v>35</v>
      </c>
      <c r="C52" s="8">
        <f>($C$36*2+$D$36*2)/100</f>
        <v>1.8480000000000001</v>
      </c>
      <c r="D52">
        <f>C52</f>
        <v>1.8480000000000001</v>
      </c>
      <c r="E52" s="11">
        <f>($D$52*$D$41)</f>
        <v>1.1349307200000001</v>
      </c>
      <c r="F52" s="11">
        <f>E52*C51</f>
        <v>1.1349307200000001</v>
      </c>
      <c r="I52" s="8" t="s">
        <v>35</v>
      </c>
      <c r="J52" s="8">
        <f>($J$36*2+$K$36*2)/100</f>
        <v>2.891</v>
      </c>
      <c r="K52" s="275">
        <f>J52</f>
        <v>2.891</v>
      </c>
      <c r="L52" s="11">
        <f>($K$52*$K$41)</f>
        <v>1.7924199999999999</v>
      </c>
      <c r="M52" s="8">
        <f>L52*J51</f>
        <v>3.5848399999999998</v>
      </c>
      <c r="P52" s="8" t="s">
        <v>35</v>
      </c>
      <c r="Q52" s="8">
        <f>($Q$36*2+$R$36*2)/100</f>
        <v>4.9645714285714284</v>
      </c>
      <c r="R52">
        <f>Q52</f>
        <v>4.9645714285714284</v>
      </c>
      <c r="S52" s="11">
        <f>($R$52*$R$41)</f>
        <v>3.048941897142857</v>
      </c>
      <c r="T52" s="206">
        <f>S52*Q51</f>
        <v>21.342593279999999</v>
      </c>
    </row>
    <row r="53" spans="2:20">
      <c r="B53" s="200" t="s">
        <v>44</v>
      </c>
      <c r="C53" s="8">
        <f>((($C$36*$D$36)*2)+(($C$36*$E$36)*2)+(($D$36*$E$36)*2))/10000</f>
        <v>0.22759680000000004</v>
      </c>
      <c r="D53" s="8">
        <f>C53+D24+D25</f>
        <v>1.3435968</v>
      </c>
      <c r="E53" s="11">
        <f>IF(_xlfn.XLOOKUP(D39,'Preços_Placas &amp; Seccionadora'!I60:I138,'Preços_Placas &amp; Seccionadora'!J60:J138, "")="Não Pintar", 0, Caixote_Custo!D53*D43)</f>
        <v>0</v>
      </c>
      <c r="F53" s="11">
        <f>E53*C51</f>
        <v>0</v>
      </c>
      <c r="I53" s="8" t="s">
        <v>44</v>
      </c>
      <c r="J53" s="8">
        <f>((($J$36*$K$36)*2)+(($J$36*$L$36)*2)+(($K$36*$L$36)*2))/10000</f>
        <v>0.89562559999999991</v>
      </c>
      <c r="K53" s="89">
        <f>J53+K24+K25</f>
        <v>2.4156256000000003</v>
      </c>
      <c r="L53" s="11">
        <f>IF(_xlfn.XLOOKUP(K39,'Preços_Placas &amp; Seccionadora'!I60:I138,'Preços_Placas &amp; Seccionadora'!J60:J138, "")="Não Pintar", 0, Caixote_Custo!K53*K43)</f>
        <v>0</v>
      </c>
      <c r="M53" s="11">
        <f>L53*J51</f>
        <v>0</v>
      </c>
      <c r="P53" s="97" t="s">
        <v>44</v>
      </c>
      <c r="Q53" s="97">
        <f>((($Q$36*$R$36)*2)+(($Q$36*$S$36)*2)+(($R$36*$S$36)*2))/10000</f>
        <v>0.40291474285714296</v>
      </c>
      <c r="R53" s="320">
        <f>Q53+R24+R25</f>
        <v>4.0029147428571425</v>
      </c>
      <c r="S53" s="246">
        <f>IF(_xlfn.XLOOKUP(R39,'Preços_Placas &amp; Seccionadora'!I60:I138,'Preços_Placas &amp; Seccionadora'!J60:J138, "")="Não Pintar", 0, Caixote_Custo!R53*R43)</f>
        <v>110.85343849859657</v>
      </c>
      <c r="T53" s="276">
        <f>S53*Q51</f>
        <v>775.97406949017602</v>
      </c>
    </row>
    <row r="54" spans="2:20">
      <c r="B54" s="49"/>
      <c r="E54" s="186"/>
      <c r="F54" s="186"/>
      <c r="K54" s="275"/>
      <c r="L54" s="186"/>
      <c r="M54" s="186"/>
      <c r="P54" s="12"/>
      <c r="Q54" s="12"/>
      <c r="R54" s="12"/>
      <c r="S54" s="247"/>
      <c r="T54" s="277"/>
    </row>
    <row r="55" spans="2:20">
      <c r="B55" s="207" t="s">
        <v>36</v>
      </c>
      <c r="C55" s="11">
        <f>SUM(E51:E53)+(D47*D48)+D45</f>
        <v>8.662737653333334</v>
      </c>
      <c r="E55" s="17" t="s">
        <v>45</v>
      </c>
      <c r="F55" s="11">
        <f>IF(C51=0,0,C55*C51)</f>
        <v>8.662737653333334</v>
      </c>
      <c r="I55" s="17" t="s">
        <v>36</v>
      </c>
      <c r="J55" s="11">
        <f>SUM(L51:L53)+(K47*K48)+K45</f>
        <v>27.666225754518706</v>
      </c>
      <c r="K55" s="275"/>
      <c r="L55" s="17" t="s">
        <v>45</v>
      </c>
      <c r="M55" s="11">
        <f>IF(J51=0,0,J55*J51)</f>
        <v>55.332451509037412</v>
      </c>
      <c r="P55" s="17" t="s">
        <v>36</v>
      </c>
      <c r="Q55" s="11">
        <f>SUM($S$51:$S$53)+(($R$47*$R$48))+($R$45)</f>
        <v>120.65691220526324</v>
      </c>
      <c r="S55" s="17" t="s">
        <v>45</v>
      </c>
      <c r="T55" s="206">
        <f>IF($Q$51=0,0,$Q$55*$Q$51)</f>
        <v>844.5983854368427</v>
      </c>
    </row>
    <row r="56" spans="2:20">
      <c r="B56" s="49"/>
      <c r="E56" s="186"/>
      <c r="F56" s="186"/>
      <c r="K56" s="275"/>
      <c r="L56" s="186"/>
      <c r="M56" s="186"/>
      <c r="T56" s="278"/>
    </row>
    <row r="57" spans="2:20">
      <c r="B57" s="49"/>
      <c r="E57" s="186"/>
      <c r="F57" s="186"/>
      <c r="K57" s="275"/>
      <c r="L57" s="186"/>
      <c r="M57" s="186"/>
      <c r="T57" s="278"/>
    </row>
    <row r="58" spans="2:20">
      <c r="B58" s="204" t="s">
        <v>1381</v>
      </c>
      <c r="C58" s="15" t="s">
        <v>27</v>
      </c>
      <c r="D58" s="15"/>
      <c r="E58" s="15" t="s">
        <v>28</v>
      </c>
      <c r="F58" s="248" t="s">
        <v>42</v>
      </c>
      <c r="I58" s="15" t="s">
        <v>1381</v>
      </c>
      <c r="J58" s="15" t="s">
        <v>27</v>
      </c>
      <c r="K58" s="15"/>
      <c r="L58" s="15" t="s">
        <v>28</v>
      </c>
      <c r="M58" s="248" t="s">
        <v>42</v>
      </c>
      <c r="P58" s="15" t="s">
        <v>1381</v>
      </c>
      <c r="Q58" s="15" t="s">
        <v>27</v>
      </c>
      <c r="R58" s="15"/>
      <c r="S58" s="15" t="s">
        <v>28</v>
      </c>
      <c r="T58" s="279" t="s">
        <v>42</v>
      </c>
    </row>
    <row r="59" spans="2:20">
      <c r="B59" s="200" t="s">
        <v>1330</v>
      </c>
      <c r="C59" s="8">
        <f>SUMIF(Orçamento_Cozinhas!$D$41:$D$47, B59,Orçamento_Cozinhas!$E$41:$E$47)</f>
        <v>0</v>
      </c>
      <c r="D59" s="8"/>
      <c r="E59" s="11">
        <f>IFERROR(VLOOKUP(B59,Preços_Gavetas!$E$97:$F$108,2,FALSE),0)</f>
        <v>32.980000000000004</v>
      </c>
      <c r="F59" s="11">
        <f>C59*E59</f>
        <v>0</v>
      </c>
      <c r="I59" s="200" t="s">
        <v>1330</v>
      </c>
      <c r="J59" s="8">
        <f>SUMIF(Orçamento_Cozinhas!$D$97:$D$103, I59,Orçamento_Cozinhas!$E$97:$E$103)</f>
        <v>0</v>
      </c>
      <c r="K59" s="89"/>
      <c r="L59" s="11">
        <f>IFERROR(VLOOKUP(I59,Preços_Gavetas!$E$97:$F$108,2,FALSE),0)</f>
        <v>32.980000000000004</v>
      </c>
      <c r="M59" s="11">
        <f>J59*L59</f>
        <v>0</v>
      </c>
      <c r="P59" s="200" t="s">
        <v>1330</v>
      </c>
      <c r="Q59" s="8">
        <f>SUMIF(Orçamento_Cozinhas!$D$151:$D$157, P59, Orçamento_Cozinhas!$E$151:$E$157)</f>
        <v>2</v>
      </c>
      <c r="R59" s="8"/>
      <c r="S59" s="19">
        <f>IFERROR(VLOOKUP(P59,Preços_Gavetas!$E$97:$F$108,2,FALSE),0)</f>
        <v>32.980000000000004</v>
      </c>
      <c r="T59" s="280">
        <f>S59*Q59</f>
        <v>65.960000000000008</v>
      </c>
    </row>
    <row r="60" spans="2:20">
      <c r="B60" s="200" t="s">
        <v>1331</v>
      </c>
      <c r="C60" s="8">
        <f>SUMIF(Orçamento_Cozinhas!$D$41:$D$47, B60,Orçamento_Cozinhas!$E$41:$E$47)</f>
        <v>0</v>
      </c>
      <c r="D60" s="8"/>
      <c r="E60" s="11">
        <f>IFERROR(VLOOKUP(B60,Preços_Gavetas!$E$97:$F$108,2,FALSE),0)</f>
        <v>40.802</v>
      </c>
      <c r="F60" s="11">
        <f t="shared" ref="F60:F71" si="2">C60*E60</f>
        <v>0</v>
      </c>
      <c r="I60" s="200" t="s">
        <v>1331</v>
      </c>
      <c r="J60" s="8">
        <f>SUMIF(Orçamento_Cozinhas!$D$97:$D$103, I60,Orçamento_Cozinhas!$E$97:$E$103)</f>
        <v>0</v>
      </c>
      <c r="K60" s="89"/>
      <c r="L60" s="11">
        <f>IFERROR(VLOOKUP(I60,Preços_Gavetas!$E$97:$F$108,2,FALSE),0)</f>
        <v>40.802</v>
      </c>
      <c r="M60" s="11">
        <f t="shared" ref="M60:M71" si="3">J60*L60</f>
        <v>0</v>
      </c>
      <c r="P60" s="200" t="s">
        <v>1331</v>
      </c>
      <c r="Q60" s="8">
        <f>SUMIF(Orçamento_Cozinhas!$D$151:$D$157, P60, Orçamento_Cozinhas!$E$151:$E$157)</f>
        <v>0</v>
      </c>
      <c r="R60" s="8"/>
      <c r="S60" s="19">
        <f>IFERROR(VLOOKUP(P60,Preços_Gavetas!$E$97:$F$108,2,FALSE),0)</f>
        <v>40.802</v>
      </c>
      <c r="T60" s="280">
        <f t="shared" ref="T60:T63" si="4">S60*Q60</f>
        <v>0</v>
      </c>
    </row>
    <row r="61" spans="2:20">
      <c r="B61" s="200" t="s">
        <v>1332</v>
      </c>
      <c r="C61" s="8">
        <f>SUMIF(Orçamento_Cozinhas!$D$41:$D$47, B61,Orçamento_Cozinhas!$E$41:$E$47)</f>
        <v>0</v>
      </c>
      <c r="D61" s="8"/>
      <c r="E61" s="11">
        <f>IFERROR(VLOOKUP(B61,Preços_Gavetas!$E$97:$F$108,2,FALSE),0)</f>
        <v>48.582999999999998</v>
      </c>
      <c r="F61" s="11">
        <f>C61*E61</f>
        <v>0</v>
      </c>
      <c r="I61" s="200" t="s">
        <v>1332</v>
      </c>
      <c r="J61" s="8">
        <f>SUMIF(Orçamento_Cozinhas!$D$97:$D$103, I61,Orçamento_Cozinhas!$E$97:$E$103)</f>
        <v>0</v>
      </c>
      <c r="K61" s="89"/>
      <c r="L61" s="11">
        <f>IFERROR(VLOOKUP(I61,Preços_Gavetas!$E$97:$F$108,2,FALSE),0)</f>
        <v>48.582999999999998</v>
      </c>
      <c r="M61" s="11">
        <f t="shared" si="3"/>
        <v>0</v>
      </c>
      <c r="P61" s="200" t="s">
        <v>1332</v>
      </c>
      <c r="Q61" s="8">
        <f>SUMIF(Orçamento_Cozinhas!$D$151:$D$157, P61, Orçamento_Cozinhas!$E$151:$E$157)</f>
        <v>0</v>
      </c>
      <c r="R61" s="8"/>
      <c r="S61" s="19">
        <f>IFERROR(VLOOKUP(P61,Preços_Gavetas!$E$97:$F$108,2,FALSE),0)</f>
        <v>48.582999999999998</v>
      </c>
      <c r="T61" s="280">
        <f t="shared" si="4"/>
        <v>0</v>
      </c>
    </row>
    <row r="62" spans="2:20">
      <c r="B62" s="200" t="s">
        <v>34</v>
      </c>
      <c r="C62" s="8">
        <f>SUMIF(Orçamento_Cozinhas!$D$41:$D$47, B62,Orçamento_Cozinhas!$E$41:$E$47)</f>
        <v>0</v>
      </c>
      <c r="D62" s="8"/>
      <c r="E62" s="11">
        <f>IFERROR(VLOOKUP(B62,Preços_Gavetas!$E$97:$F$108,2,FALSE),0)</f>
        <v>49.045000000000002</v>
      </c>
      <c r="F62" s="11">
        <f t="shared" si="2"/>
        <v>0</v>
      </c>
      <c r="I62" s="200" t="s">
        <v>34</v>
      </c>
      <c r="J62" s="8">
        <f>SUMIF(Orçamento_Cozinhas!$D$97:$D$103, I62,Orçamento_Cozinhas!$E$97:$E$103)</f>
        <v>0</v>
      </c>
      <c r="K62" s="89"/>
      <c r="L62" s="11">
        <f>IFERROR(VLOOKUP(I62,Preços_Gavetas!$E$97:$F$108,2,FALSE),0)</f>
        <v>49.045000000000002</v>
      </c>
      <c r="M62" s="11">
        <f t="shared" si="3"/>
        <v>0</v>
      </c>
      <c r="P62" s="200" t="s">
        <v>34</v>
      </c>
      <c r="Q62" s="8">
        <f>SUMIF(Orçamento_Cozinhas!$D$151:$D$157, P62, Orçamento_Cozinhas!$E$151:$E$157)</f>
        <v>0</v>
      </c>
      <c r="R62" s="8"/>
      <c r="S62" s="19">
        <f>IFERROR(VLOOKUP(P62,Preços_Gavetas!$E$97:$F$108,2,FALSE),0)</f>
        <v>49.045000000000002</v>
      </c>
      <c r="T62" s="280">
        <f t="shared" si="4"/>
        <v>0</v>
      </c>
    </row>
    <row r="63" spans="2:20">
      <c r="B63" s="200" t="s">
        <v>1342</v>
      </c>
      <c r="C63" s="8">
        <f>SUMIF(Orçamento_Cozinhas!$D$41:$D$47, B63,Orçamento_Cozinhas!$E$41:$E$47)</f>
        <v>0</v>
      </c>
      <c r="D63" s="8"/>
      <c r="E63" s="11">
        <f>IFERROR(VLOOKUP(B63,Preços_Gavetas!$E$97:$F$108,2,FALSE),0)</f>
        <v>66.085999999999999</v>
      </c>
      <c r="F63" s="11">
        <f t="shared" si="2"/>
        <v>0</v>
      </c>
      <c r="I63" s="200" t="s">
        <v>1342</v>
      </c>
      <c r="J63" s="8">
        <f>SUMIF(Orçamento_Cozinhas!$D$97:$D$103, I63,Orçamento_Cozinhas!$E$97:$E$103)</f>
        <v>0</v>
      </c>
      <c r="K63" s="89"/>
      <c r="L63" s="11">
        <f>IFERROR(VLOOKUP(I63,Preços_Gavetas!$E$97:$F$108,2,FALSE),0)</f>
        <v>66.085999999999999</v>
      </c>
      <c r="M63" s="11">
        <f t="shared" si="3"/>
        <v>0</v>
      </c>
      <c r="P63" s="200" t="s">
        <v>1342</v>
      </c>
      <c r="Q63" s="8">
        <f>SUMIF(Orçamento_Cozinhas!$D$151:$D$157, P63, Orçamento_Cozinhas!$E$151:$E$157)</f>
        <v>0</v>
      </c>
      <c r="R63" s="8"/>
      <c r="S63" s="19">
        <f>IFERROR(VLOOKUP(P63,Preços_Gavetas!$E$97:$F$108,2,FALSE),0)</f>
        <v>66.085999999999999</v>
      </c>
      <c r="T63" s="280">
        <f t="shared" si="4"/>
        <v>0</v>
      </c>
    </row>
    <row r="64" spans="2:20">
      <c r="B64" s="200" t="s">
        <v>1343</v>
      </c>
      <c r="C64" s="8">
        <f>SUMIF(Orçamento_Cozinhas!$D$41:$D$47, B64,Orçamento_Cozinhas!$E$41:$E$47)</f>
        <v>0</v>
      </c>
      <c r="D64" s="8"/>
      <c r="E64" s="11">
        <f>IFERROR(VLOOKUP(B64,Preços_Gavetas!$E$97:$F$108,2,FALSE),0)</f>
        <v>67.209000000000003</v>
      </c>
      <c r="F64" s="11">
        <f t="shared" si="2"/>
        <v>0</v>
      </c>
      <c r="I64" s="200" t="s">
        <v>1343</v>
      </c>
      <c r="J64" s="8">
        <f>SUMIF(Orçamento_Cozinhas!$D$97:$D$103, I64,Orçamento_Cozinhas!$E$97:$E$103)</f>
        <v>0</v>
      </c>
      <c r="K64" s="89"/>
      <c r="L64" s="11">
        <f>IFERROR(VLOOKUP(I64,Preços_Gavetas!$E$97:$F$108,2,FALSE),0)</f>
        <v>67.209000000000003</v>
      </c>
      <c r="M64" s="11">
        <f t="shared" si="3"/>
        <v>0</v>
      </c>
      <c r="P64" s="200" t="s">
        <v>1343</v>
      </c>
      <c r="Q64" s="8">
        <f>SUMIF(Orçamento_Cozinhas!$D$151:$D$157, P64, Orçamento_Cozinhas!$E$151:$E$157)</f>
        <v>0</v>
      </c>
      <c r="R64" s="8"/>
      <c r="S64" s="19">
        <f>IFERROR(VLOOKUP(P64,Preços_Gavetas!$E$97:$F$108,2,FALSE),0)</f>
        <v>67.209000000000003</v>
      </c>
      <c r="T64" s="280">
        <f>S64*Q64</f>
        <v>0</v>
      </c>
    </row>
    <row r="65" spans="2:20">
      <c r="B65" s="200" t="s">
        <v>1555</v>
      </c>
      <c r="C65" s="8">
        <f>SUMIF(Orçamento_Cozinhas!$D$41:$D$47, B65,Orçamento_Cozinhas!$E$41:$E$47)</f>
        <v>0</v>
      </c>
      <c r="D65" s="8"/>
      <c r="E65" s="11">
        <f>IFERROR(VLOOKUP(B65,Preços_Gavetas!$E$97:$F$108,2,FALSE),0)</f>
        <v>38.534000000000006</v>
      </c>
      <c r="F65" s="11">
        <f t="shared" si="2"/>
        <v>0</v>
      </c>
      <c r="I65" s="200" t="s">
        <v>1555</v>
      </c>
      <c r="J65" s="8">
        <f>SUMIF(Orçamento_Cozinhas!$D$97:$D$103, I65,Orçamento_Cozinhas!$E$97:$E$103)</f>
        <v>0</v>
      </c>
      <c r="K65" s="89"/>
      <c r="L65" s="11">
        <f>IFERROR(VLOOKUP(I65,Preços_Gavetas!$E$97:$F$108,2,FALSE),0)</f>
        <v>38.534000000000006</v>
      </c>
      <c r="M65" s="11">
        <f t="shared" si="3"/>
        <v>0</v>
      </c>
      <c r="P65" s="200" t="s">
        <v>1555</v>
      </c>
      <c r="Q65" s="8">
        <f>SUMIF(Orçamento_Cozinhas!$D$151:$D$157, P65, Orçamento_Cozinhas!$E$151:$E$157)</f>
        <v>0</v>
      </c>
      <c r="R65" s="8"/>
      <c r="S65" s="19">
        <f>IFERROR(VLOOKUP(P65,Preços_Gavetas!$E$97:$F$108,2,FALSE),0)</f>
        <v>38.534000000000006</v>
      </c>
      <c r="T65" s="280">
        <f t="shared" ref="T65:T71" si="5">S65*Q65</f>
        <v>0</v>
      </c>
    </row>
    <row r="66" spans="2:20">
      <c r="B66" s="200" t="s">
        <v>1558</v>
      </c>
      <c r="C66" s="8">
        <f>SUMIF(Orçamento_Cozinhas!$D$41:$D$47, B66,Orçamento_Cozinhas!$E$41:$E$47)</f>
        <v>0</v>
      </c>
      <c r="D66" s="8"/>
      <c r="E66" s="11">
        <f>IFERROR(VLOOKUP(B66,Preços_Gavetas!$E$97:$F$108,2,FALSE),0)</f>
        <v>54.599000000000004</v>
      </c>
      <c r="F66" s="11">
        <f t="shared" si="2"/>
        <v>0</v>
      </c>
      <c r="I66" s="200" t="s">
        <v>1558</v>
      </c>
      <c r="J66" s="8">
        <f>SUMIF(Orçamento_Cozinhas!$D$97:$D$103, I66,Orçamento_Cozinhas!$E$97:$E$103)</f>
        <v>0</v>
      </c>
      <c r="K66" s="89"/>
      <c r="L66" s="11">
        <f>IFERROR(VLOOKUP(I66,Preços_Gavetas!$E$97:$F$108,2,FALSE),0)</f>
        <v>54.599000000000004</v>
      </c>
      <c r="M66" s="11">
        <f t="shared" si="3"/>
        <v>0</v>
      </c>
      <c r="P66" s="200" t="s">
        <v>1558</v>
      </c>
      <c r="Q66" s="8">
        <f>SUMIF(Orçamento_Cozinhas!$D$151:$D$157, P66, Orçamento_Cozinhas!$E$151:$E$157)</f>
        <v>0</v>
      </c>
      <c r="R66" s="8"/>
      <c r="S66" s="19">
        <f>IFERROR(VLOOKUP(P66,Preços_Gavetas!$E$97:$F$108,2,FALSE),0)</f>
        <v>54.599000000000004</v>
      </c>
      <c r="T66" s="280">
        <f t="shared" si="5"/>
        <v>0</v>
      </c>
    </row>
    <row r="67" spans="2:20">
      <c r="B67" s="200" t="s">
        <v>1556</v>
      </c>
      <c r="C67" s="8">
        <f>SUMIF(Orçamento_Cozinhas!$D$41:$D$47, B67,Orçamento_Cozinhas!$E$41:$E$47)</f>
        <v>0</v>
      </c>
      <c r="D67" s="8"/>
      <c r="E67" s="11">
        <f>IFERROR(VLOOKUP(B67,Preços_Gavetas!$E$97:$F$108,2,FALSE),0)</f>
        <v>45.36399999999999</v>
      </c>
      <c r="F67" s="11">
        <f t="shared" si="2"/>
        <v>0</v>
      </c>
      <c r="I67" s="200" t="s">
        <v>1556</v>
      </c>
      <c r="J67" s="8">
        <f>SUMIF(Orçamento_Cozinhas!$D$97:$D$103, I67,Orçamento_Cozinhas!$E$97:$E$103)</f>
        <v>0</v>
      </c>
      <c r="K67" s="89"/>
      <c r="L67" s="11">
        <f>IFERROR(VLOOKUP(I67,Preços_Gavetas!$E$97:$F$108,2,FALSE),0)</f>
        <v>45.36399999999999</v>
      </c>
      <c r="M67" s="11">
        <f t="shared" si="3"/>
        <v>0</v>
      </c>
      <c r="P67" s="200" t="s">
        <v>1556</v>
      </c>
      <c r="Q67" s="8">
        <f>SUMIF(Orçamento_Cozinhas!$D$151:$D$157, P67, Orçamento_Cozinhas!$E$151:$E$157)</f>
        <v>0</v>
      </c>
      <c r="R67" s="8"/>
      <c r="S67" s="19">
        <f>IFERROR(VLOOKUP(P67,Preços_Gavetas!$E$97:$F$108,2,FALSE),0)</f>
        <v>45.36399999999999</v>
      </c>
      <c r="T67" s="280">
        <f t="shared" si="5"/>
        <v>0</v>
      </c>
    </row>
    <row r="68" spans="2:20">
      <c r="B68" s="200" t="s">
        <v>1559</v>
      </c>
      <c r="C68" s="8">
        <f>SUMIF(Orçamento_Cozinhas!$D$41:$D$47, B68,Orçamento_Cozinhas!$E$41:$E$47)</f>
        <v>0</v>
      </c>
      <c r="D68" s="8"/>
      <c r="E68" s="11">
        <f>IFERROR(VLOOKUP(B68,Preços_Gavetas!$E$97:$F$108,2,FALSE),0)</f>
        <v>70.647999999999996</v>
      </c>
      <c r="F68" s="11">
        <f t="shared" si="2"/>
        <v>0</v>
      </c>
      <c r="I68" s="200" t="s">
        <v>1559</v>
      </c>
      <c r="J68" s="8">
        <f>SUMIF(Orçamento_Cozinhas!$D$97:$D$103, I68,Orçamento_Cozinhas!$E$97:$E$103)</f>
        <v>0</v>
      </c>
      <c r="K68" s="89"/>
      <c r="L68" s="11">
        <f>IFERROR(VLOOKUP(I68,Preços_Gavetas!$E$97:$F$108,2,FALSE),0)</f>
        <v>70.647999999999996</v>
      </c>
      <c r="M68" s="11">
        <f t="shared" si="3"/>
        <v>0</v>
      </c>
      <c r="P68" s="200" t="s">
        <v>1559</v>
      </c>
      <c r="Q68" s="8">
        <f>SUMIF(Orçamento_Cozinhas!$D$151:$D$157, P68, Orçamento_Cozinhas!$E$151:$E$157)</f>
        <v>0</v>
      </c>
      <c r="R68" s="8"/>
      <c r="S68" s="19">
        <f>IFERROR(VLOOKUP(P68,Preços_Gavetas!$E$97:$F$108,2,FALSE),0)</f>
        <v>70.647999999999996</v>
      </c>
      <c r="T68" s="280">
        <f t="shared" si="5"/>
        <v>0</v>
      </c>
    </row>
    <row r="69" spans="2:20">
      <c r="B69" s="200" t="s">
        <v>1557</v>
      </c>
      <c r="C69" s="8">
        <f>SUMIF(Orçamento_Cozinhas!$D$41:$D$47, B69,Orçamento_Cozinhas!$E$41:$E$47)</f>
        <v>0</v>
      </c>
      <c r="D69" s="8"/>
      <c r="E69" s="11">
        <f>IFERROR(VLOOKUP(B69,Preços_Gavetas!$E$97:$F$108,2,FALSE),0)</f>
        <v>78.555999999999997</v>
      </c>
      <c r="F69" s="11">
        <f t="shared" si="2"/>
        <v>0</v>
      </c>
      <c r="I69" s="200" t="s">
        <v>1557</v>
      </c>
      <c r="J69" s="8">
        <f>SUMIF(Orçamento_Cozinhas!$D$97:$D$103, I69,Orçamento_Cozinhas!$E$97:$E$103)</f>
        <v>0</v>
      </c>
      <c r="K69" s="8"/>
      <c r="L69" s="11">
        <f>IFERROR(VLOOKUP(I69,Preços_Gavetas!$E$97:$F$108,2,FALSE),0)</f>
        <v>78.555999999999997</v>
      </c>
      <c r="M69" s="11">
        <f t="shared" si="3"/>
        <v>0</v>
      </c>
      <c r="P69" s="200" t="s">
        <v>1557</v>
      </c>
      <c r="Q69" s="8">
        <f>SUMIF(Orçamento_Cozinhas!$D$151:$D$157, P69, Orçamento_Cozinhas!$E$151:$E$157)</f>
        <v>0</v>
      </c>
      <c r="R69" s="8"/>
      <c r="S69" s="19">
        <f>IFERROR(VLOOKUP(P69,Preços_Gavetas!$E$97:$F$108,2,FALSE),0)</f>
        <v>78.555999999999997</v>
      </c>
      <c r="T69" s="280">
        <f t="shared" si="5"/>
        <v>0</v>
      </c>
    </row>
    <row r="70" spans="2:20">
      <c r="B70" s="200" t="s">
        <v>1560</v>
      </c>
      <c r="C70" s="8">
        <f>SUMIF(Orçamento_Cozinhas!$D$41:$D$47, B70,Orçamento_Cozinhas!$E$41:$E$47)</f>
        <v>0</v>
      </c>
      <c r="D70" s="8"/>
      <c r="E70" s="11">
        <f>IFERROR(VLOOKUP(B70,Preços_Gavetas!$E$97:$F$108,2,FALSE),0)</f>
        <v>96.554000000000002</v>
      </c>
      <c r="F70" s="11">
        <f t="shared" si="2"/>
        <v>0</v>
      </c>
      <c r="I70" s="200" t="s">
        <v>1560</v>
      </c>
      <c r="J70" s="8">
        <f>SUMIF(Orçamento_Cozinhas!$D$97:$D$103, I70,Orçamento_Cozinhas!$E$97:$E$103)</f>
        <v>0</v>
      </c>
      <c r="K70" s="8"/>
      <c r="L70" s="11">
        <f>IFERROR(VLOOKUP(I70,Preços_Gavetas!$E$97:$F$108,2,FALSE),0)</f>
        <v>96.554000000000002</v>
      </c>
      <c r="M70" s="11">
        <f>J70*L70</f>
        <v>0</v>
      </c>
      <c r="P70" s="200" t="s">
        <v>1560</v>
      </c>
      <c r="Q70" s="8">
        <f>SUMIF(Orçamento_Cozinhas!$D$151:$D$157, P70, Orçamento_Cozinhas!$E$151:$E$157)</f>
        <v>0</v>
      </c>
      <c r="R70" s="8"/>
      <c r="S70" s="19">
        <f>IFERROR(VLOOKUP(P70,Preços_Gavetas!$E$97:$F$108,2,FALSE),0)</f>
        <v>96.554000000000002</v>
      </c>
      <c r="T70" s="280">
        <f t="shared" si="5"/>
        <v>0</v>
      </c>
    </row>
    <row r="71" spans="2:20">
      <c r="B71" s="200"/>
      <c r="C71" s="8"/>
      <c r="D71" s="8"/>
      <c r="E71" s="11">
        <f>IFERROR(VLOOKUP(B71,Preços_Gavetas!$E$97:$F$108,2,FALSE),0)</f>
        <v>0</v>
      </c>
      <c r="F71" s="11">
        <f t="shared" si="2"/>
        <v>0</v>
      </c>
      <c r="I71" s="200"/>
      <c r="J71" s="8">
        <f>SUMIF(Orçamento_Cozinhas!$D$97:$D$103, I71,Orçamento_Cozinhas!$E$97:$E$103)</f>
        <v>0</v>
      </c>
      <c r="K71" s="8"/>
      <c r="L71" s="11">
        <f>IFERROR(VLOOKUP(I71,Preços_Gavetas!$E$97:$F$108,2,FALSE),0)</f>
        <v>0</v>
      </c>
      <c r="M71" s="11">
        <f t="shared" si="3"/>
        <v>0</v>
      </c>
      <c r="P71" s="200"/>
      <c r="Q71" s="8">
        <f>SUMIF(Orçamento_Cozinhas!$D$151:$D$157, P71, Orçamento_Cozinhas!$E$151:$E$157)</f>
        <v>0</v>
      </c>
      <c r="R71" s="8"/>
      <c r="S71" s="19">
        <f>IFERROR(VLOOKUP(P71,Preços_Gavetas!$E$97:$F$108,2,FALSE),0)</f>
        <v>0</v>
      </c>
      <c r="T71" s="280">
        <f t="shared" si="5"/>
        <v>0</v>
      </c>
    </row>
    <row r="72" spans="2:20">
      <c r="B72" s="49"/>
      <c r="T72" s="53"/>
    </row>
    <row r="73" spans="2:20" ht="15.75" thickBot="1">
      <c r="B73" s="49"/>
      <c r="T73" s="53"/>
    </row>
    <row r="74" spans="2:20" ht="15.75" thickBot="1">
      <c r="B74" s="76" t="s">
        <v>182</v>
      </c>
      <c r="C74" s="77"/>
      <c r="D74" s="78" t="s">
        <v>49</v>
      </c>
      <c r="E74" s="83">
        <f>IF(F8=0,0,E75/F8)</f>
        <v>411.68904948148162</v>
      </c>
      <c r="I74" s="76" t="s">
        <v>182</v>
      </c>
      <c r="J74" s="77"/>
      <c r="K74" s="259" t="s">
        <v>49</v>
      </c>
      <c r="L74" s="79">
        <f>IF(M8=0,0,L75/M8)</f>
        <v>333.39382109663262</v>
      </c>
      <c r="P74" s="76" t="s">
        <v>182</v>
      </c>
      <c r="Q74" s="77"/>
      <c r="R74" s="78" t="s">
        <v>1393</v>
      </c>
      <c r="S74" s="83">
        <f>IF(T8=0,0,S75/T8)</f>
        <v>2667.9732984356742</v>
      </c>
      <c r="T74" s="53"/>
    </row>
    <row r="75" spans="2:20" ht="15.75" thickBot="1">
      <c r="B75" s="44" t="s">
        <v>146</v>
      </c>
      <c r="C75" s="45"/>
      <c r="D75" s="46" t="s">
        <v>46</v>
      </c>
      <c r="E75" s="47">
        <f>E31+F55</f>
        <v>37.052014453333342</v>
      </c>
      <c r="I75" s="44" t="s">
        <v>146</v>
      </c>
      <c r="J75" s="45"/>
      <c r="K75" s="46" t="s">
        <v>46</v>
      </c>
      <c r="L75" s="47">
        <f>L31+M55</f>
        <v>120.02177559478774</v>
      </c>
      <c r="P75" s="44" t="s">
        <v>146</v>
      </c>
      <c r="Q75" s="45"/>
      <c r="R75" s="46" t="s">
        <v>46</v>
      </c>
      <c r="S75" s="47">
        <f>S31+T55</f>
        <v>960.47038743684266</v>
      </c>
      <c r="T75" s="53"/>
    </row>
    <row r="76" spans="2:20" ht="15.75" thickBot="1">
      <c r="B76" s="76" t="s">
        <v>1413</v>
      </c>
      <c r="C76" s="77"/>
      <c r="D76" s="261"/>
      <c r="E76" s="267">
        <f>E75+SUM(F59:F71)</f>
        <v>37.052014453333342</v>
      </c>
      <c r="I76" s="467" t="s">
        <v>1405</v>
      </c>
      <c r="J76" s="468"/>
      <c r="K76" s="469"/>
      <c r="L76" s="269">
        <f>L75+SUM(M59:M71)</f>
        <v>120.02177559478774</v>
      </c>
      <c r="P76" s="467" t="s">
        <v>1404</v>
      </c>
      <c r="Q76" s="468"/>
      <c r="R76" s="469"/>
      <c r="S76" s="251">
        <f>S75+SUM(T59:T71)</f>
        <v>1026.4303874368427</v>
      </c>
      <c r="T76" s="53"/>
    </row>
    <row r="77" spans="2:20" ht="15.75" thickBot="1">
      <c r="B77" s="76" t="s">
        <v>1409</v>
      </c>
      <c r="C77" s="77"/>
      <c r="D77" s="261"/>
      <c r="E77" s="267">
        <f>E76*B4</f>
        <v>37.052014453333342</v>
      </c>
      <c r="I77" s="76" t="s">
        <v>1409</v>
      </c>
      <c r="J77" s="187"/>
      <c r="K77" s="188"/>
      <c r="L77" s="267">
        <f>L76*$I$4</f>
        <v>120.02177559478774</v>
      </c>
      <c r="P77" s="76" t="s">
        <v>1409</v>
      </c>
      <c r="Q77" s="77"/>
      <c r="R77" s="261"/>
      <c r="S77" s="267">
        <f>S76*$P$4</f>
        <v>1026.4303874368427</v>
      </c>
      <c r="T77" s="53"/>
    </row>
    <row r="78" spans="2:20">
      <c r="B78" s="49"/>
      <c r="T78" s="53"/>
    </row>
    <row r="79" spans="2:20" ht="46.5">
      <c r="B79" s="464" t="s">
        <v>150</v>
      </c>
      <c r="C79" s="465"/>
      <c r="D79" s="465"/>
      <c r="E79" s="465"/>
      <c r="F79" s="465"/>
      <c r="I79" s="465" t="s">
        <v>153</v>
      </c>
      <c r="J79" s="465"/>
      <c r="K79" s="465"/>
      <c r="L79" s="465"/>
      <c r="M79" s="465"/>
      <c r="P79" s="465" t="s">
        <v>157</v>
      </c>
      <c r="Q79" s="465"/>
      <c r="R79" s="465"/>
      <c r="S79" s="465"/>
      <c r="T79" s="466"/>
    </row>
    <row r="80" spans="2:20">
      <c r="B80" s="50"/>
      <c r="C80" s="185" t="s">
        <v>17</v>
      </c>
      <c r="D80" s="58">
        <f>Orçamento_Cozinhas!E11</f>
        <v>1</v>
      </c>
      <c r="I80" s="6"/>
      <c r="J80" s="185" t="s">
        <v>17</v>
      </c>
      <c r="K80" s="58">
        <f>K5</f>
        <v>2</v>
      </c>
      <c r="P80" s="6"/>
      <c r="Q80" s="185" t="s">
        <v>17</v>
      </c>
      <c r="R80" s="58">
        <f>R5</f>
        <v>7</v>
      </c>
      <c r="T80" s="53"/>
    </row>
    <row r="81" spans="2:20">
      <c r="B81" s="49"/>
      <c r="T81" s="53"/>
    </row>
    <row r="82" spans="2:20">
      <c r="B82" s="50" t="s">
        <v>18</v>
      </c>
      <c r="C82" s="5" t="s">
        <v>19</v>
      </c>
      <c r="D82" s="5" t="s">
        <v>20</v>
      </c>
      <c r="E82" s="5" t="s">
        <v>21</v>
      </c>
      <c r="F82" s="5" t="s">
        <v>53</v>
      </c>
      <c r="I82" s="6" t="s">
        <v>18</v>
      </c>
      <c r="J82" s="5" t="s">
        <v>19</v>
      </c>
      <c r="K82" s="5" t="s">
        <v>20</v>
      </c>
      <c r="L82" s="5" t="s">
        <v>21</v>
      </c>
      <c r="M82" s="5" t="s">
        <v>53</v>
      </c>
      <c r="P82" s="6" t="s">
        <v>18</v>
      </c>
      <c r="Q82" s="5" t="s">
        <v>19</v>
      </c>
      <c r="R82" s="5" t="s">
        <v>20</v>
      </c>
      <c r="S82" s="5" t="s">
        <v>21</v>
      </c>
      <c r="T82" s="54" t="s">
        <v>53</v>
      </c>
    </row>
    <row r="83" spans="2:20">
      <c r="B83" s="49"/>
      <c r="C83" s="14">
        <f>Orçamento_Cozinhas!D26</f>
        <v>15</v>
      </c>
      <c r="D83" s="14">
        <f>Orçamento_Cozinhas!E26</f>
        <v>78</v>
      </c>
      <c r="E83" s="14">
        <f>Orçamento_Cozinhas!F26</f>
        <v>60</v>
      </c>
      <c r="F83" s="35">
        <f>(C83*E83)/10000</f>
        <v>0.09</v>
      </c>
      <c r="J83" s="14">
        <f>J8</f>
        <v>90</v>
      </c>
      <c r="K83" s="14">
        <f>K8</f>
        <v>100</v>
      </c>
      <c r="L83" s="14">
        <f>L8</f>
        <v>40</v>
      </c>
      <c r="M83" s="35">
        <f>(J83*L83)/10000</f>
        <v>0.36</v>
      </c>
      <c r="Q83" s="14">
        <f>Q8</f>
        <v>60</v>
      </c>
      <c r="R83" s="14">
        <f>R8</f>
        <v>240</v>
      </c>
      <c r="S83" s="14">
        <f>S8</f>
        <v>60</v>
      </c>
      <c r="T83" s="193">
        <f>(Q83*S83)/10000</f>
        <v>0.36</v>
      </c>
    </row>
    <row r="84" spans="2:20" ht="21">
      <c r="B84" s="194"/>
      <c r="I84" s="272"/>
      <c r="P84" s="272"/>
      <c r="T84" s="53"/>
    </row>
    <row r="85" spans="2:20" ht="18.75">
      <c r="B85" s="60"/>
      <c r="C85" s="7" t="s">
        <v>0</v>
      </c>
      <c r="D85" s="56" t="str">
        <f>Orçamento_Cozinhas!D28</f>
        <v>Melamina F067 Hidrófuga - 16mm</v>
      </c>
      <c r="I85" s="273"/>
      <c r="J85" s="7" t="s">
        <v>0</v>
      </c>
      <c r="K85" s="56" t="str">
        <f>K10</f>
        <v>Melamina F067 Hidrófuga - 16mm</v>
      </c>
      <c r="P85" s="273"/>
      <c r="Q85" s="7" t="s">
        <v>0</v>
      </c>
      <c r="R85" s="56" t="str">
        <f>R10</f>
        <v>Melamina F067 Hidrófuga - 16mm</v>
      </c>
      <c r="T85" s="53"/>
    </row>
    <row r="86" spans="2:20" ht="18.75">
      <c r="B86" s="60"/>
      <c r="C86" s="7" t="s">
        <v>689</v>
      </c>
      <c r="D86" s="16">
        <f>IFERROR(VLOOKUP(D85,'Preços_Placas &amp; Seccionadora'!M173:N246, 2, FALSE), 0)</f>
        <v>26.46</v>
      </c>
      <c r="E86" s="7"/>
      <c r="F86" s="43"/>
      <c r="I86" s="273"/>
      <c r="J86" s="7" t="s">
        <v>689</v>
      </c>
      <c r="K86" s="16">
        <f>IFERROR(VLOOKUP(K85,'Preços_Placas &amp; Seccionadora'!M173:N246, 2, FALSE), 0)</f>
        <v>26.46</v>
      </c>
      <c r="L86" s="7"/>
      <c r="M86" s="43"/>
      <c r="P86" s="273"/>
      <c r="Q86" s="7" t="s">
        <v>689</v>
      </c>
      <c r="R86" s="16">
        <f>IFERROR(VLOOKUP(R85,'Preços_Placas &amp; Seccionadora'!M173:N246, 2, FALSE), 0)</f>
        <v>26.46</v>
      </c>
      <c r="S86" s="7"/>
      <c r="T86" s="195"/>
    </row>
    <row r="87" spans="2:20" ht="18.75">
      <c r="B87" s="60"/>
      <c r="C87" s="7" t="s">
        <v>1326</v>
      </c>
      <c r="D87" s="16" t="str">
        <f>D12</f>
        <v>Nenhuma</v>
      </c>
      <c r="E87" s="7"/>
      <c r="F87" s="43"/>
      <c r="I87" s="273"/>
      <c r="J87" s="7" t="s">
        <v>1326</v>
      </c>
      <c r="K87" s="16" t="str">
        <f>K12</f>
        <v>Nenhuma</v>
      </c>
      <c r="L87" s="7"/>
      <c r="M87" s="43"/>
      <c r="P87" s="273"/>
      <c r="Q87" s="7" t="s">
        <v>1326</v>
      </c>
      <c r="R87" s="16" t="str">
        <f>R12</f>
        <v>Esmalte Mate Branco</v>
      </c>
      <c r="S87" s="7"/>
      <c r="T87" s="195"/>
    </row>
    <row r="88" spans="2:20" ht="18.75">
      <c r="B88" s="60"/>
      <c r="C88" s="7" t="s">
        <v>1328</v>
      </c>
      <c r="D88" s="16">
        <f>IF(_xlfn.XLOOKUP(D85, 'Preços_Placas &amp; Seccionadora'!$I$60:$I$199, 'Preços_Placas &amp; Seccionadora'!$J$60:$J$199, "Não Pintar")="Não Pintar", 0, IFERROR(VLOOKUP(D87,Preço_Pintura!J50:K60, 2, FALSE), 0))</f>
        <v>0</v>
      </c>
      <c r="E88" s="7"/>
      <c r="F88" s="43"/>
      <c r="I88" s="273"/>
      <c r="J88" s="7" t="s">
        <v>1328</v>
      </c>
      <c r="K88" s="16">
        <f>IF(_xlfn.XLOOKUP(K85, 'Preços_Placas &amp; Seccionadora'!$I$60:$I$199, 'Preços_Placas &amp; Seccionadora'!$J$60:$J$199, "Não Pintar")="Não Pintar", 0, IFERROR(VLOOKUP(K87,Preço_Pintura!J50:K60, 2, FALSE), 0))</f>
        <v>0</v>
      </c>
      <c r="L88" s="7"/>
      <c r="M88" s="43"/>
      <c r="P88" s="273"/>
      <c r="Q88" s="7" t="s">
        <v>1328</v>
      </c>
      <c r="R88" s="16">
        <f>IF(_xlfn.XLOOKUP(R85, 'Preços_Placas &amp; Seccionadora'!$I$60:$I$199, 'Preços_Placas &amp; Seccionadora'!$J$60:$J$199, "Não Pintar")="Não Pintar", 0, IFERROR(VLOOKUP(R87,Preço_Pintura!J50:K60, 2, FALSE), 0))</f>
        <v>0</v>
      </c>
      <c r="S88" s="7"/>
      <c r="T88" s="195"/>
    </row>
    <row r="89" spans="2:20" ht="18.75">
      <c r="B89" s="60"/>
      <c r="C89" s="7" t="s">
        <v>47</v>
      </c>
      <c r="D89" s="42" t="str">
        <f>D14</f>
        <v>Orla - À Cor</v>
      </c>
      <c r="I89" s="273"/>
      <c r="J89" s="7" t="s">
        <v>47</v>
      </c>
      <c r="K89" s="42" t="str">
        <f>K14</f>
        <v>Orla - Standard 1mm</v>
      </c>
      <c r="P89" s="273"/>
      <c r="Q89" s="7" t="s">
        <v>47</v>
      </c>
      <c r="R89" s="42" t="str">
        <f>R14</f>
        <v>Orla - À Cor</v>
      </c>
      <c r="T89" s="53"/>
    </row>
    <row r="90" spans="2:20">
      <c r="B90" s="196"/>
      <c r="C90" s="7" t="s">
        <v>688</v>
      </c>
      <c r="D90" s="16">
        <f>IFERROR(VLOOKUP(D89,Preço_Orlagem!A18:B25, 2, FALSE), 0)</f>
        <v>2.1494900000000001</v>
      </c>
      <c r="E90" s="7"/>
      <c r="F90" s="274"/>
      <c r="I90" s="9"/>
      <c r="J90" s="7" t="s">
        <v>688</v>
      </c>
      <c r="K90" s="16">
        <f>IFERROR(VLOOKUP(K89,Preço_Orlagem!A18:B25, 2, FALSE), 0)</f>
        <v>2.17</v>
      </c>
      <c r="L90" s="7"/>
      <c r="M90" s="274"/>
      <c r="P90" s="9"/>
      <c r="Q90" s="7" t="s">
        <v>688</v>
      </c>
      <c r="R90" s="16">
        <f>IFERROR(VLOOKUP(R89,Preço_Orlagem!A18:B25, 2, FALSE), 0)</f>
        <v>2.1494900000000001</v>
      </c>
      <c r="S90" s="7"/>
      <c r="T90" s="197"/>
    </row>
    <row r="91" spans="2:20">
      <c r="B91" s="49"/>
      <c r="T91" s="53"/>
    </row>
    <row r="92" spans="2:20">
      <c r="B92" s="198" t="s">
        <v>26</v>
      </c>
      <c r="C92" s="10" t="s">
        <v>27</v>
      </c>
      <c r="D92" s="10" t="s">
        <v>22</v>
      </c>
      <c r="E92" s="10" t="s">
        <v>1340</v>
      </c>
      <c r="F92" s="6"/>
      <c r="I92" s="10" t="s">
        <v>26</v>
      </c>
      <c r="J92" s="10" t="s">
        <v>27</v>
      </c>
      <c r="K92" s="10" t="s">
        <v>22</v>
      </c>
      <c r="L92" s="10" t="s">
        <v>1341</v>
      </c>
      <c r="M92" s="6"/>
      <c r="P92" s="10" t="s">
        <v>26</v>
      </c>
      <c r="Q92" s="10" t="s">
        <v>27</v>
      </c>
      <c r="R92" s="10" t="s">
        <v>22</v>
      </c>
      <c r="S92" s="10" t="s">
        <v>1340</v>
      </c>
      <c r="T92" s="199"/>
    </row>
    <row r="93" spans="2:20">
      <c r="B93" s="200" t="str">
        <f>B18</f>
        <v>PRUME</v>
      </c>
      <c r="C93" s="8">
        <f t="shared" ref="C93:C98" si="6">C18</f>
        <v>2</v>
      </c>
      <c r="D93" s="8">
        <f>E83*D83/10000*C93</f>
        <v>0.93600000000000005</v>
      </c>
      <c r="E93" s="19">
        <f>D93*$D$86</f>
        <v>24.766560000000002</v>
      </c>
      <c r="F93" s="186"/>
      <c r="I93" s="8" t="s">
        <v>29</v>
      </c>
      <c r="J93" s="8">
        <f t="shared" ref="J93:J98" si="7">J18</f>
        <v>2</v>
      </c>
      <c r="K93" s="8">
        <f>L83*K83/10000*J93</f>
        <v>0.8</v>
      </c>
      <c r="L93" s="11">
        <f>K93*$K$86</f>
        <v>21.168000000000003</v>
      </c>
      <c r="M93" s="186"/>
      <c r="P93" s="8" t="s">
        <v>29</v>
      </c>
      <c r="Q93" s="8">
        <f t="shared" ref="Q93:Q98" si="8">Q18</f>
        <v>2</v>
      </c>
      <c r="R93" s="8">
        <f>S83*R83/10000*Q93</f>
        <v>2.88</v>
      </c>
      <c r="S93" s="11">
        <f>R93*$R86</f>
        <v>76.204800000000006</v>
      </c>
      <c r="T93" s="201"/>
    </row>
    <row r="94" spans="2:20">
      <c r="B94" s="200" t="str">
        <f t="shared" ref="B94:C102" si="9">B19</f>
        <v>CIMA_BAIXO</v>
      </c>
      <c r="C94" s="8">
        <f t="shared" si="6"/>
        <v>2</v>
      </c>
      <c r="D94" s="8">
        <f>C83*E83/10000*C94</f>
        <v>0.18</v>
      </c>
      <c r="E94" s="19">
        <f>D94*$D$86</f>
        <v>4.7628000000000004</v>
      </c>
      <c r="F94" s="186"/>
      <c r="I94" s="8" t="s">
        <v>30</v>
      </c>
      <c r="J94" s="8">
        <f t="shared" si="7"/>
        <v>2</v>
      </c>
      <c r="K94" s="8">
        <f>J83*L83/10000*J94</f>
        <v>0.72</v>
      </c>
      <c r="L94" s="11">
        <f>K94*$K$86</f>
        <v>19.051200000000001</v>
      </c>
      <c r="M94" s="186"/>
      <c r="P94" s="8" t="s">
        <v>30</v>
      </c>
      <c r="Q94" s="8">
        <f t="shared" si="8"/>
        <v>2</v>
      </c>
      <c r="R94" s="8">
        <f>Q83*S83/10000*Q94</f>
        <v>0.72</v>
      </c>
      <c r="S94" s="11">
        <f t="shared" ref="S94:S96" si="10">R94*$R$86</f>
        <v>19.051200000000001</v>
      </c>
      <c r="T94" s="201"/>
    </row>
    <row r="95" spans="2:20">
      <c r="B95" s="200" t="str">
        <f t="shared" si="9"/>
        <v>PRATELEIRA</v>
      </c>
      <c r="C95" s="8">
        <f t="shared" si="6"/>
        <v>0</v>
      </c>
      <c r="D95" s="8">
        <f>C83*E83/10000*C95</f>
        <v>0</v>
      </c>
      <c r="E95" s="19">
        <f>D95*$D$86</f>
        <v>0</v>
      </c>
      <c r="F95" s="186"/>
      <c r="I95" s="8" t="s">
        <v>31</v>
      </c>
      <c r="J95" s="8">
        <f t="shared" si="7"/>
        <v>1</v>
      </c>
      <c r="K95" s="8">
        <f>J83*L83/10000*J95</f>
        <v>0.36</v>
      </c>
      <c r="L95" s="11">
        <f>K95*$K$86</f>
        <v>9.5256000000000007</v>
      </c>
      <c r="M95" s="186"/>
      <c r="P95" s="8" t="s">
        <v>31</v>
      </c>
      <c r="Q95" s="8">
        <f t="shared" si="8"/>
        <v>3</v>
      </c>
      <c r="R95" s="8">
        <f>Q83*S83/10000*Q95</f>
        <v>1.08</v>
      </c>
      <c r="S95" s="11">
        <f>R95*$R$86</f>
        <v>28.576800000000002</v>
      </c>
      <c r="T95" s="201"/>
    </row>
    <row r="96" spans="2:20">
      <c r="B96" s="200" t="str">
        <f t="shared" si="9"/>
        <v>COSTA</v>
      </c>
      <c r="C96" s="8">
        <f t="shared" si="6"/>
        <v>1</v>
      </c>
      <c r="D96" s="8">
        <f>D83*C83/10000*C96</f>
        <v>0.11700000000000001</v>
      </c>
      <c r="E96" s="19">
        <f>D96*$D$86</f>
        <v>3.0958200000000002</v>
      </c>
      <c r="F96" s="186"/>
      <c r="I96" s="8" t="s">
        <v>32</v>
      </c>
      <c r="J96" s="8">
        <f t="shared" si="7"/>
        <v>1</v>
      </c>
      <c r="K96" s="8">
        <f>K83*J83/10000*J96</f>
        <v>0.9</v>
      </c>
      <c r="L96" s="11">
        <f>K96*$K$86</f>
        <v>23.814</v>
      </c>
      <c r="M96" s="186"/>
      <c r="P96" s="8" t="s">
        <v>32</v>
      </c>
      <c r="Q96" s="8">
        <f t="shared" si="8"/>
        <v>1</v>
      </c>
      <c r="R96" s="8">
        <f>R83*Q83/10000*Q96</f>
        <v>1.44</v>
      </c>
      <c r="S96" s="11">
        <f t="shared" si="10"/>
        <v>38.102400000000003</v>
      </c>
      <c r="T96" s="201"/>
    </row>
    <row r="97" spans="2:20">
      <c r="B97" s="200" t="str">
        <f t="shared" si="9"/>
        <v>DIVISÓRIA</v>
      </c>
      <c r="C97" s="8">
        <f t="shared" si="6"/>
        <v>0</v>
      </c>
      <c r="D97" s="8">
        <f>D83*E83/10000*C97</f>
        <v>0</v>
      </c>
      <c r="E97" s="19">
        <f>D97*$D$86</f>
        <v>0</v>
      </c>
      <c r="F97" s="186"/>
      <c r="I97" s="8" t="s">
        <v>33</v>
      </c>
      <c r="J97" s="8">
        <f t="shared" si="7"/>
        <v>0</v>
      </c>
      <c r="K97" s="8">
        <f>K83*L83/10000*J97</f>
        <v>0</v>
      </c>
      <c r="L97" s="11">
        <f>K97*$K$86</f>
        <v>0</v>
      </c>
      <c r="M97" s="186"/>
      <c r="P97" s="8" t="s">
        <v>1329</v>
      </c>
      <c r="Q97" s="8">
        <f t="shared" si="8"/>
        <v>0</v>
      </c>
      <c r="R97" s="8">
        <f>R22</f>
        <v>0</v>
      </c>
      <c r="S97" s="11">
        <f>(R97*Q97)*$R$86</f>
        <v>0</v>
      </c>
      <c r="T97" s="201"/>
    </row>
    <row r="98" spans="2:20">
      <c r="B98" s="200" t="str">
        <f t="shared" si="9"/>
        <v>PINTURA</v>
      </c>
      <c r="C98" s="8">
        <f t="shared" si="6"/>
        <v>1.2330000000000001</v>
      </c>
      <c r="D98" s="8">
        <f>D23</f>
        <v>1.2330000000000001</v>
      </c>
      <c r="E98" s="19">
        <f>IF(_xlfn.XLOOKUP(D85,'Preços_Placas &amp; Seccionadora'!I60:I138,'Preços_Placas &amp; Seccionadora'!J60:J138, "")="Não Pintar", 0, D98*D88)</f>
        <v>0</v>
      </c>
      <c r="F98" s="186"/>
      <c r="I98" s="8" t="s">
        <v>142</v>
      </c>
      <c r="J98" s="8">
        <f t="shared" si="7"/>
        <v>2.42</v>
      </c>
      <c r="K98" s="8">
        <f>K23</f>
        <v>2.78</v>
      </c>
      <c r="L98" s="11">
        <f>IF(_xlfn.XLOOKUP(K85,'Preços_Placas &amp; Seccionadora'!I60:I138,'Preços_Placas &amp; Seccionadora'!J60:J138, "")="Não Pintar", 0, K98*K88)</f>
        <v>0</v>
      </c>
      <c r="M98" s="186"/>
      <c r="P98" s="8" t="s">
        <v>142</v>
      </c>
      <c r="Q98" s="8">
        <f t="shared" si="8"/>
        <v>5.04</v>
      </c>
      <c r="R98" s="8">
        <f>R23</f>
        <v>6.12</v>
      </c>
      <c r="S98" s="11">
        <f>IF(_xlfn.XLOOKUP(R85,'Preços_Placas &amp; Seccionadora'!I60:I138,'Preços_Placas &amp; Seccionadora'!J60:J138, "")="Não Pintar", 0, R98*R88)</f>
        <v>0</v>
      </c>
      <c r="T98" s="201"/>
    </row>
    <row r="99" spans="2:20">
      <c r="B99" s="200" t="str">
        <f t="shared" si="9"/>
        <v>TOPOS CIMA/BAIXO</v>
      </c>
      <c r="C99" s="8">
        <f>C24</f>
        <v>2</v>
      </c>
      <c r="D99" s="8">
        <f t="shared" ref="D99:D101" si="11">D24</f>
        <v>0.18</v>
      </c>
      <c r="E99" s="19">
        <f>D99*$D$115</f>
        <v>4.5792000000000002</v>
      </c>
      <c r="F99" s="186"/>
      <c r="I99" s="8" t="str">
        <f>I24</f>
        <v>TOPOS CIMA/BAIXO</v>
      </c>
      <c r="J99" s="8">
        <f t="shared" ref="J99:K102" si="12">J24</f>
        <v>2</v>
      </c>
      <c r="K99" s="8">
        <f t="shared" si="12"/>
        <v>0.72000000000000008</v>
      </c>
      <c r="L99" s="11">
        <f>K99*K115</f>
        <v>38.683502648171512</v>
      </c>
      <c r="M99" s="186"/>
      <c r="P99" s="8" t="str">
        <f t="shared" ref="P99:Q101" si="13">P24</f>
        <v>TOPOS CIMA/BAIXO</v>
      </c>
      <c r="Q99" s="8">
        <f t="shared" si="13"/>
        <v>2</v>
      </c>
      <c r="R99" s="8">
        <f>R24</f>
        <v>0.72</v>
      </c>
      <c r="S99" s="11">
        <f>R99*$R$115</f>
        <v>24.170400000000001</v>
      </c>
      <c r="T99" s="201"/>
    </row>
    <row r="100" spans="2:20">
      <c r="B100" s="200" t="str">
        <f t="shared" si="9"/>
        <v>TOPOS LATERAIS</v>
      </c>
      <c r="C100" s="8">
        <f t="shared" si="9"/>
        <v>2</v>
      </c>
      <c r="D100" s="8">
        <f t="shared" si="11"/>
        <v>0.93599999999999994</v>
      </c>
      <c r="E100" s="11">
        <f>D100*D115</f>
        <v>23.81184</v>
      </c>
      <c r="F100" s="186"/>
      <c r="I100" s="8" t="str">
        <f t="shared" ref="I100:I102" si="14">I25</f>
        <v>TOPOS LATERAIS</v>
      </c>
      <c r="J100" s="8">
        <f t="shared" si="12"/>
        <v>2</v>
      </c>
      <c r="K100" s="8">
        <f t="shared" si="12"/>
        <v>0.8</v>
      </c>
      <c r="L100" s="11">
        <f>K100*K115</f>
        <v>42.981669609079454</v>
      </c>
      <c r="M100" s="186"/>
      <c r="P100" s="8" t="str">
        <f t="shared" si="13"/>
        <v>TOPOS LATERAIS</v>
      </c>
      <c r="Q100" s="8">
        <f t="shared" si="13"/>
        <v>2</v>
      </c>
      <c r="R100" s="8">
        <f>R25</f>
        <v>2.88</v>
      </c>
      <c r="S100" s="11">
        <f>R100*$R$115</f>
        <v>96.681600000000003</v>
      </c>
      <c r="T100" s="201"/>
    </row>
    <row r="101" spans="2:20">
      <c r="B101" s="200" t="str">
        <f t="shared" si="9"/>
        <v>FUNDO DE GAVETAS</v>
      </c>
      <c r="C101" s="8">
        <f t="shared" si="9"/>
        <v>0</v>
      </c>
      <c r="D101" s="8">
        <f t="shared" si="11"/>
        <v>0</v>
      </c>
      <c r="E101" s="11">
        <f>D101*D86</f>
        <v>0</v>
      </c>
      <c r="F101" s="186"/>
      <c r="I101" s="8" t="str">
        <f t="shared" si="14"/>
        <v>FUNDO DE GAVETAS</v>
      </c>
      <c r="J101" s="8">
        <f t="shared" si="12"/>
        <v>0</v>
      </c>
      <c r="K101" s="8">
        <f t="shared" si="12"/>
        <v>0</v>
      </c>
      <c r="L101" s="11">
        <f>K101*K86</f>
        <v>0</v>
      </c>
      <c r="M101" s="186"/>
      <c r="P101" s="8" t="str">
        <f t="shared" si="13"/>
        <v>FUNDO DE GAVETAS</v>
      </c>
      <c r="Q101" s="8">
        <f t="shared" si="13"/>
        <v>2</v>
      </c>
      <c r="R101" s="8">
        <f>R26</f>
        <v>0.71009999999999995</v>
      </c>
      <c r="S101" s="11">
        <f>R101*R86</f>
        <v>18.789245999999999</v>
      </c>
      <c r="T101" s="201"/>
    </row>
    <row r="102" spans="2:20">
      <c r="B102" s="200" t="str">
        <f t="shared" si="9"/>
        <v>PÉS FIXAÇÃO</v>
      </c>
      <c r="C102" s="8">
        <f t="shared" si="9"/>
        <v>1</v>
      </c>
      <c r="D102" s="8"/>
      <c r="E102" s="19">
        <f>IF(C83 &lt; 80,'Preços_Pés, Fixação e Organiza.'!$C$30, 'Preços_Pés, Fixação e Organiza.'!$C$31)</f>
        <v>10</v>
      </c>
      <c r="I102" s="8" t="str">
        <f t="shared" si="14"/>
        <v>PÉS FIXAÇÃO</v>
      </c>
      <c r="J102" s="8">
        <f t="shared" si="12"/>
        <v>1</v>
      </c>
      <c r="K102" s="8">
        <f t="shared" si="12"/>
        <v>0</v>
      </c>
      <c r="L102" s="19">
        <f>IF(J83 &lt; 80,'Preços_Pés, Fixação e Organiza.'!$C$30, 'Preços_Pés, Fixação e Organiza.'!$C$31)</f>
        <v>14</v>
      </c>
      <c r="P102" s="8" t="str">
        <f>P27</f>
        <v>PÉS FIXAÇÃO</v>
      </c>
      <c r="Q102" s="8">
        <f>Q27</f>
        <v>1</v>
      </c>
      <c r="R102" s="8"/>
      <c r="S102" s="19">
        <f>IF(Q83 &lt; 80,'Preços_Pés, Fixação e Organiza.'!$C$30, 'Preços_Pés, Fixação e Organiza.'!$C$31)</f>
        <v>10</v>
      </c>
      <c r="T102" s="53"/>
    </row>
    <row r="103" spans="2:20">
      <c r="B103" s="49"/>
      <c r="T103" s="53"/>
    </row>
    <row r="104" spans="2:20">
      <c r="B104" s="200" t="s">
        <v>35</v>
      </c>
      <c r="C104" s="17">
        <f>((4*C83+4*D83+4*E83)+(C97*D83+C97*E83)+(C95*C83+C95*E83))/100</f>
        <v>6.12</v>
      </c>
      <c r="D104" s="8">
        <f>C104</f>
        <v>6.12</v>
      </c>
      <c r="E104" s="11">
        <f>D104*D90</f>
        <v>13.154878800000001</v>
      </c>
      <c r="I104" s="8" t="s">
        <v>35</v>
      </c>
      <c r="J104" s="17">
        <f>((4*J83+4*K83+4*L83)+(J97*K83+J97*L83)+(J95*J83+J95*L83))/100</f>
        <v>10.5</v>
      </c>
      <c r="K104" s="8">
        <f>J104</f>
        <v>10.5</v>
      </c>
      <c r="L104" s="11">
        <f>K104*K90</f>
        <v>22.785</v>
      </c>
      <c r="P104" s="8" t="s">
        <v>35</v>
      </c>
      <c r="Q104" s="17">
        <f>((4*Q83+4*R83+4*S83)+(Q97*R83+Q97*S83)+(Q95*Q83+Q95*S83))/100</f>
        <v>18</v>
      </c>
      <c r="R104" s="8">
        <f>Q104</f>
        <v>18</v>
      </c>
      <c r="S104" s="11">
        <f>R104*R90</f>
        <v>38.690820000000002</v>
      </c>
      <c r="T104" s="53"/>
    </row>
    <row r="105" spans="2:20">
      <c r="B105" s="202"/>
      <c r="C105" s="12"/>
      <c r="D105" s="12"/>
      <c r="E105" s="12"/>
      <c r="I105" s="12"/>
      <c r="J105" s="12"/>
      <c r="K105" s="12"/>
      <c r="L105" s="12"/>
      <c r="P105" s="12"/>
      <c r="Q105" s="12"/>
      <c r="R105" s="12"/>
      <c r="S105" s="12"/>
      <c r="T105" s="53"/>
    </row>
    <row r="106" spans="2:20">
      <c r="B106" s="203" t="s">
        <v>140</v>
      </c>
      <c r="C106" s="39"/>
      <c r="D106" s="40" t="s">
        <v>49</v>
      </c>
      <c r="E106" s="41">
        <f>SUM(E93:E102)+SUM(E104)</f>
        <v>84.17109880000001</v>
      </c>
      <c r="I106" s="38" t="s">
        <v>140</v>
      </c>
      <c r="J106" s="39"/>
      <c r="K106" s="40" t="s">
        <v>49</v>
      </c>
      <c r="L106" s="41">
        <f>SUM(L93:L102)+SUM(L104)</f>
        <v>192.00897225725095</v>
      </c>
      <c r="P106" s="38" t="s">
        <v>1397</v>
      </c>
      <c r="Q106" s="39"/>
      <c r="R106" s="40" t="s">
        <v>49</v>
      </c>
      <c r="S106" s="41">
        <f>SUM(S93:S102)+SUM(S104)</f>
        <v>350.26726599999995</v>
      </c>
      <c r="T106" s="53"/>
    </row>
    <row r="107" spans="2:20">
      <c r="B107" s="49"/>
      <c r="T107" s="53"/>
    </row>
    <row r="108" spans="2:20">
      <c r="B108" s="49"/>
      <c r="T108" s="53"/>
    </row>
    <row r="109" spans="2:20">
      <c r="B109" s="49"/>
      <c r="T109" s="53"/>
    </row>
    <row r="110" spans="2:20">
      <c r="B110" s="50" t="s">
        <v>37</v>
      </c>
      <c r="C110" s="5" t="s">
        <v>19</v>
      </c>
      <c r="D110" s="5" t="s">
        <v>20</v>
      </c>
      <c r="E110" s="5" t="s">
        <v>21</v>
      </c>
      <c r="I110" s="6" t="s">
        <v>37</v>
      </c>
      <c r="J110" s="5" t="s">
        <v>19</v>
      </c>
      <c r="K110" s="5" t="s">
        <v>20</v>
      </c>
      <c r="L110" s="5" t="s">
        <v>21</v>
      </c>
      <c r="P110" s="6" t="s">
        <v>37</v>
      </c>
      <c r="Q110" s="5" t="s">
        <v>19</v>
      </c>
      <c r="R110" s="5" t="s">
        <v>20</v>
      </c>
      <c r="S110" s="5" t="s">
        <v>21</v>
      </c>
      <c r="T110" s="53"/>
    </row>
    <row r="111" spans="2:20">
      <c r="B111" s="49"/>
      <c r="C111" s="13">
        <f>(C83-((0.3*$D$5)+0.3))/$D$5</f>
        <v>14.4</v>
      </c>
      <c r="D111" s="14">
        <f>$D$8</f>
        <v>78</v>
      </c>
      <c r="E111" s="14">
        <f>E36</f>
        <v>0.16</v>
      </c>
      <c r="J111" s="13">
        <f>J36</f>
        <v>44.55</v>
      </c>
      <c r="K111" s="14">
        <f>K36</f>
        <v>100</v>
      </c>
      <c r="L111" s="14">
        <f>L36</f>
        <v>0.16</v>
      </c>
      <c r="Q111" s="13">
        <f>(Q83-((0.3*$R$5)+0.3))/$R$5</f>
        <v>8.2285714285714295</v>
      </c>
      <c r="R111" s="14">
        <f>$R$83</f>
        <v>240</v>
      </c>
      <c r="S111" s="14">
        <f>S36</f>
        <v>0.16</v>
      </c>
      <c r="T111" s="53"/>
    </row>
    <row r="112" spans="2:20">
      <c r="B112" s="49"/>
      <c r="T112" s="53"/>
    </row>
    <row r="113" spans="2:20">
      <c r="B113" s="49"/>
      <c r="C113" s="7" t="s">
        <v>22</v>
      </c>
      <c r="D113" s="8">
        <f>SUM(D126:D128)</f>
        <v>2.1879168</v>
      </c>
      <c r="E113" t="s">
        <v>23</v>
      </c>
      <c r="J113" s="7" t="s">
        <v>22</v>
      </c>
      <c r="K113" s="8">
        <f>SUM(K126:K128)</f>
        <v>4.2321255999999998</v>
      </c>
      <c r="L113" t="s">
        <v>23</v>
      </c>
      <c r="Q113" s="7" t="s">
        <v>22</v>
      </c>
      <c r="R113" s="8">
        <f>SUM(R126:R128)</f>
        <v>5.5649718857142858</v>
      </c>
      <c r="S113" t="s">
        <v>23</v>
      </c>
      <c r="T113" s="53"/>
    </row>
    <row r="114" spans="2:20">
      <c r="B114" s="49"/>
      <c r="C114" s="7" t="s">
        <v>141</v>
      </c>
      <c r="D114" s="8" t="str">
        <f>Orçamento_Cozinhas!E13</f>
        <v>Melamina Branca Hidrófuga B3768 - 16mm</v>
      </c>
      <c r="J114" s="7" t="s">
        <v>141</v>
      </c>
      <c r="K114" s="8" t="str">
        <f>K39</f>
        <v>Termolaminado Cinza Alto Brilho - 19mm</v>
      </c>
      <c r="Q114" s="7" t="s">
        <v>141</v>
      </c>
      <c r="R114" s="8" t="str">
        <f>R39</f>
        <v>MDF Hidrófugo - 19mm</v>
      </c>
      <c r="T114" s="53"/>
    </row>
    <row r="115" spans="2:20">
      <c r="B115" s="49"/>
      <c r="C115" s="7" t="s">
        <v>689</v>
      </c>
      <c r="D115" s="16">
        <f>IFERROR(VLOOKUP(D114,'Preços_Placas &amp; Seccionadora'!M173:N246, 2, FALSE), 0)</f>
        <v>25.44</v>
      </c>
      <c r="J115" s="7" t="s">
        <v>689</v>
      </c>
      <c r="K115" s="16">
        <f>IFERROR(VLOOKUP(K114,'Preços_Placas &amp; Seccionadora'!M173:N246, 2, FALSE), 0)</f>
        <v>53.727087011349312</v>
      </c>
      <c r="Q115" s="7" t="s">
        <v>689</v>
      </c>
      <c r="R115" s="16">
        <f>IFERROR(VLOOKUP(R114,'Preços_Placas &amp; Seccionadora'!M173:N251, 2, FALSE), 0)</f>
        <v>33.57</v>
      </c>
      <c r="T115" s="53"/>
    </row>
    <row r="116" spans="2:20">
      <c r="B116" s="49"/>
      <c r="C116" s="7" t="s">
        <v>690</v>
      </c>
      <c r="D116" s="16">
        <f>D90</f>
        <v>2.1494900000000001</v>
      </c>
      <c r="J116" s="7" t="s">
        <v>690</v>
      </c>
      <c r="K116" s="16">
        <f>K90</f>
        <v>2.17</v>
      </c>
      <c r="Q116" s="7" t="s">
        <v>690</v>
      </c>
      <c r="R116" s="16">
        <f>R90</f>
        <v>2.1494900000000001</v>
      </c>
      <c r="T116" s="53"/>
    </row>
    <row r="117" spans="2:20">
      <c r="B117" s="49"/>
      <c r="C117" s="7" t="s">
        <v>142</v>
      </c>
      <c r="D117" s="11" t="str">
        <f>D42</f>
        <v>Velaturas Claras c/ Afinação</v>
      </c>
      <c r="J117" s="7" t="s">
        <v>142</v>
      </c>
      <c r="K117" s="11" t="str">
        <f>K42</f>
        <v>Nenhuma</v>
      </c>
      <c r="Q117" s="7" t="s">
        <v>142</v>
      </c>
      <c r="R117" s="11" t="str">
        <f>R42</f>
        <v>Esmalte Mate Branco</v>
      </c>
      <c r="T117" s="53"/>
    </row>
    <row r="118" spans="2:20">
      <c r="B118" s="49"/>
      <c r="C118" s="7" t="s">
        <v>691</v>
      </c>
      <c r="D118" s="11">
        <f>IF(_xlfn.XLOOKUP(D114, 'Preços_Placas &amp; Seccionadora'!$I$60:$I$199, 'Preços_Placas &amp; Seccionadora'!$J$60:$J$199, "Não Pintar")="Não Pintar", 0, IFERROR(VLOOKUP(D117,Preço_Pintura!J50:K60, 2, FALSE), 0))</f>
        <v>0</v>
      </c>
      <c r="E118" t="s">
        <v>38</v>
      </c>
      <c r="J118" s="7" t="s">
        <v>691</v>
      </c>
      <c r="K118" s="11">
        <f>IF(_xlfn.XLOOKUP(K114, 'Preços_Placas &amp; Seccionadora'!$I$60:$I$199, 'Preços_Placas &amp; Seccionadora'!$J$60:$J$199, "Não Pintar")="Não Pintar", 0, IFERROR(VLOOKUP(K117,Preço_Pintura!J50:K60, 2, FALSE), 0))</f>
        <v>0</v>
      </c>
      <c r="L118" t="s">
        <v>38</v>
      </c>
      <c r="Q118" s="7" t="s">
        <v>691</v>
      </c>
      <c r="R118" s="11">
        <f>IF(_xlfn.XLOOKUP(R114, 'Preços_Placas &amp; Seccionadora'!$I$60:$I$199, 'Preços_Placas &amp; Seccionadora'!$J$60:$J$199, "Não Pintar")="Não Pintar", 0, IFERROR(VLOOKUP(R117,Preço_Pintura!J50:K60, 2, FALSE), 0))</f>
        <v>100</v>
      </c>
      <c r="S118" t="s">
        <v>38</v>
      </c>
      <c r="T118" s="53"/>
    </row>
    <row r="119" spans="2:20">
      <c r="B119" s="49"/>
      <c r="C119" s="7" t="s">
        <v>1325</v>
      </c>
      <c r="D119" s="11" t="str">
        <f>D44</f>
        <v>Normal</v>
      </c>
      <c r="J119" s="7" t="s">
        <v>1325</v>
      </c>
      <c r="K119" s="11" t="str">
        <f>K44</f>
        <v>Tip-on (Pulsador Preto) / Tic-Tac</v>
      </c>
      <c r="Q119" s="7" t="s">
        <v>1323</v>
      </c>
      <c r="R119" s="8" t="str">
        <f>Orçamento_Cozinhas!E127</f>
        <v>Tip-on (Pulsador Preto) / Tic-Tac</v>
      </c>
      <c r="T119" s="53"/>
    </row>
    <row r="120" spans="2:20">
      <c r="B120" s="49"/>
      <c r="C120" s="7" t="s">
        <v>1359</v>
      </c>
      <c r="D120" s="11">
        <f>IFERROR(VLOOKUP(D119,'Preço_Sistema Abertura Portas'!H46:I51, 2, FALSE), 0)</f>
        <v>0</v>
      </c>
      <c r="J120" s="7" t="s">
        <v>1359</v>
      </c>
      <c r="K120" s="11">
        <f>IFERROR(VLOOKUP(K119,'Preço_Sistema Abertura Portas'!H46:I51, 2, FALSE), 0)</f>
        <v>8</v>
      </c>
      <c r="Q120" s="7" t="s">
        <v>1359</v>
      </c>
      <c r="R120" s="19">
        <f>IFERROR(VLOOKUP(R119,'Preço_Sistema Abertura Portas'!H46:I51, 2, FALSE), 0)</f>
        <v>8</v>
      </c>
      <c r="T120" s="53"/>
    </row>
    <row r="121" spans="2:20">
      <c r="B121" s="49"/>
      <c r="C121" s="7" t="s">
        <v>1358</v>
      </c>
      <c r="D121" s="11" t="str">
        <f>D46</f>
        <v>Dobradiça Standard (com mola)</v>
      </c>
      <c r="J121" s="7" t="s">
        <v>1358</v>
      </c>
      <c r="K121" s="11" t="str">
        <f>K46</f>
        <v>Dobradiça Standard (com mola)</v>
      </c>
      <c r="Q121" s="7" t="s">
        <v>1358</v>
      </c>
      <c r="R121" s="223" t="str">
        <f>R46</f>
        <v>Dobradiça Standard (com mola)</v>
      </c>
      <c r="T121" s="53"/>
    </row>
    <row r="122" spans="2:20">
      <c r="B122" s="49"/>
      <c r="C122" s="7" t="s">
        <v>1324</v>
      </c>
      <c r="D122" s="8">
        <f>D47</f>
        <v>2</v>
      </c>
      <c r="J122" s="7" t="s">
        <v>1324</v>
      </c>
      <c r="K122" s="8">
        <f>K47</f>
        <v>4</v>
      </c>
      <c r="Q122" s="7" t="s">
        <v>1324</v>
      </c>
      <c r="R122" s="17">
        <f>R47</f>
        <v>0</v>
      </c>
      <c r="T122" s="53"/>
    </row>
    <row r="123" spans="2:20">
      <c r="B123" s="49"/>
      <c r="C123" s="7" t="s">
        <v>40</v>
      </c>
      <c r="D123" s="16">
        <f>IFERROR(VLOOKUP(D121,'Preço_Sistema Abertura Portas'!H42:I44, 2, FALSE), 0)</f>
        <v>6</v>
      </c>
      <c r="J123" s="7" t="s">
        <v>40</v>
      </c>
      <c r="K123" s="16">
        <f>IFERROR(VLOOKUP(K121,'Preço_Sistema Abertura Portas'!H42:I44, 2, FALSE), 0)</f>
        <v>6</v>
      </c>
      <c r="Q123" s="7" t="s">
        <v>1361</v>
      </c>
      <c r="R123" s="16">
        <f>IFERROR(VLOOKUP(R121,'Preço_Sistema Abertura Portas'!H42:I44, 2, FALSE), 0)</f>
        <v>6</v>
      </c>
      <c r="T123" s="53"/>
    </row>
    <row r="124" spans="2:20">
      <c r="B124" s="49"/>
      <c r="T124" s="53"/>
    </row>
    <row r="125" spans="2:20">
      <c r="B125" s="204" t="s">
        <v>26</v>
      </c>
      <c r="C125" s="15" t="s">
        <v>27</v>
      </c>
      <c r="D125" s="15" t="s">
        <v>41</v>
      </c>
      <c r="E125" s="15" t="s">
        <v>28</v>
      </c>
      <c r="F125" s="15" t="s">
        <v>42</v>
      </c>
      <c r="I125" s="15" t="s">
        <v>26</v>
      </c>
      <c r="J125" s="15" t="s">
        <v>27</v>
      </c>
      <c r="K125" s="15" t="s">
        <v>41</v>
      </c>
      <c r="L125" s="15" t="s">
        <v>28</v>
      </c>
      <c r="M125" s="15" t="s">
        <v>42</v>
      </c>
      <c r="P125" s="15" t="s">
        <v>26</v>
      </c>
      <c r="Q125" s="15" t="s">
        <v>27</v>
      </c>
      <c r="R125" s="15" t="s">
        <v>41</v>
      </c>
      <c r="S125" s="15" t="s">
        <v>1394</v>
      </c>
      <c r="T125" s="205" t="s">
        <v>1395</v>
      </c>
    </row>
    <row r="126" spans="2:20">
      <c r="B126" s="200" t="s">
        <v>43</v>
      </c>
      <c r="C126" s="8">
        <f>$D$80</f>
        <v>1</v>
      </c>
      <c r="D126" s="8">
        <f>(($C$111*$D$111)/10000)</f>
        <v>0.11232</v>
      </c>
      <c r="E126" s="11">
        <f>D126*D115</f>
        <v>2.8574208000000003</v>
      </c>
      <c r="F126" s="11">
        <f>E126*C126</f>
        <v>2.8574208000000003</v>
      </c>
      <c r="I126" s="8" t="s">
        <v>154</v>
      </c>
      <c r="J126" s="8">
        <f>$K$5</f>
        <v>2</v>
      </c>
      <c r="K126" s="89">
        <f>(($J$111*$K$111)/10000)</f>
        <v>0.44550000000000001</v>
      </c>
      <c r="L126" s="8">
        <f>K126*K115</f>
        <v>23.935417263556118</v>
      </c>
      <c r="M126" s="19">
        <f>L126*J126</f>
        <v>47.870834527112237</v>
      </c>
      <c r="P126" s="8" t="s">
        <v>43</v>
      </c>
      <c r="Q126" s="8">
        <f>$R$5</f>
        <v>7</v>
      </c>
      <c r="R126" s="8">
        <f>(($Q$36*$R$36)/10000)</f>
        <v>0.19748571428571432</v>
      </c>
      <c r="S126" s="11">
        <f>R126*R115</f>
        <v>6.62959542857143</v>
      </c>
      <c r="T126" s="206">
        <f>S126*Q126</f>
        <v>46.407168000000013</v>
      </c>
    </row>
    <row r="127" spans="2:20">
      <c r="B127" s="200" t="s">
        <v>35</v>
      </c>
      <c r="C127" s="8">
        <f>($C$36*2+$D$36*2)/100</f>
        <v>1.8480000000000001</v>
      </c>
      <c r="D127">
        <f>C127</f>
        <v>1.8480000000000001</v>
      </c>
      <c r="E127" s="11">
        <f>($D$127*$D$116)</f>
        <v>3.9722575200000003</v>
      </c>
      <c r="F127" s="11">
        <f>E127*C126</f>
        <v>3.9722575200000003</v>
      </c>
      <c r="I127" s="8" t="s">
        <v>35</v>
      </c>
      <c r="J127" s="8">
        <f>($J$111*2+$K$111*2)/100</f>
        <v>2.891</v>
      </c>
      <c r="K127" s="275">
        <f>J127</f>
        <v>2.891</v>
      </c>
      <c r="L127" s="8">
        <f>($K$127*$K$116)</f>
        <v>6.2734699999999997</v>
      </c>
      <c r="M127" s="19">
        <f>L127*J126</f>
        <v>12.546939999999999</v>
      </c>
      <c r="P127" s="8" t="s">
        <v>35</v>
      </c>
      <c r="Q127" s="8">
        <f>($Q$111*2+$R$111*2)/100</f>
        <v>4.9645714285714284</v>
      </c>
      <c r="R127">
        <f>Q127</f>
        <v>4.9645714285714284</v>
      </c>
      <c r="S127" s="11">
        <f>($R$127*$R$116)</f>
        <v>10.67129664</v>
      </c>
      <c r="T127" s="206">
        <f>S127*Q126</f>
        <v>74.699076480000002</v>
      </c>
    </row>
    <row r="128" spans="2:20">
      <c r="B128" s="200" t="s">
        <v>44</v>
      </c>
      <c r="C128" s="8">
        <f>C53</f>
        <v>0.22759680000000004</v>
      </c>
      <c r="D128" s="8">
        <f>C128</f>
        <v>0.22759680000000004</v>
      </c>
      <c r="E128" s="11">
        <f>IF(_xlfn.XLOOKUP(D114,'Preços_Placas &amp; Seccionadora'!I60:I138,'Preços_Placas &amp; Seccionadora'!J60:J138, "")="Não Pintar", 0, Caixote_Custo!D128*D118)</f>
        <v>0</v>
      </c>
      <c r="F128" s="11">
        <f>E128*C126</f>
        <v>0</v>
      </c>
      <c r="I128" s="8" t="s">
        <v>44</v>
      </c>
      <c r="J128" s="8">
        <f>J53</f>
        <v>0.89562559999999991</v>
      </c>
      <c r="K128" s="89">
        <f>J128</f>
        <v>0.89562559999999991</v>
      </c>
      <c r="L128" s="11">
        <f>IF(_xlfn.XLOOKUP(K114,'Preços_Placas &amp; Seccionadora'!I60:I138,'Preços_Placas &amp; Seccionadora'!J60:J138, "")="Não Pintar", 0, Caixote_Custo!K128*K118)</f>
        <v>0</v>
      </c>
      <c r="M128" s="19">
        <f>L128*J126</f>
        <v>0</v>
      </c>
      <c r="P128" s="8" t="s">
        <v>44</v>
      </c>
      <c r="Q128" s="8">
        <f>Q53</f>
        <v>0.40291474285714296</v>
      </c>
      <c r="R128" s="8">
        <f>Q128</f>
        <v>0.40291474285714296</v>
      </c>
      <c r="S128" s="11">
        <f>IF(_xlfn.XLOOKUP(R114,'Preços_Placas &amp; Seccionadora'!I60:I138,'Preços_Placas &amp; Seccionadora'!J60:J138, "")="Não Pintar", 0, Caixote_Custo!R128*R118)</f>
        <v>40.291474285714294</v>
      </c>
      <c r="T128" s="206">
        <f>S128*Q126</f>
        <v>282.04032000000007</v>
      </c>
    </row>
    <row r="129" spans="2:20">
      <c r="B129" s="49"/>
      <c r="T129" s="53"/>
    </row>
    <row r="130" spans="2:20">
      <c r="B130" s="207" t="s">
        <v>36</v>
      </c>
      <c r="C130" s="11">
        <f>SUM(E126:E128)+(D122*D123)+D120</f>
        <v>18.829678319999999</v>
      </c>
      <c r="E130" s="17" t="s">
        <v>45</v>
      </c>
      <c r="F130" s="11">
        <f>IF(C126=0,0,C126*C130)</f>
        <v>18.829678319999999</v>
      </c>
      <c r="I130" s="17" t="s">
        <v>36</v>
      </c>
      <c r="J130" s="223">
        <f>SUM(L126:L128)+(K122*K123)+K120</f>
        <v>62.208887263556122</v>
      </c>
      <c r="L130" s="17" t="s">
        <v>45</v>
      </c>
      <c r="M130" s="19">
        <f>IF(J126=0,0,J130*J126)</f>
        <v>124.41777452711224</v>
      </c>
      <c r="P130" s="17" t="s">
        <v>36</v>
      </c>
      <c r="Q130" s="11">
        <f>SUM(S126:S128)+((R123*R122))+R120</f>
        <v>65.59236635428573</v>
      </c>
      <c r="S130" s="17" t="s">
        <v>45</v>
      </c>
      <c r="T130" s="206">
        <f>IF(Q126=0,0,Q130*Q126)</f>
        <v>459.14656448000011</v>
      </c>
    </row>
    <row r="131" spans="2:20">
      <c r="B131" s="49"/>
      <c r="F131" s="186"/>
      <c r="T131" s="53"/>
    </row>
    <row r="132" spans="2:20">
      <c r="B132" s="49"/>
      <c r="F132" s="186"/>
      <c r="T132" s="53"/>
    </row>
    <row r="133" spans="2:20">
      <c r="B133" s="204" t="s">
        <v>1381</v>
      </c>
      <c r="C133" s="15" t="s">
        <v>27</v>
      </c>
      <c r="D133" s="15"/>
      <c r="E133" s="15" t="s">
        <v>1394</v>
      </c>
      <c r="F133" s="248" t="s">
        <v>1395</v>
      </c>
      <c r="I133" s="15" t="s">
        <v>1381</v>
      </c>
      <c r="J133" s="15" t="s">
        <v>27</v>
      </c>
      <c r="K133" s="15"/>
      <c r="L133" s="15" t="s">
        <v>1394</v>
      </c>
      <c r="M133" s="248" t="s">
        <v>1395</v>
      </c>
      <c r="P133" s="15" t="s">
        <v>1381</v>
      </c>
      <c r="Q133" s="15" t="s">
        <v>27</v>
      </c>
      <c r="R133" s="15"/>
      <c r="S133" s="15" t="s">
        <v>1394</v>
      </c>
      <c r="T133" s="279" t="s">
        <v>1395</v>
      </c>
    </row>
    <row r="134" spans="2:20">
      <c r="B134" s="200" t="str">
        <f>B59</f>
        <v>GAVETA ANTARO EXTERIOR</v>
      </c>
      <c r="C134" s="8">
        <f>C59</f>
        <v>0</v>
      </c>
      <c r="D134" s="8"/>
      <c r="E134" s="19">
        <f>IFERROR(VLOOKUP(B134,Preços_Gavetas!$B$97:$C$108,2,FALSE),0)</f>
        <v>70</v>
      </c>
      <c r="F134" s="11">
        <f>C134*E134</f>
        <v>0</v>
      </c>
      <c r="I134" s="8" t="str">
        <f>I59</f>
        <v>GAVETA ANTARO EXTERIOR</v>
      </c>
      <c r="J134" s="8">
        <f>J59</f>
        <v>0</v>
      </c>
      <c r="K134" s="8"/>
      <c r="L134" s="19">
        <f>IFERROR(VLOOKUP(I134,Preços_Gavetas!$B$97:$C$108,2,FALSE),0)</f>
        <v>70</v>
      </c>
      <c r="M134" s="20">
        <f>L134*J134</f>
        <v>0</v>
      </c>
      <c r="P134" s="8" t="str">
        <f t="shared" ref="P134:Q146" si="15">P59</f>
        <v>GAVETA ANTARO EXTERIOR</v>
      </c>
      <c r="Q134" s="8">
        <f t="shared" si="15"/>
        <v>2</v>
      </c>
      <c r="R134" s="8"/>
      <c r="S134" s="19">
        <f>IFERROR(VLOOKUP(P134,Preços_Gavetas!$B$97:$C$108,2,FALSE),0)</f>
        <v>70</v>
      </c>
      <c r="T134" s="280">
        <f>Q134*S134</f>
        <v>140</v>
      </c>
    </row>
    <row r="135" spans="2:20">
      <c r="B135" s="200" t="str">
        <f t="shared" ref="B135:C146" si="16">B60</f>
        <v>GAVETA MERIVOBOX EXTERIOR</v>
      </c>
      <c r="C135" s="8">
        <f t="shared" si="16"/>
        <v>0</v>
      </c>
      <c r="D135" s="8"/>
      <c r="E135" s="19">
        <f>IFERROR(VLOOKUP(B135,Preços_Gavetas!$B$97:$C$108,2,FALSE),0)</f>
        <v>90</v>
      </c>
      <c r="F135" s="11">
        <f t="shared" ref="F135:F146" si="17">C135*E135</f>
        <v>0</v>
      </c>
      <c r="I135" s="8" t="str">
        <f t="shared" ref="I135:J146" si="18">I60</f>
        <v>GAVETA MERIVOBOX EXTERIOR</v>
      </c>
      <c r="J135" s="8">
        <f t="shared" si="18"/>
        <v>0</v>
      </c>
      <c r="K135" s="8"/>
      <c r="L135" s="19">
        <f>IFERROR(VLOOKUP(I135,Preços_Gavetas!$B$97:$C$108,2,FALSE),0)</f>
        <v>90</v>
      </c>
      <c r="M135" s="20">
        <f t="shared" ref="M135:M146" si="19">L135*J135</f>
        <v>0</v>
      </c>
      <c r="P135" s="8" t="str">
        <f t="shared" si="15"/>
        <v>GAVETA MERIVOBOX EXTERIOR</v>
      </c>
      <c r="Q135" s="8">
        <f t="shared" si="15"/>
        <v>0</v>
      </c>
      <c r="R135" s="8"/>
      <c r="S135" s="19">
        <f>IFERROR(VLOOKUP(P135,Preços_Gavetas!$B$97:$C$108,2,FALSE),0)</f>
        <v>90</v>
      </c>
      <c r="T135" s="280">
        <f>Q135*S135</f>
        <v>0</v>
      </c>
    </row>
    <row r="136" spans="2:20">
      <c r="B136" s="200" t="str">
        <f t="shared" si="16"/>
        <v>GAVETA LEGRABOX EXTERIOR</v>
      </c>
      <c r="C136" s="8">
        <f t="shared" si="16"/>
        <v>0</v>
      </c>
      <c r="D136" s="8"/>
      <c r="E136" s="19">
        <f>IFERROR(VLOOKUP(B136,Preços_Gavetas!$B$97:$C$108,2,FALSE),0)</f>
        <v>110</v>
      </c>
      <c r="F136" s="11">
        <f t="shared" si="17"/>
        <v>0</v>
      </c>
      <c r="I136" s="8" t="str">
        <f t="shared" si="18"/>
        <v>GAVETA LEGRABOX EXTERIOR</v>
      </c>
      <c r="J136" s="8">
        <f t="shared" si="18"/>
        <v>0</v>
      </c>
      <c r="K136" s="8"/>
      <c r="L136" s="19">
        <f>IFERROR(VLOOKUP(I136,Preços_Gavetas!$B$97:$C$108,2,FALSE),0)</f>
        <v>110</v>
      </c>
      <c r="M136" s="20">
        <f t="shared" si="19"/>
        <v>0</v>
      </c>
      <c r="P136" s="8" t="str">
        <f t="shared" si="15"/>
        <v>GAVETA LEGRABOX EXTERIOR</v>
      </c>
      <c r="Q136" s="8">
        <f t="shared" si="15"/>
        <v>0</v>
      </c>
      <c r="R136" s="8"/>
      <c r="S136" s="19">
        <f>IFERROR(VLOOKUP(P136,Preços_Gavetas!$B$97:$C$108,2,FALSE),0)</f>
        <v>110</v>
      </c>
      <c r="T136" s="280">
        <f>Q136*S136</f>
        <v>0</v>
      </c>
    </row>
    <row r="137" spans="2:20">
      <c r="B137" s="200" t="str">
        <f t="shared" si="16"/>
        <v>GAVETA ANTARO INTERIOR</v>
      </c>
      <c r="C137" s="8">
        <f t="shared" si="16"/>
        <v>0</v>
      </c>
      <c r="D137" s="8"/>
      <c r="E137" s="19">
        <f>IFERROR(VLOOKUP(B137,Preços_Gavetas!$B$97:$C$108,2,FALSE),0)</f>
        <v>90</v>
      </c>
      <c r="F137" s="11">
        <f t="shared" si="17"/>
        <v>0</v>
      </c>
      <c r="I137" s="8" t="str">
        <f t="shared" si="18"/>
        <v>GAVETA ANTARO INTERIOR</v>
      </c>
      <c r="J137" s="8">
        <f t="shared" si="18"/>
        <v>0</v>
      </c>
      <c r="K137" s="8"/>
      <c r="L137" s="19">
        <f>IFERROR(VLOOKUP(I137,Preços_Gavetas!$B$97:$C$108,2,FALSE),0)</f>
        <v>90</v>
      </c>
      <c r="M137" s="20">
        <f t="shared" si="19"/>
        <v>0</v>
      </c>
      <c r="P137" s="8" t="str">
        <f t="shared" si="15"/>
        <v>GAVETA ANTARO INTERIOR</v>
      </c>
      <c r="Q137" s="8">
        <f t="shared" si="15"/>
        <v>0</v>
      </c>
      <c r="R137" s="8"/>
      <c r="S137" s="19">
        <f>IFERROR(VLOOKUP(P137,Preços_Gavetas!$B$97:$C$108,2,FALSE),0)</f>
        <v>90</v>
      </c>
      <c r="T137" s="280">
        <f>Q137*S137</f>
        <v>0</v>
      </c>
    </row>
    <row r="138" spans="2:20">
      <c r="B138" s="200" t="str">
        <f t="shared" si="16"/>
        <v>GAVETA MERIVOBOX INTERIOR</v>
      </c>
      <c r="C138" s="8">
        <f t="shared" si="16"/>
        <v>0</v>
      </c>
      <c r="D138" s="8"/>
      <c r="E138" s="19">
        <f>IFERROR(VLOOKUP(B138,Preços_Gavetas!$B$97:$C$108,2,FALSE),0)</f>
        <v>110</v>
      </c>
      <c r="F138" s="11">
        <f t="shared" si="17"/>
        <v>0</v>
      </c>
      <c r="I138" s="8" t="str">
        <f t="shared" si="18"/>
        <v>GAVETA MERIVOBOX INTERIOR</v>
      </c>
      <c r="J138" s="8">
        <f t="shared" si="18"/>
        <v>0</v>
      </c>
      <c r="K138" s="8"/>
      <c r="L138" s="19">
        <f>IFERROR(VLOOKUP(I138,Preços_Gavetas!$B$97:$C$108,2,FALSE),0)</f>
        <v>110</v>
      </c>
      <c r="M138" s="20">
        <f t="shared" si="19"/>
        <v>0</v>
      </c>
      <c r="P138" s="8" t="str">
        <f t="shared" si="15"/>
        <v>GAVETA MERIVOBOX INTERIOR</v>
      </c>
      <c r="Q138" s="8">
        <f t="shared" si="15"/>
        <v>0</v>
      </c>
      <c r="R138" s="8"/>
      <c r="S138" s="19">
        <f>IFERROR(VLOOKUP(P138,Preços_Gavetas!$B$97:$C$108,2,FALSE),0)</f>
        <v>110</v>
      </c>
      <c r="T138" s="280">
        <f t="shared" ref="T138:T146" si="20">Q138*S138</f>
        <v>0</v>
      </c>
    </row>
    <row r="139" spans="2:20">
      <c r="B139" s="200" t="str">
        <f t="shared" si="16"/>
        <v>GAVETA LEGRABOX INTERIOR</v>
      </c>
      <c r="C139" s="8">
        <f t="shared" si="16"/>
        <v>0</v>
      </c>
      <c r="D139" s="8"/>
      <c r="E139" s="19">
        <f>IFERROR(VLOOKUP(B139,Preços_Gavetas!$B$97:$C$108,2,FALSE),0)</f>
        <v>140</v>
      </c>
      <c r="F139" s="11">
        <f t="shared" si="17"/>
        <v>0</v>
      </c>
      <c r="I139" s="8" t="str">
        <f t="shared" si="18"/>
        <v>GAVETA LEGRABOX INTERIOR</v>
      </c>
      <c r="J139" s="8">
        <f t="shared" si="18"/>
        <v>0</v>
      </c>
      <c r="K139" s="8"/>
      <c r="L139" s="19">
        <f>IFERROR(VLOOKUP(I139,Preços_Gavetas!$B$97:$C$108,2,FALSE),0)</f>
        <v>140</v>
      </c>
      <c r="M139" s="20">
        <f t="shared" si="19"/>
        <v>0</v>
      </c>
      <c r="P139" s="8" t="str">
        <f t="shared" si="15"/>
        <v>GAVETA LEGRABOX INTERIOR</v>
      </c>
      <c r="Q139" s="8">
        <f t="shared" si="15"/>
        <v>0</v>
      </c>
      <c r="R139" s="8"/>
      <c r="S139" s="19">
        <f>IFERROR(VLOOKUP(P139,Preços_Gavetas!$B$97:$C$108,2,FALSE),0)</f>
        <v>140</v>
      </c>
      <c r="T139" s="280">
        <f t="shared" si="20"/>
        <v>0</v>
      </c>
    </row>
    <row r="140" spans="2:20">
      <c r="B140" s="200" t="str">
        <f t="shared" si="16"/>
        <v>GAVETÃO ANTARO EXTERIOR</v>
      </c>
      <c r="C140" s="8">
        <f t="shared" si="16"/>
        <v>0</v>
      </c>
      <c r="D140" s="8"/>
      <c r="E140" s="19">
        <f>IFERROR(VLOOKUP(B140,Preços_Gavetas!$B$97:$C$108,2,FALSE),0)</f>
        <v>100</v>
      </c>
      <c r="F140" s="11">
        <f t="shared" si="17"/>
        <v>0</v>
      </c>
      <c r="I140" s="8" t="str">
        <f>I65</f>
        <v>GAVETÃO ANTARO EXTERIOR</v>
      </c>
      <c r="J140" s="8">
        <f t="shared" si="18"/>
        <v>0</v>
      </c>
      <c r="K140" s="8"/>
      <c r="L140" s="19">
        <f>IFERROR(VLOOKUP(I140,Preços_Gavetas!$B$97:$C$108,2,FALSE),0)</f>
        <v>100</v>
      </c>
      <c r="M140" s="20">
        <f t="shared" si="19"/>
        <v>0</v>
      </c>
      <c r="P140" s="8" t="str">
        <f t="shared" si="15"/>
        <v>GAVETÃO ANTARO EXTERIOR</v>
      </c>
      <c r="Q140" s="8">
        <f t="shared" si="15"/>
        <v>0</v>
      </c>
      <c r="R140" s="8"/>
      <c r="S140" s="19">
        <f>IFERROR(VLOOKUP(P140,Preços_Gavetas!$B$97:$C$108,2,FALSE),0)</f>
        <v>100</v>
      </c>
      <c r="T140" s="280">
        <f t="shared" si="20"/>
        <v>0</v>
      </c>
    </row>
    <row r="141" spans="2:20">
      <c r="B141" s="200" t="str">
        <f t="shared" si="16"/>
        <v>GAVETÃO ANTARO INTERIOR</v>
      </c>
      <c r="C141" s="8">
        <f t="shared" si="16"/>
        <v>0</v>
      </c>
      <c r="D141" s="8"/>
      <c r="E141" s="19">
        <f>IFERROR(VLOOKUP(B141,Preços_Gavetas!$B$97:$C$108,2,FALSE),0)</f>
        <v>120</v>
      </c>
      <c r="F141" s="11">
        <f t="shared" si="17"/>
        <v>0</v>
      </c>
      <c r="I141" s="8" t="str">
        <f t="shared" si="18"/>
        <v>GAVETÃO ANTARO INTERIOR</v>
      </c>
      <c r="J141" s="8">
        <f t="shared" si="18"/>
        <v>0</v>
      </c>
      <c r="K141" s="8"/>
      <c r="L141" s="19">
        <f>IFERROR(VLOOKUP(I141,Preços_Gavetas!$B$97:$C$108,2,FALSE),0)</f>
        <v>120</v>
      </c>
      <c r="M141" s="20">
        <f t="shared" si="19"/>
        <v>0</v>
      </c>
      <c r="P141" s="8" t="str">
        <f t="shared" si="15"/>
        <v>GAVETÃO ANTARO INTERIOR</v>
      </c>
      <c r="Q141" s="8">
        <f t="shared" si="15"/>
        <v>0</v>
      </c>
      <c r="R141" s="8"/>
      <c r="S141" s="19">
        <f>IFERROR(VLOOKUP(P141,Preços_Gavetas!$B$97:$C$108,2,FALSE),0)</f>
        <v>120</v>
      </c>
      <c r="T141" s="280">
        <f t="shared" si="20"/>
        <v>0</v>
      </c>
    </row>
    <row r="142" spans="2:20">
      <c r="B142" s="200" t="str">
        <f t="shared" si="16"/>
        <v>GAVETÃO MERIVOBOX EXTERIOR</v>
      </c>
      <c r="C142" s="8">
        <f t="shared" si="16"/>
        <v>0</v>
      </c>
      <c r="D142" s="8"/>
      <c r="E142" s="19">
        <f>IFERROR(VLOOKUP(B142,Preços_Gavetas!$B$97:$C$108,2,FALSE),0)</f>
        <v>120</v>
      </c>
      <c r="F142" s="11">
        <f t="shared" si="17"/>
        <v>0</v>
      </c>
      <c r="I142" s="8" t="str">
        <f t="shared" si="18"/>
        <v>GAVETÃO MERIVOBOX EXTERIOR</v>
      </c>
      <c r="J142" s="8">
        <f t="shared" si="18"/>
        <v>0</v>
      </c>
      <c r="K142" s="8"/>
      <c r="L142" s="19">
        <f>IFERROR(VLOOKUP(I142,Preços_Gavetas!$B$97:$C$108,2,FALSE),0)</f>
        <v>120</v>
      </c>
      <c r="M142" s="20">
        <f t="shared" si="19"/>
        <v>0</v>
      </c>
      <c r="P142" s="8" t="str">
        <f t="shared" si="15"/>
        <v>GAVETÃO MERIVOBOX EXTERIOR</v>
      </c>
      <c r="Q142" s="8">
        <f t="shared" si="15"/>
        <v>0</v>
      </c>
      <c r="R142" s="8"/>
      <c r="S142" s="19">
        <f>IFERROR(VLOOKUP(P142,Preços_Gavetas!$B$97:$C$108,2,FALSE),0)</f>
        <v>120</v>
      </c>
      <c r="T142" s="280">
        <f t="shared" si="20"/>
        <v>0</v>
      </c>
    </row>
    <row r="143" spans="2:20">
      <c r="B143" s="200" t="str">
        <f t="shared" si="16"/>
        <v>GAVETÃO MERIVOBOX INTERIOR</v>
      </c>
      <c r="C143" s="8">
        <f t="shared" si="16"/>
        <v>0</v>
      </c>
      <c r="D143" s="8"/>
      <c r="E143" s="19">
        <f>IFERROR(VLOOKUP(B143,Preços_Gavetas!$B$97:$C$108,2,FALSE),0)</f>
        <v>140</v>
      </c>
      <c r="F143" s="11">
        <f t="shared" si="17"/>
        <v>0</v>
      </c>
      <c r="I143" s="8" t="str">
        <f t="shared" si="18"/>
        <v>GAVETÃO MERIVOBOX INTERIOR</v>
      </c>
      <c r="J143" s="8">
        <f t="shared" si="18"/>
        <v>0</v>
      </c>
      <c r="K143" s="8"/>
      <c r="L143" s="19">
        <f>IFERROR(VLOOKUP(I143,Preços_Gavetas!$B$97:$C$108,2,FALSE),0)</f>
        <v>140</v>
      </c>
      <c r="M143" s="20">
        <f t="shared" si="19"/>
        <v>0</v>
      </c>
      <c r="P143" s="8" t="str">
        <f t="shared" si="15"/>
        <v>GAVETÃO MERIVOBOX INTERIOR</v>
      </c>
      <c r="Q143" s="8">
        <f t="shared" si="15"/>
        <v>0</v>
      </c>
      <c r="R143" s="8"/>
      <c r="S143" s="19">
        <f>IFERROR(VLOOKUP(P143,Preços_Gavetas!$B$97:$C$108,2,FALSE),0)</f>
        <v>140</v>
      </c>
      <c r="T143" s="280">
        <f t="shared" si="20"/>
        <v>0</v>
      </c>
    </row>
    <row r="144" spans="2:20">
      <c r="B144" s="200" t="str">
        <f t="shared" si="16"/>
        <v>GAVETÃO LEGRABOX EXTERIOR</v>
      </c>
      <c r="C144" s="8">
        <f t="shared" si="16"/>
        <v>0</v>
      </c>
      <c r="D144" s="8"/>
      <c r="E144" s="19">
        <f>IFERROR(VLOOKUP(B144,Preços_Gavetas!$B$97:$C$108,2,FALSE),0)</f>
        <v>140</v>
      </c>
      <c r="F144" s="11">
        <f t="shared" si="17"/>
        <v>0</v>
      </c>
      <c r="I144" s="8" t="str">
        <f t="shared" si="18"/>
        <v>GAVETÃO LEGRABOX EXTERIOR</v>
      </c>
      <c r="J144" s="8">
        <f t="shared" si="18"/>
        <v>0</v>
      </c>
      <c r="K144" s="8"/>
      <c r="L144" s="19">
        <f>IFERROR(VLOOKUP(I144,Preços_Gavetas!$B$97:$C$108,2,FALSE),0)</f>
        <v>140</v>
      </c>
      <c r="M144" s="20">
        <f t="shared" si="19"/>
        <v>0</v>
      </c>
      <c r="P144" s="8" t="str">
        <f t="shared" si="15"/>
        <v>GAVETÃO LEGRABOX EXTERIOR</v>
      </c>
      <c r="Q144" s="8">
        <f t="shared" si="15"/>
        <v>0</v>
      </c>
      <c r="R144" s="8"/>
      <c r="S144" s="19">
        <f>IFERROR(VLOOKUP(P144,Preços_Gavetas!$B$97:$C$108,2,FALSE),0)</f>
        <v>140</v>
      </c>
      <c r="T144" s="280">
        <f t="shared" si="20"/>
        <v>0</v>
      </c>
    </row>
    <row r="145" spans="2:20">
      <c r="B145" s="200" t="str">
        <f t="shared" si="16"/>
        <v>GAVETÃO LEGRABOX INTERIOR</v>
      </c>
      <c r="C145" s="8">
        <f t="shared" si="16"/>
        <v>0</v>
      </c>
      <c r="D145" s="8"/>
      <c r="E145" s="19">
        <f>IFERROR(VLOOKUP(B145,Preços_Gavetas!$B$97:$C$108,2,FALSE),0)</f>
        <v>170</v>
      </c>
      <c r="F145" s="11">
        <f t="shared" si="17"/>
        <v>0</v>
      </c>
      <c r="I145" s="8" t="str">
        <f t="shared" si="18"/>
        <v>GAVETÃO LEGRABOX INTERIOR</v>
      </c>
      <c r="J145" s="8">
        <f t="shared" si="18"/>
        <v>0</v>
      </c>
      <c r="K145" s="8"/>
      <c r="L145" s="19">
        <f>IFERROR(VLOOKUP(I145,Preços_Gavetas!$B$97:$C$108,2,FALSE),0)</f>
        <v>170</v>
      </c>
      <c r="M145" s="20">
        <f t="shared" si="19"/>
        <v>0</v>
      </c>
      <c r="P145" s="8" t="str">
        <f t="shared" si="15"/>
        <v>GAVETÃO LEGRABOX INTERIOR</v>
      </c>
      <c r="Q145" s="8">
        <f t="shared" si="15"/>
        <v>0</v>
      </c>
      <c r="R145" s="8"/>
      <c r="S145" s="19">
        <f>IFERROR(VLOOKUP(P145,Preços_Gavetas!$B$97:$C$108,2,FALSE),0)</f>
        <v>170</v>
      </c>
      <c r="T145" s="280">
        <f t="shared" si="20"/>
        <v>0</v>
      </c>
    </row>
    <row r="146" spans="2:20">
      <c r="B146" s="200">
        <f t="shared" si="16"/>
        <v>0</v>
      </c>
      <c r="C146" s="8">
        <f t="shared" si="16"/>
        <v>0</v>
      </c>
      <c r="D146" s="8"/>
      <c r="E146" s="19">
        <f>IFERROR(VLOOKUP(B146,Preços_Gavetas!$B$97:$C$108,2,FALSE),0)</f>
        <v>0</v>
      </c>
      <c r="F146" s="11">
        <f t="shared" si="17"/>
        <v>0</v>
      </c>
      <c r="I146" s="8">
        <f t="shared" si="18"/>
        <v>0</v>
      </c>
      <c r="J146" s="8">
        <f t="shared" si="18"/>
        <v>0</v>
      </c>
      <c r="K146" s="8"/>
      <c r="L146" s="19">
        <f>IFERROR(VLOOKUP(I146,Preços_Gavetas!$B$97:$C$108,2,FALSE),0)</f>
        <v>0</v>
      </c>
      <c r="M146" s="20">
        <f t="shared" si="19"/>
        <v>0</v>
      </c>
      <c r="P146" s="8">
        <f t="shared" si="15"/>
        <v>0</v>
      </c>
      <c r="Q146" s="8">
        <f t="shared" si="15"/>
        <v>0</v>
      </c>
      <c r="R146" s="8"/>
      <c r="S146" s="19">
        <f>IFERROR(VLOOKUP(P146,Preços_Gavetas!$B$97:$C$108,2,FALSE),0)</f>
        <v>0</v>
      </c>
      <c r="T146" s="280">
        <f t="shared" si="20"/>
        <v>0</v>
      </c>
    </row>
    <row r="147" spans="2:20">
      <c r="B147" s="49"/>
      <c r="F147" s="186"/>
      <c r="T147" s="53"/>
    </row>
    <row r="148" spans="2:20" ht="15.75" thickBot="1">
      <c r="B148" s="49"/>
      <c r="F148" s="186"/>
      <c r="T148" s="53"/>
    </row>
    <row r="149" spans="2:20" ht="15.75" thickBot="1">
      <c r="B149" s="76" t="s">
        <v>185</v>
      </c>
      <c r="C149" s="77"/>
      <c r="D149" s="78" t="s">
        <v>49</v>
      </c>
      <c r="E149" s="83">
        <f>IF(F83=0,0,E150/F83)</f>
        <v>1144.4530791111113</v>
      </c>
      <c r="F149" s="186"/>
      <c r="I149" s="76" t="s">
        <v>185</v>
      </c>
      <c r="J149" s="77"/>
      <c r="K149" s="78" t="s">
        <v>49</v>
      </c>
      <c r="L149" s="83">
        <f>IF(M83=0,0,L150/M83)</f>
        <v>878.96318551212005</v>
      </c>
      <c r="P149" s="76" t="s">
        <v>185</v>
      </c>
      <c r="Q149" s="77"/>
      <c r="R149" s="78" t="s">
        <v>1396</v>
      </c>
      <c r="S149" s="83">
        <f>IF(T83=0,0,S150/T83)</f>
        <v>2248.3717513333336</v>
      </c>
      <c r="T149" s="53"/>
    </row>
    <row r="150" spans="2:20" ht="15.75" thickBot="1">
      <c r="B150" s="44" t="s">
        <v>183</v>
      </c>
      <c r="C150" s="45"/>
      <c r="D150" s="46" t="s">
        <v>46</v>
      </c>
      <c r="E150" s="79">
        <f>E106+F130</f>
        <v>103.00077712000001</v>
      </c>
      <c r="I150" s="44" t="s">
        <v>184</v>
      </c>
      <c r="J150" s="45"/>
      <c r="K150" s="46" t="s">
        <v>46</v>
      </c>
      <c r="L150" s="79">
        <f>L106+(M130)</f>
        <v>316.42674678436322</v>
      </c>
      <c r="P150" s="44" t="s">
        <v>183</v>
      </c>
      <c r="Q150" s="45"/>
      <c r="R150" s="46" t="s">
        <v>46</v>
      </c>
      <c r="S150" s="79">
        <f>S106+T130</f>
        <v>809.41383048000012</v>
      </c>
      <c r="T150" s="53"/>
    </row>
    <row r="151" spans="2:20" ht="15.75" thickBot="1">
      <c r="B151" s="44" t="s">
        <v>1414</v>
      </c>
      <c r="C151" s="45"/>
      <c r="D151" s="260"/>
      <c r="E151" s="59">
        <f>E150+SUM(F134:F146)</f>
        <v>103.00077712000001</v>
      </c>
      <c r="I151" s="44" t="s">
        <v>1406</v>
      </c>
      <c r="J151" s="45"/>
      <c r="K151" s="260"/>
      <c r="L151" s="59">
        <f>L150+SUM(M134:M146)</f>
        <v>316.42674678436322</v>
      </c>
      <c r="P151" s="458" t="s">
        <v>1407</v>
      </c>
      <c r="Q151" s="459"/>
      <c r="R151" s="460"/>
      <c r="S151" s="59">
        <f>S150+SUM(T134:T146)</f>
        <v>949.41383048000012</v>
      </c>
      <c r="T151" s="53"/>
    </row>
    <row r="152" spans="2:20" ht="15.75" thickBot="1">
      <c r="B152" s="252" t="s">
        <v>1411</v>
      </c>
      <c r="C152" s="249"/>
      <c r="D152" s="281"/>
      <c r="E152" s="282">
        <f>E151*B4</f>
        <v>103.00077712000001</v>
      </c>
      <c r="I152" s="252" t="s">
        <v>1411</v>
      </c>
      <c r="J152" s="249"/>
      <c r="K152" s="250"/>
      <c r="L152" s="59">
        <f>L151*I4</f>
        <v>316.42674678436322</v>
      </c>
      <c r="P152" s="252" t="s">
        <v>1411</v>
      </c>
      <c r="Q152" s="253"/>
      <c r="R152" s="254"/>
      <c r="S152" s="59">
        <f>S151*$P$4</f>
        <v>949.41383048000012</v>
      </c>
      <c r="T152" s="53"/>
    </row>
    <row r="153" spans="2:20" ht="15.75" thickBot="1">
      <c r="B153" s="51"/>
      <c r="C153" s="187"/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8"/>
    </row>
  </sheetData>
  <mergeCells count="9">
    <mergeCell ref="P151:R151"/>
    <mergeCell ref="B2:F2"/>
    <mergeCell ref="I2:M2"/>
    <mergeCell ref="P2:T2"/>
    <mergeCell ref="B79:F79"/>
    <mergeCell ref="I79:M79"/>
    <mergeCell ref="P79:T79"/>
    <mergeCell ref="P76:R76"/>
    <mergeCell ref="I76:K76"/>
  </mergeCells>
  <dataValidations count="10">
    <dataValidation type="list" allowBlank="1" showInputMessage="1" showErrorMessage="1" sqref="I93:I97" xr:uid="{CB2A0263-7A4C-4028-9B3A-5FBD42FDD7DC}">
      <formula1>"PRUME,CIMA_BAIXO,PRATELEIRA,COSTA,DIVISÓRIA"</formula1>
    </dataValidation>
    <dataValidation type="list" allowBlank="1" showInputMessage="1" showErrorMessage="1" sqref="C18:C19 J18:J19 Q18:Q19" xr:uid="{F0030CAB-4088-4745-B9C0-4433E550E2B4}">
      <formula1>"0,1,2,3,4,5,6,7,8,9,10,11,12,13,14,15,16,17,18,19,20,21,22,23,24,25,26,27,28,29,30,31,32,33,34,35,36,37,38,39,40,41,42,43,44,45,46,47,48,49,50,51,52,53,54,55,56,57,58,59,60,61,62,63,64,65,66,67,68,69,70,71,72,73,74,75,76,77,78,79,80,81,82,83,84,85,86,87,"</formula1>
    </dataValidation>
    <dataValidation type="list" allowBlank="1" showInputMessage="1" showErrorMessage="1" sqref="I98 P98" xr:uid="{23A5984C-D317-4101-A8D8-E5FA2B809A57}">
      <formula1>"PRUME,CIMA_BAIXO,PRATELEIRA,COSTA,DIVISÓRIA,PINTURA"</formula1>
    </dataValidation>
    <dataValidation type="list" allowBlank="1" showInputMessage="1" showErrorMessage="1" sqref="P93:P97" xr:uid="{62BCE9AF-D86F-448A-B5E5-63B6A1CF7122}">
      <formula1>"PRUME,CIMA_BAIXO,PRATELEIRA,COSTA,DIVISÓRIA VERTICAL,DIVISÓRIA HORIZONTAL"</formula1>
    </dataValidation>
    <dataValidation type="list" allowBlank="1" showInputMessage="1" showErrorMessage="1" sqref="P18:P23" xr:uid="{D517B660-F773-44F9-8CAC-FF2FAED8BE08}">
      <formula1>"PINTURA,PRUME,CIMA_BAIXO,PRATELEIRA,COSTA,DIVISÓRIA VERTICAL,DIVISÓRIA HORIZONTAL"</formula1>
    </dataValidation>
    <dataValidation type="list" allowBlank="1" showInputMessage="1" showErrorMessage="1" sqref="I18:I23 B18:B21 B23" xr:uid="{EF3B83DC-758B-48DF-AF57-EF3B7337D192}">
      <formula1>"PINTURA,PRUME,CIMA_BAIXO,PRATELEIRA,COSTA,DIVISÓRIA VERTICAL,"</formula1>
    </dataValidation>
    <dataValidation type="list" allowBlank="1" showInputMessage="1" showErrorMessage="1" sqref="B22" xr:uid="{C231F8FD-FF50-4E1B-A34F-B7CD1993851A}">
      <formula1>"PRUME,CIMA_BAIXO,PRATELEIRA,COSTA,DIVISÓRIAPINTURA,PRUME,CIMA_BAIXO,PRATELEIRA,COSTA,DIVISÓRIA VERTICAL,"</formula1>
    </dataValidation>
    <dataValidation type="list" allowBlank="1" showInputMessage="1" showErrorMessage="1" sqref="P24:P25" xr:uid="{25F1D219-939A-41BA-83A4-A8B98D874A9F}">
      <formula1>"TOPOS CIMA/BAIXO, TOPOS LATERAIS, PINTURA,PRUME,CIMA_BAIXO,PRATELEIRA,COSTA,DIVISÓRIA VERTICAL,DIVISÓRIA HORIZONTAL"</formula1>
    </dataValidation>
    <dataValidation type="list" allowBlank="1" showInputMessage="1" showErrorMessage="1" sqref="P26 I24:I26" xr:uid="{107F4A3E-6D82-43BB-AB7F-A47308C1AF27}">
      <formula1>"TOPOS CIMA/BAIXO, TOPOS LATERAIS, PINTURA,PRUME,CIMA_BAIXO,PRATELEIRA,COSTA,DIVISÓRIA VERTICAL,DIVISÓRIA HORIZONTAL, FUNDO DE GAVETAS"</formula1>
    </dataValidation>
    <dataValidation type="list" allowBlank="1" showInputMessage="1" showErrorMessage="1" sqref="P27 I27 B24:B27" xr:uid="{47037BBA-8F67-4970-86DD-77A79C43868A}">
      <formula1>"PÉS FIXAÇÃO,TOPOS CIMA/BAIXO, TOPOS LATERAIS, PINTURA,PRUME,CIMA_BAIXO,PRATELEIRA,COSTA,DIVISÓRIA VERTICAL,DIVISÓRIA HORIZONTAL, FUNDO DE GAVETAS"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2BA84-F4F9-449E-8106-92F26333D5AC}">
  <sheetPr codeName="Folha6">
    <tabColor theme="0" tint="-0.249977111117893"/>
  </sheetPr>
  <dimension ref="A2:M342"/>
  <sheetViews>
    <sheetView showGridLines="0" topLeftCell="A100" zoomScale="90" zoomScaleNormal="90" workbookViewId="0">
      <selection activeCell="C132" sqref="C132"/>
    </sheetView>
  </sheetViews>
  <sheetFormatPr defaultRowHeight="15"/>
  <cols>
    <col min="2" max="2" width="42.85546875" customWidth="1"/>
    <col min="3" max="3" width="66.28515625" customWidth="1"/>
    <col min="4" max="4" width="15.5703125" customWidth="1"/>
    <col min="5" max="5" width="10.85546875" customWidth="1"/>
    <col min="6" max="6" width="12" customWidth="1"/>
    <col min="7" max="7" width="27.140625" style="37" customWidth="1"/>
    <col min="8" max="8" width="27.7109375" customWidth="1"/>
    <col min="9" max="9" width="10.85546875" customWidth="1"/>
    <col min="10" max="10" width="29.28515625" customWidth="1"/>
    <col min="11" max="11" width="16.28515625" customWidth="1"/>
    <col min="12" max="12" width="21.140625" customWidth="1"/>
  </cols>
  <sheetData>
    <row r="2" spans="1:13" ht="26.25">
      <c r="A2" s="473" t="s">
        <v>1523</v>
      </c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</row>
    <row r="3" spans="1:13" ht="15.75" thickBot="1"/>
    <row r="4" spans="1:13" ht="30" customHeight="1">
      <c r="B4" s="475" t="s">
        <v>1416</v>
      </c>
      <c r="C4" s="477" t="s">
        <v>1524</v>
      </c>
      <c r="D4" s="478"/>
      <c r="E4" s="478"/>
      <c r="F4" s="478"/>
      <c r="G4" s="479"/>
      <c r="H4" s="302"/>
      <c r="I4" s="302"/>
      <c r="J4" s="302"/>
      <c r="K4" s="302"/>
      <c r="L4" s="302"/>
      <c r="M4" s="302"/>
    </row>
    <row r="5" spans="1:13" ht="32.25" customHeight="1" thickBot="1">
      <c r="B5" s="476"/>
      <c r="C5" s="480"/>
      <c r="D5" s="481"/>
      <c r="E5" s="481"/>
      <c r="F5" s="481"/>
      <c r="G5" s="482"/>
      <c r="H5" s="302"/>
      <c r="I5" s="302"/>
      <c r="J5" s="302"/>
      <c r="K5" s="302"/>
      <c r="L5" s="302"/>
      <c r="M5" s="302"/>
    </row>
    <row r="6" spans="1:13" ht="30" customHeight="1" thickBot="1">
      <c r="B6" s="301"/>
      <c r="C6" s="470" t="s">
        <v>1526</v>
      </c>
      <c r="D6" s="471"/>
      <c r="E6" s="471"/>
      <c r="F6" s="471"/>
      <c r="G6" s="472"/>
      <c r="H6" s="300"/>
      <c r="I6" s="300"/>
      <c r="J6" s="300"/>
      <c r="K6" s="300"/>
      <c r="L6" s="300"/>
      <c r="M6" s="300"/>
    </row>
    <row r="7" spans="1:13" ht="18.75">
      <c r="B7" s="301"/>
      <c r="C7" s="300"/>
      <c r="D7" s="300"/>
      <c r="E7" s="300"/>
      <c r="F7" s="300"/>
      <c r="G7" s="300"/>
      <c r="H7" s="300"/>
      <c r="I7" s="300"/>
      <c r="J7" s="300"/>
      <c r="K7" s="300"/>
      <c r="L7" s="300"/>
      <c r="M7" s="300"/>
    </row>
    <row r="8" spans="1:13" ht="18.75">
      <c r="B8" s="301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300"/>
    </row>
    <row r="9" spans="1:13" ht="18.75">
      <c r="B9" s="301"/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</row>
    <row r="10" spans="1:13" ht="18.75">
      <c r="B10" s="301"/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</row>
    <row r="11" spans="1:13" ht="18.75">
      <c r="B11" s="301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</row>
    <row r="12" spans="1:13" ht="15.75" thickBot="1"/>
    <row r="13" spans="1:13" ht="16.5" thickBot="1">
      <c r="B13" s="297" t="s">
        <v>1429</v>
      </c>
      <c r="C13" s="297" t="s">
        <v>1428</v>
      </c>
      <c r="D13" s="297" t="s">
        <v>1421</v>
      </c>
      <c r="E13" s="297" t="s">
        <v>1422</v>
      </c>
      <c r="F13" s="297" t="s">
        <v>1423</v>
      </c>
      <c r="G13" s="298" t="s">
        <v>1424</v>
      </c>
      <c r="H13" s="297" t="s">
        <v>1427</v>
      </c>
      <c r="I13" s="299" t="s">
        <v>1426</v>
      </c>
      <c r="J13" s="299" t="s">
        <v>1525</v>
      </c>
      <c r="K13" s="297" t="s">
        <v>188</v>
      </c>
      <c r="L13" s="297" t="s">
        <v>1425</v>
      </c>
    </row>
    <row r="14" spans="1:13">
      <c r="B14" s="291" t="s">
        <v>1430</v>
      </c>
      <c r="C14" s="292" t="s">
        <v>319</v>
      </c>
      <c r="D14" s="293">
        <v>2750</v>
      </c>
      <c r="E14" s="294">
        <v>1830</v>
      </c>
      <c r="F14" s="294">
        <v>10</v>
      </c>
      <c r="G14" s="396">
        <v>25.57</v>
      </c>
      <c r="H14" s="397"/>
      <c r="I14" s="291">
        <f>(D14*E14)/1000000</f>
        <v>5.0324999999999998</v>
      </c>
      <c r="J14" s="295">
        <f>IFERROR(IF(H14 &gt; 0,H14,G14 /I14),0)</f>
        <v>5.0809736711376061</v>
      </c>
      <c r="K14" s="296" t="s">
        <v>98</v>
      </c>
      <c r="L14" s="291" t="s">
        <v>1456</v>
      </c>
    </row>
    <row r="15" spans="1:13">
      <c r="B15" s="35" t="s">
        <v>1431</v>
      </c>
      <c r="C15" s="289" t="s">
        <v>50</v>
      </c>
      <c r="D15" s="35">
        <v>2800</v>
      </c>
      <c r="E15" s="35">
        <v>2070</v>
      </c>
      <c r="F15" s="35">
        <v>16</v>
      </c>
      <c r="G15" s="398">
        <v>43.24</v>
      </c>
      <c r="H15" s="399"/>
      <c r="I15" s="35">
        <f t="shared" ref="I15:I78" si="0">(D15*E15)/1000000</f>
        <v>5.7960000000000003</v>
      </c>
      <c r="J15" s="288">
        <f t="shared" ref="J15:J78" si="1">IFERROR(IF(H15 &gt; 0,H15,G15 /I15),0)</f>
        <v>7.4603174603174605</v>
      </c>
      <c r="K15" s="227" t="s">
        <v>98</v>
      </c>
      <c r="L15" s="35" t="s">
        <v>1456</v>
      </c>
    </row>
    <row r="16" spans="1:13">
      <c r="B16" s="35" t="s">
        <v>1432</v>
      </c>
      <c r="C16" s="289" t="s">
        <v>51</v>
      </c>
      <c r="D16" s="35">
        <v>2800</v>
      </c>
      <c r="E16" s="35">
        <v>2070</v>
      </c>
      <c r="F16" s="35">
        <v>19</v>
      </c>
      <c r="G16" s="398"/>
      <c r="H16" s="399">
        <v>8.89</v>
      </c>
      <c r="I16" s="35">
        <f t="shared" si="0"/>
        <v>5.7960000000000003</v>
      </c>
      <c r="J16" s="288">
        <f t="shared" si="1"/>
        <v>8.89</v>
      </c>
      <c r="K16" s="227" t="s">
        <v>98</v>
      </c>
      <c r="L16" s="35" t="s">
        <v>1456</v>
      </c>
    </row>
    <row r="17" spans="2:12">
      <c r="B17" s="35" t="s">
        <v>1433</v>
      </c>
      <c r="C17" s="289" t="s">
        <v>52</v>
      </c>
      <c r="D17" s="35">
        <v>2800</v>
      </c>
      <c r="E17" s="35">
        <v>2070</v>
      </c>
      <c r="F17" s="35">
        <v>22</v>
      </c>
      <c r="G17" s="398">
        <v>60.685000000000002</v>
      </c>
      <c r="H17" s="399"/>
      <c r="I17" s="35">
        <f t="shared" si="0"/>
        <v>5.7960000000000003</v>
      </c>
      <c r="J17" s="288">
        <f t="shared" si="1"/>
        <v>10.470151828847481</v>
      </c>
      <c r="K17" s="227" t="s">
        <v>98</v>
      </c>
      <c r="L17" s="35" t="s">
        <v>1456</v>
      </c>
    </row>
    <row r="18" spans="2:12">
      <c r="B18" s="35" t="s">
        <v>1434</v>
      </c>
      <c r="C18" s="289" t="s">
        <v>95</v>
      </c>
      <c r="D18" s="35">
        <v>2440</v>
      </c>
      <c r="E18" s="35">
        <v>2050</v>
      </c>
      <c r="F18" s="35">
        <v>40</v>
      </c>
      <c r="G18" s="398">
        <v>124.11499999999999</v>
      </c>
      <c r="H18" s="399"/>
      <c r="I18" s="35">
        <f t="shared" si="0"/>
        <v>5.0019999999999998</v>
      </c>
      <c r="J18" s="288">
        <f>IFERROR(IF(H18 &gt; 0,H18,G18 /I18),0)</f>
        <v>24.813074770091962</v>
      </c>
      <c r="K18" s="227" t="s">
        <v>98</v>
      </c>
      <c r="L18" s="35" t="s">
        <v>1456</v>
      </c>
    </row>
    <row r="19" spans="2:12">
      <c r="B19" s="35" t="s">
        <v>1435</v>
      </c>
      <c r="C19" s="289" t="s">
        <v>111</v>
      </c>
      <c r="D19" s="35"/>
      <c r="E19" s="35"/>
      <c r="F19" s="35">
        <v>16</v>
      </c>
      <c r="G19" s="398"/>
      <c r="H19" s="399">
        <v>6.46</v>
      </c>
      <c r="I19" s="35">
        <f t="shared" si="0"/>
        <v>0</v>
      </c>
      <c r="J19" s="288">
        <f t="shared" si="1"/>
        <v>6.46</v>
      </c>
      <c r="K19" s="227" t="s">
        <v>98</v>
      </c>
      <c r="L19" s="35" t="s">
        <v>1457</v>
      </c>
    </row>
    <row r="20" spans="2:12">
      <c r="B20" s="35" t="s">
        <v>1436</v>
      </c>
      <c r="C20" s="289" t="s">
        <v>112</v>
      </c>
      <c r="D20" s="35"/>
      <c r="E20" s="35"/>
      <c r="F20" s="35">
        <v>16</v>
      </c>
      <c r="G20" s="398"/>
      <c r="H20" s="399">
        <v>7</v>
      </c>
      <c r="I20" s="35">
        <f t="shared" si="0"/>
        <v>0</v>
      </c>
      <c r="J20" s="288">
        <f t="shared" si="1"/>
        <v>7</v>
      </c>
      <c r="K20" s="227" t="s">
        <v>98</v>
      </c>
      <c r="L20" s="35" t="s">
        <v>1458</v>
      </c>
    </row>
    <row r="21" spans="2:12">
      <c r="B21" s="35" t="s">
        <v>1437</v>
      </c>
      <c r="C21" s="289" t="s">
        <v>113</v>
      </c>
      <c r="D21" s="35"/>
      <c r="E21" s="35"/>
      <c r="F21" s="35">
        <v>16</v>
      </c>
      <c r="G21" s="398"/>
      <c r="H21" s="399">
        <v>7</v>
      </c>
      <c r="I21" s="35">
        <f t="shared" si="0"/>
        <v>0</v>
      </c>
      <c r="J21" s="288">
        <f t="shared" si="1"/>
        <v>7</v>
      </c>
      <c r="K21" s="227" t="s">
        <v>98</v>
      </c>
      <c r="L21" s="35" t="s">
        <v>1459</v>
      </c>
    </row>
    <row r="22" spans="2:12">
      <c r="B22" s="35" t="s">
        <v>1438</v>
      </c>
      <c r="C22" s="289" t="s">
        <v>114</v>
      </c>
      <c r="D22" s="35"/>
      <c r="E22" s="35"/>
      <c r="F22" s="35">
        <v>10</v>
      </c>
      <c r="G22" s="398"/>
      <c r="H22" s="399">
        <v>4.7699999999999996</v>
      </c>
      <c r="I22" s="35">
        <f t="shared" si="0"/>
        <v>0</v>
      </c>
      <c r="J22" s="288">
        <f t="shared" si="1"/>
        <v>4.7699999999999996</v>
      </c>
      <c r="K22" s="227" t="s">
        <v>98</v>
      </c>
      <c r="L22" s="35" t="s">
        <v>1457</v>
      </c>
    </row>
    <row r="23" spans="2:12">
      <c r="B23" s="35" t="s">
        <v>1439</v>
      </c>
      <c r="C23" s="289" t="s">
        <v>115</v>
      </c>
      <c r="D23" s="35"/>
      <c r="E23" s="35"/>
      <c r="F23" s="35">
        <v>10</v>
      </c>
      <c r="G23" s="398"/>
      <c r="H23" s="399">
        <v>5.34</v>
      </c>
      <c r="I23" s="35">
        <f t="shared" si="0"/>
        <v>0</v>
      </c>
      <c r="J23" s="288">
        <f t="shared" si="1"/>
        <v>5.34</v>
      </c>
      <c r="K23" s="227" t="s">
        <v>98</v>
      </c>
      <c r="L23" s="35" t="s">
        <v>1458</v>
      </c>
    </row>
    <row r="24" spans="2:12">
      <c r="B24" s="35" t="s">
        <v>1440</v>
      </c>
      <c r="C24" s="289" t="s">
        <v>116</v>
      </c>
      <c r="D24" s="35"/>
      <c r="E24" s="35"/>
      <c r="F24" s="35">
        <v>10</v>
      </c>
      <c r="G24" s="398"/>
      <c r="H24" s="399">
        <v>5.34</v>
      </c>
      <c r="I24" s="35">
        <f t="shared" si="0"/>
        <v>0</v>
      </c>
      <c r="J24" s="288">
        <f t="shared" si="1"/>
        <v>5.34</v>
      </c>
      <c r="K24" s="227" t="s">
        <v>98</v>
      </c>
      <c r="L24" s="35" t="s">
        <v>1459</v>
      </c>
    </row>
    <row r="25" spans="2:12">
      <c r="B25" s="35" t="s">
        <v>1441</v>
      </c>
      <c r="C25" s="289" t="s">
        <v>117</v>
      </c>
      <c r="D25" s="35"/>
      <c r="E25" s="35"/>
      <c r="F25" s="35">
        <v>10</v>
      </c>
      <c r="G25" s="398"/>
      <c r="H25" s="399">
        <v>5.1100000000000003</v>
      </c>
      <c r="I25" s="35">
        <f t="shared" si="0"/>
        <v>0</v>
      </c>
      <c r="J25" s="288">
        <f t="shared" si="1"/>
        <v>5.1100000000000003</v>
      </c>
      <c r="K25" s="227" t="s">
        <v>98</v>
      </c>
      <c r="L25" s="35" t="s">
        <v>1459</v>
      </c>
    </row>
    <row r="26" spans="2:12">
      <c r="B26" s="35" t="s">
        <v>1442</v>
      </c>
      <c r="C26" s="289" t="s">
        <v>118</v>
      </c>
      <c r="D26" s="35"/>
      <c r="E26" s="35"/>
      <c r="F26" s="35"/>
      <c r="G26" s="398"/>
      <c r="H26" s="399">
        <v>5.54</v>
      </c>
      <c r="I26" s="35">
        <f t="shared" si="0"/>
        <v>0</v>
      </c>
      <c r="J26" s="288">
        <f t="shared" si="1"/>
        <v>5.54</v>
      </c>
      <c r="K26" s="227" t="s">
        <v>98</v>
      </c>
      <c r="L26" s="35" t="s">
        <v>1459</v>
      </c>
    </row>
    <row r="27" spans="2:12">
      <c r="B27" s="35" t="s">
        <v>1443</v>
      </c>
      <c r="C27" s="289" t="s">
        <v>96</v>
      </c>
      <c r="D27" s="35">
        <v>2750</v>
      </c>
      <c r="E27" s="35">
        <v>1830</v>
      </c>
      <c r="F27" s="35">
        <v>10</v>
      </c>
      <c r="G27" s="398">
        <v>69.680000000000007</v>
      </c>
      <c r="H27" s="399"/>
      <c r="I27" s="35">
        <f t="shared" si="0"/>
        <v>5.0324999999999998</v>
      </c>
      <c r="J27" s="288">
        <f t="shared" si="1"/>
        <v>13.846000993541979</v>
      </c>
      <c r="K27" s="227" t="s">
        <v>98</v>
      </c>
      <c r="L27" s="35" t="s">
        <v>1460</v>
      </c>
    </row>
    <row r="28" spans="2:12">
      <c r="B28" s="35" t="s">
        <v>1444</v>
      </c>
      <c r="C28" s="289" t="s">
        <v>97</v>
      </c>
      <c r="D28" s="35">
        <v>2750</v>
      </c>
      <c r="E28" s="35">
        <v>1830</v>
      </c>
      <c r="F28" s="35">
        <v>19</v>
      </c>
      <c r="G28" s="398">
        <v>74.31</v>
      </c>
      <c r="H28" s="399"/>
      <c r="I28" s="35">
        <f t="shared" si="0"/>
        <v>5.0324999999999998</v>
      </c>
      <c r="J28" s="288">
        <f t="shared" si="1"/>
        <v>14.766020864381522</v>
      </c>
      <c r="K28" s="227" t="s">
        <v>98</v>
      </c>
      <c r="L28" s="35" t="s">
        <v>1460</v>
      </c>
    </row>
    <row r="29" spans="2:12">
      <c r="B29" s="35" t="s">
        <v>1438</v>
      </c>
      <c r="C29" s="289" t="s">
        <v>119</v>
      </c>
      <c r="D29" s="35"/>
      <c r="E29" s="35"/>
      <c r="F29" s="35">
        <v>10</v>
      </c>
      <c r="G29" s="398"/>
      <c r="H29" s="399">
        <v>4.92</v>
      </c>
      <c r="I29" s="35">
        <f t="shared" si="0"/>
        <v>0</v>
      </c>
      <c r="J29" s="288">
        <f t="shared" si="1"/>
        <v>4.92</v>
      </c>
      <c r="K29" s="227" t="s">
        <v>99</v>
      </c>
      <c r="L29" s="35" t="s">
        <v>1457</v>
      </c>
    </row>
    <row r="30" spans="2:12">
      <c r="B30" s="35" t="s">
        <v>1445</v>
      </c>
      <c r="C30" s="289" t="s">
        <v>121</v>
      </c>
      <c r="D30" s="35"/>
      <c r="E30" s="35"/>
      <c r="F30" s="35">
        <v>10</v>
      </c>
      <c r="G30" s="398"/>
      <c r="H30" s="399">
        <v>4.47</v>
      </c>
      <c r="I30" s="35">
        <f t="shared" si="0"/>
        <v>0</v>
      </c>
      <c r="J30" s="288">
        <f t="shared" si="1"/>
        <v>4.47</v>
      </c>
      <c r="K30" s="227" t="s">
        <v>99</v>
      </c>
      <c r="L30" s="35" t="s">
        <v>1457</v>
      </c>
    </row>
    <row r="31" spans="2:12">
      <c r="B31" s="35" t="s">
        <v>1446</v>
      </c>
      <c r="C31" s="289" t="s">
        <v>122</v>
      </c>
      <c r="D31" s="35"/>
      <c r="E31" s="35"/>
      <c r="F31" s="35">
        <v>16</v>
      </c>
      <c r="G31" s="398"/>
      <c r="H31" s="399">
        <v>6.22</v>
      </c>
      <c r="I31" s="35">
        <f t="shared" si="0"/>
        <v>0</v>
      </c>
      <c r="J31" s="288">
        <f t="shared" si="1"/>
        <v>6.22</v>
      </c>
      <c r="K31" s="227" t="s">
        <v>99</v>
      </c>
      <c r="L31" s="35" t="s">
        <v>1457</v>
      </c>
    </row>
    <row r="32" spans="2:12">
      <c r="B32" s="35" t="s">
        <v>1447</v>
      </c>
      <c r="C32" s="289" t="s">
        <v>123</v>
      </c>
      <c r="D32" s="35">
        <v>2800</v>
      </c>
      <c r="E32" s="35">
        <v>2070</v>
      </c>
      <c r="F32" s="35">
        <v>16</v>
      </c>
      <c r="G32" s="398"/>
      <c r="H32" s="400">
        <v>7.02</v>
      </c>
      <c r="I32" s="35">
        <f t="shared" si="0"/>
        <v>5.7960000000000003</v>
      </c>
      <c r="J32" s="288">
        <f t="shared" si="1"/>
        <v>7.02</v>
      </c>
      <c r="K32" s="227" t="s">
        <v>99</v>
      </c>
      <c r="L32" s="35" t="s">
        <v>1458</v>
      </c>
    </row>
    <row r="33" spans="2:12">
      <c r="B33" s="35" t="s">
        <v>1442</v>
      </c>
      <c r="C33" s="289" t="s">
        <v>120</v>
      </c>
      <c r="D33" s="35">
        <v>2750</v>
      </c>
      <c r="E33" s="35">
        <v>1830</v>
      </c>
      <c r="F33" s="35">
        <v>16</v>
      </c>
      <c r="G33" s="398"/>
      <c r="H33" s="400">
        <v>5.55</v>
      </c>
      <c r="I33" s="35">
        <f t="shared" si="0"/>
        <v>5.0324999999999998</v>
      </c>
      <c r="J33" s="288">
        <f t="shared" si="1"/>
        <v>5.55</v>
      </c>
      <c r="K33" s="227" t="s">
        <v>99</v>
      </c>
      <c r="L33" s="35" t="s">
        <v>1459</v>
      </c>
    </row>
    <row r="34" spans="2:12">
      <c r="B34" s="35" t="s">
        <v>1441</v>
      </c>
      <c r="C34" s="289" t="s">
        <v>101</v>
      </c>
      <c r="D34" s="35">
        <v>2750</v>
      </c>
      <c r="E34" s="35">
        <v>1830</v>
      </c>
      <c r="F34" s="35">
        <v>10</v>
      </c>
      <c r="G34" s="398"/>
      <c r="H34" s="400">
        <v>5.13</v>
      </c>
      <c r="I34" s="35">
        <f t="shared" si="0"/>
        <v>5.0324999999999998</v>
      </c>
      <c r="J34" s="288">
        <f t="shared" si="1"/>
        <v>5.13</v>
      </c>
      <c r="K34" s="227" t="s">
        <v>99</v>
      </c>
      <c r="L34" s="35" t="s">
        <v>1459</v>
      </c>
    </row>
    <row r="35" spans="2:12">
      <c r="B35" s="35" t="s">
        <v>1448</v>
      </c>
      <c r="C35" s="289" t="s">
        <v>124</v>
      </c>
      <c r="D35" s="35">
        <v>2800</v>
      </c>
      <c r="E35" s="35">
        <v>2070</v>
      </c>
      <c r="F35" s="35">
        <v>16</v>
      </c>
      <c r="G35" s="398"/>
      <c r="H35" s="400">
        <v>7.02</v>
      </c>
      <c r="I35" s="35">
        <f t="shared" si="0"/>
        <v>5.7960000000000003</v>
      </c>
      <c r="J35" s="288">
        <f t="shared" si="1"/>
        <v>7.02</v>
      </c>
      <c r="K35" s="227" t="s">
        <v>99</v>
      </c>
      <c r="L35" s="35" t="s">
        <v>1459</v>
      </c>
    </row>
    <row r="36" spans="2:12">
      <c r="B36" s="35" t="s">
        <v>1449</v>
      </c>
      <c r="C36" s="289" t="s">
        <v>125</v>
      </c>
      <c r="D36" s="35"/>
      <c r="E36" s="35"/>
      <c r="F36" s="35">
        <v>8</v>
      </c>
      <c r="G36" s="398"/>
      <c r="H36" s="400">
        <v>5.16</v>
      </c>
      <c r="I36" s="35">
        <f t="shared" si="0"/>
        <v>0</v>
      </c>
      <c r="J36" s="288">
        <f t="shared" si="1"/>
        <v>5.16</v>
      </c>
      <c r="K36" s="227" t="s">
        <v>99</v>
      </c>
      <c r="L36" s="35" t="s">
        <v>1459</v>
      </c>
    </row>
    <row r="37" spans="2:12">
      <c r="B37" s="35" t="s">
        <v>1450</v>
      </c>
      <c r="C37" s="289" t="s">
        <v>102</v>
      </c>
      <c r="D37" s="35">
        <v>2800</v>
      </c>
      <c r="E37" s="35">
        <v>2070</v>
      </c>
      <c r="F37" s="35">
        <v>16</v>
      </c>
      <c r="G37" s="398"/>
      <c r="H37" s="400">
        <v>9.93</v>
      </c>
      <c r="I37" s="35">
        <f t="shared" si="0"/>
        <v>5.7960000000000003</v>
      </c>
      <c r="J37" s="288">
        <f t="shared" si="1"/>
        <v>9.93</v>
      </c>
      <c r="K37" s="227" t="s">
        <v>99</v>
      </c>
      <c r="L37" s="35" t="s">
        <v>1461</v>
      </c>
    </row>
    <row r="38" spans="2:12">
      <c r="B38" s="35" t="s">
        <v>1451</v>
      </c>
      <c r="C38" s="289" t="s">
        <v>103</v>
      </c>
      <c r="D38" s="35">
        <v>2800</v>
      </c>
      <c r="E38" s="35">
        <v>2070</v>
      </c>
      <c r="F38" s="35">
        <v>10</v>
      </c>
      <c r="G38" s="398"/>
      <c r="H38" s="400">
        <v>9.16</v>
      </c>
      <c r="I38" s="35">
        <f t="shared" si="0"/>
        <v>5.7960000000000003</v>
      </c>
      <c r="J38" s="288">
        <f t="shared" si="1"/>
        <v>9.16</v>
      </c>
      <c r="K38" s="227" t="s">
        <v>99</v>
      </c>
      <c r="L38" s="35" t="s">
        <v>1461</v>
      </c>
    </row>
    <row r="39" spans="2:12">
      <c r="B39" s="35" t="s">
        <v>1452</v>
      </c>
      <c r="C39" s="289" t="s">
        <v>104</v>
      </c>
      <c r="D39" s="35">
        <v>2800</v>
      </c>
      <c r="E39" s="35">
        <v>2070</v>
      </c>
      <c r="F39" s="35">
        <v>16</v>
      </c>
      <c r="G39" s="398">
        <f>1203.7/32</f>
        <v>37.615625000000001</v>
      </c>
      <c r="H39" s="401"/>
      <c r="I39" s="35">
        <f t="shared" si="0"/>
        <v>5.7960000000000003</v>
      </c>
      <c r="J39" s="288">
        <f t="shared" si="1"/>
        <v>6.4899283988957901</v>
      </c>
      <c r="K39" s="227" t="s">
        <v>105</v>
      </c>
      <c r="L39" s="35" t="s">
        <v>1459</v>
      </c>
    </row>
    <row r="40" spans="2:12">
      <c r="B40" s="35" t="s">
        <v>1441</v>
      </c>
      <c r="C40" s="289" t="s">
        <v>101</v>
      </c>
      <c r="D40" s="35">
        <v>2800</v>
      </c>
      <c r="E40" s="35">
        <v>2070</v>
      </c>
      <c r="F40" s="35">
        <v>10</v>
      </c>
      <c r="G40" s="398">
        <f>169.21/6</f>
        <v>28.201666666666668</v>
      </c>
      <c r="H40" s="401"/>
      <c r="I40" s="35">
        <f t="shared" si="0"/>
        <v>5.7960000000000003</v>
      </c>
      <c r="J40" s="288">
        <f t="shared" si="1"/>
        <v>4.8657119852772031</v>
      </c>
      <c r="K40" s="227" t="s">
        <v>105</v>
      </c>
      <c r="L40" s="35" t="s">
        <v>1459</v>
      </c>
    </row>
    <row r="41" spans="2:12">
      <c r="B41" s="35" t="s">
        <v>1442</v>
      </c>
      <c r="C41" s="289" t="s">
        <v>100</v>
      </c>
      <c r="D41" s="35">
        <v>2800</v>
      </c>
      <c r="E41" s="35">
        <v>2070</v>
      </c>
      <c r="F41" s="35">
        <v>16</v>
      </c>
      <c r="G41" s="398">
        <f>122.82/4</f>
        <v>30.704999999999998</v>
      </c>
      <c r="H41" s="401"/>
      <c r="I41" s="35">
        <f t="shared" si="0"/>
        <v>5.7960000000000003</v>
      </c>
      <c r="J41" s="288">
        <f t="shared" si="1"/>
        <v>5.2976190476190474</v>
      </c>
      <c r="K41" s="227" t="s">
        <v>105</v>
      </c>
      <c r="L41" s="35" t="s">
        <v>1459</v>
      </c>
    </row>
    <row r="42" spans="2:12">
      <c r="B42" s="35" t="s">
        <v>1453</v>
      </c>
      <c r="C42" s="289" t="s">
        <v>126</v>
      </c>
      <c r="D42" s="35">
        <v>2800</v>
      </c>
      <c r="E42" s="35">
        <v>2070</v>
      </c>
      <c r="F42" s="35">
        <v>19</v>
      </c>
      <c r="G42" s="398">
        <f>105.01/3</f>
        <v>35.003333333333337</v>
      </c>
      <c r="H42" s="401"/>
      <c r="I42" s="35">
        <f t="shared" si="0"/>
        <v>5.7960000000000003</v>
      </c>
      <c r="J42" s="288">
        <f t="shared" si="1"/>
        <v>6.039222452265931</v>
      </c>
      <c r="K42" s="227" t="s">
        <v>105</v>
      </c>
      <c r="L42" s="35" t="s">
        <v>1458</v>
      </c>
    </row>
    <row r="43" spans="2:12">
      <c r="B43" s="35" t="s">
        <v>1448</v>
      </c>
      <c r="C43" s="289" t="s">
        <v>106</v>
      </c>
      <c r="D43" s="35">
        <v>2800</v>
      </c>
      <c r="E43" s="35">
        <v>2070</v>
      </c>
      <c r="F43" s="35">
        <v>16</v>
      </c>
      <c r="G43" s="398">
        <f>1196.65/32</f>
        <v>37.395312500000003</v>
      </c>
      <c r="H43" s="401"/>
      <c r="I43" s="35">
        <f t="shared" si="0"/>
        <v>5.7960000000000003</v>
      </c>
      <c r="J43" s="288">
        <f t="shared" si="1"/>
        <v>6.4519172705314007</v>
      </c>
      <c r="K43" s="227" t="s">
        <v>105</v>
      </c>
      <c r="L43" s="35" t="s">
        <v>1459</v>
      </c>
    </row>
    <row r="44" spans="2:12">
      <c r="B44" s="35" t="s">
        <v>1454</v>
      </c>
      <c r="C44" s="289" t="s">
        <v>375</v>
      </c>
      <c r="D44" s="35"/>
      <c r="E44" s="35"/>
      <c r="F44" s="35"/>
      <c r="G44" s="402"/>
      <c r="H44" s="401">
        <f>6.63</f>
        <v>6.63</v>
      </c>
      <c r="I44" s="35">
        <f t="shared" si="0"/>
        <v>0</v>
      </c>
      <c r="J44" s="288">
        <f t="shared" si="1"/>
        <v>6.63</v>
      </c>
      <c r="K44" s="227" t="s">
        <v>105</v>
      </c>
      <c r="L44" s="35" t="s">
        <v>1459</v>
      </c>
    </row>
    <row r="45" spans="2:12">
      <c r="B45" s="35" t="s">
        <v>1452</v>
      </c>
      <c r="C45" s="289" t="s">
        <v>376</v>
      </c>
      <c r="D45" s="35"/>
      <c r="E45" s="35"/>
      <c r="F45" s="35"/>
      <c r="G45" s="402"/>
      <c r="H45" s="401">
        <v>7.13</v>
      </c>
      <c r="I45" s="35">
        <f t="shared" si="0"/>
        <v>0</v>
      </c>
      <c r="J45" s="288">
        <f t="shared" si="1"/>
        <v>7.13</v>
      </c>
      <c r="K45" s="227" t="s">
        <v>105</v>
      </c>
      <c r="L45" s="35" t="s">
        <v>1459</v>
      </c>
    </row>
    <row r="46" spans="2:12">
      <c r="B46" s="35" t="s">
        <v>1438</v>
      </c>
      <c r="C46" s="289" t="s">
        <v>377</v>
      </c>
      <c r="D46" s="35"/>
      <c r="E46" s="35"/>
      <c r="F46" s="35"/>
      <c r="G46" s="402"/>
      <c r="H46" s="401">
        <f>4.86</f>
        <v>4.8600000000000003</v>
      </c>
      <c r="I46" s="35">
        <f t="shared" si="0"/>
        <v>0</v>
      </c>
      <c r="J46" s="288">
        <f t="shared" si="1"/>
        <v>4.8600000000000003</v>
      </c>
      <c r="K46" s="227" t="s">
        <v>105</v>
      </c>
      <c r="L46" s="35" t="s">
        <v>1457</v>
      </c>
    </row>
    <row r="47" spans="2:12">
      <c r="B47" s="35" t="s">
        <v>1455</v>
      </c>
      <c r="C47" s="289" t="s">
        <v>378</v>
      </c>
      <c r="D47" s="35"/>
      <c r="E47" s="35"/>
      <c r="F47" s="35"/>
      <c r="G47" s="402"/>
      <c r="H47" s="401">
        <v>6.57</v>
      </c>
      <c r="I47" s="35">
        <f t="shared" si="0"/>
        <v>0</v>
      </c>
      <c r="J47" s="288">
        <f t="shared" si="1"/>
        <v>6.57</v>
      </c>
      <c r="K47" s="227" t="s">
        <v>105</v>
      </c>
      <c r="L47" s="35" t="s">
        <v>1457</v>
      </c>
    </row>
    <row r="48" spans="2:12">
      <c r="B48" s="35" t="s">
        <v>1435</v>
      </c>
      <c r="C48" s="289" t="s">
        <v>379</v>
      </c>
      <c r="D48" s="35"/>
      <c r="E48" s="35"/>
      <c r="F48" s="35"/>
      <c r="G48" s="402"/>
      <c r="H48" s="401">
        <v>6.57</v>
      </c>
      <c r="I48" s="35">
        <f t="shared" si="0"/>
        <v>0</v>
      </c>
      <c r="J48" s="288">
        <f t="shared" si="1"/>
        <v>6.57</v>
      </c>
      <c r="K48" s="227" t="s">
        <v>105</v>
      </c>
      <c r="L48" s="35" t="s">
        <v>1457</v>
      </c>
    </row>
    <row r="49" spans="2:12">
      <c r="B49" s="35" t="s">
        <v>1449</v>
      </c>
      <c r="C49" s="289" t="s">
        <v>127</v>
      </c>
      <c r="D49" s="35"/>
      <c r="E49" s="35"/>
      <c r="F49" s="35"/>
      <c r="G49" s="402"/>
      <c r="H49" s="401">
        <v>5.35</v>
      </c>
      <c r="I49" s="35">
        <f t="shared" si="0"/>
        <v>0</v>
      </c>
      <c r="J49" s="288">
        <f t="shared" si="1"/>
        <v>5.35</v>
      </c>
      <c r="K49" s="227" t="s">
        <v>105</v>
      </c>
      <c r="L49" s="35" t="s">
        <v>1459</v>
      </c>
    </row>
    <row r="50" spans="2:12">
      <c r="B50" s="35" t="s">
        <v>1437</v>
      </c>
      <c r="C50" s="289" t="s">
        <v>128</v>
      </c>
      <c r="D50" s="35"/>
      <c r="E50" s="35"/>
      <c r="F50" s="35"/>
      <c r="G50" s="402"/>
      <c r="H50" s="401">
        <v>7.09</v>
      </c>
      <c r="I50" s="35">
        <f t="shared" si="0"/>
        <v>0</v>
      </c>
      <c r="J50" s="288">
        <f t="shared" si="1"/>
        <v>7.09</v>
      </c>
      <c r="K50" s="227" t="s">
        <v>105</v>
      </c>
      <c r="L50" s="35" t="s">
        <v>1459</v>
      </c>
    </row>
    <row r="51" spans="2:12">
      <c r="B51" s="35" t="s">
        <v>1462</v>
      </c>
      <c r="C51" s="289" t="s">
        <v>129</v>
      </c>
      <c r="D51" s="35"/>
      <c r="E51" s="35"/>
      <c r="F51" s="35"/>
      <c r="G51" s="402"/>
      <c r="H51" s="401">
        <v>7.09</v>
      </c>
      <c r="I51" s="35">
        <f t="shared" si="0"/>
        <v>0</v>
      </c>
      <c r="J51" s="288">
        <f t="shared" si="1"/>
        <v>7.09</v>
      </c>
      <c r="K51" s="227" t="s">
        <v>105</v>
      </c>
      <c r="L51" s="35" t="s">
        <v>1458</v>
      </c>
    </row>
    <row r="52" spans="2:12">
      <c r="B52" s="35" t="s">
        <v>1432</v>
      </c>
      <c r="C52" s="289" t="s">
        <v>130</v>
      </c>
      <c r="D52" s="35"/>
      <c r="E52" s="35"/>
      <c r="F52" s="35"/>
      <c r="G52" s="402"/>
      <c r="H52" s="401">
        <v>9.08</v>
      </c>
      <c r="I52" s="35">
        <f t="shared" si="0"/>
        <v>0</v>
      </c>
      <c r="J52" s="288">
        <f t="shared" si="1"/>
        <v>9.08</v>
      </c>
      <c r="K52" s="227" t="s">
        <v>105</v>
      </c>
      <c r="L52" s="35" t="s">
        <v>1456</v>
      </c>
    </row>
    <row r="53" spans="2:12">
      <c r="B53" s="35" t="s">
        <v>1463</v>
      </c>
      <c r="C53" s="289" t="s">
        <v>312</v>
      </c>
      <c r="D53" s="35">
        <v>2500</v>
      </c>
      <c r="E53" s="35">
        <v>1250</v>
      </c>
      <c r="F53" s="35">
        <v>18</v>
      </c>
      <c r="G53" s="398">
        <v>88.5</v>
      </c>
      <c r="H53" s="399"/>
      <c r="I53" s="35">
        <f t="shared" si="0"/>
        <v>3.125</v>
      </c>
      <c r="J53" s="288">
        <f t="shared" si="1"/>
        <v>28.32</v>
      </c>
      <c r="K53" s="227" t="s">
        <v>98</v>
      </c>
      <c r="L53" s="35" t="s">
        <v>1492</v>
      </c>
    </row>
    <row r="54" spans="2:12">
      <c r="B54" s="35" t="s">
        <v>1464</v>
      </c>
      <c r="C54" s="289" t="s">
        <v>314</v>
      </c>
      <c r="D54" s="35">
        <v>2500</v>
      </c>
      <c r="E54" s="35">
        <v>1250</v>
      </c>
      <c r="F54" s="35">
        <v>15</v>
      </c>
      <c r="G54" s="398">
        <v>78.180000000000007</v>
      </c>
      <c r="H54" s="399"/>
      <c r="I54" s="35">
        <f t="shared" si="0"/>
        <v>3.125</v>
      </c>
      <c r="J54" s="288">
        <f t="shared" si="1"/>
        <v>25.017600000000002</v>
      </c>
      <c r="K54" s="227" t="s">
        <v>98</v>
      </c>
      <c r="L54" s="35" t="s">
        <v>1492</v>
      </c>
    </row>
    <row r="55" spans="2:12">
      <c r="B55" s="35" t="s">
        <v>1465</v>
      </c>
      <c r="C55" s="289" t="s">
        <v>316</v>
      </c>
      <c r="D55" s="35">
        <v>2440</v>
      </c>
      <c r="E55" s="35">
        <v>1830</v>
      </c>
      <c r="F55" s="35">
        <v>19</v>
      </c>
      <c r="G55" s="398">
        <v>117.84</v>
      </c>
      <c r="H55" s="399"/>
      <c r="I55" s="35">
        <f t="shared" si="0"/>
        <v>4.4652000000000003</v>
      </c>
      <c r="J55" s="288">
        <f t="shared" si="1"/>
        <v>26.390755173340498</v>
      </c>
      <c r="K55" s="227" t="s">
        <v>98</v>
      </c>
      <c r="L55" s="35" t="s">
        <v>1493</v>
      </c>
    </row>
    <row r="56" spans="2:12">
      <c r="B56" s="35" t="s">
        <v>1466</v>
      </c>
      <c r="C56" s="289" t="s">
        <v>317</v>
      </c>
      <c r="D56" s="35">
        <v>2850</v>
      </c>
      <c r="E56" s="35">
        <v>2100</v>
      </c>
      <c r="F56" s="35">
        <v>40</v>
      </c>
      <c r="G56" s="398">
        <v>205.2</v>
      </c>
      <c r="H56" s="399"/>
      <c r="I56" s="35">
        <f t="shared" si="0"/>
        <v>5.9850000000000003</v>
      </c>
      <c r="J56" s="288">
        <f t="shared" si="1"/>
        <v>34.285714285714285</v>
      </c>
      <c r="K56" s="227" t="s">
        <v>98</v>
      </c>
      <c r="L56" s="35" t="s">
        <v>1460</v>
      </c>
    </row>
    <row r="57" spans="2:12">
      <c r="B57" s="35" t="s">
        <v>1467</v>
      </c>
      <c r="C57" s="289" t="s">
        <v>320</v>
      </c>
      <c r="D57" s="35">
        <v>2500</v>
      </c>
      <c r="E57" s="35">
        <v>1250</v>
      </c>
      <c r="F57" s="35">
        <v>9</v>
      </c>
      <c r="G57" s="398">
        <v>38.499000000000002</v>
      </c>
      <c r="H57" s="399"/>
      <c r="I57" s="35">
        <f t="shared" si="0"/>
        <v>3.125</v>
      </c>
      <c r="J57" s="288">
        <f t="shared" si="1"/>
        <v>12.31968</v>
      </c>
      <c r="K57" s="227" t="s">
        <v>98</v>
      </c>
      <c r="L57" s="35" t="s">
        <v>1492</v>
      </c>
    </row>
    <row r="58" spans="2:12">
      <c r="B58" s="35" t="s">
        <v>1468</v>
      </c>
      <c r="C58" s="227" t="s">
        <v>321</v>
      </c>
      <c r="D58" s="35">
        <v>2750</v>
      </c>
      <c r="E58" s="35">
        <v>1830</v>
      </c>
      <c r="F58" s="35">
        <v>16</v>
      </c>
      <c r="G58" s="398">
        <v>77.75</v>
      </c>
      <c r="H58" s="399"/>
      <c r="I58" s="35">
        <f t="shared" si="0"/>
        <v>5.0324999999999998</v>
      </c>
      <c r="J58" s="288">
        <f t="shared" si="1"/>
        <v>15.449577744659713</v>
      </c>
      <c r="K58" s="227" t="s">
        <v>98</v>
      </c>
      <c r="L58" s="35" t="s">
        <v>1460</v>
      </c>
    </row>
    <row r="59" spans="2:12">
      <c r="B59" s="35" t="s">
        <v>1469</v>
      </c>
      <c r="C59" s="290" t="s">
        <v>325</v>
      </c>
      <c r="D59" s="35">
        <v>5000</v>
      </c>
      <c r="E59" s="35">
        <v>2050</v>
      </c>
      <c r="F59" s="35">
        <v>27</v>
      </c>
      <c r="G59" s="398">
        <v>271.95</v>
      </c>
      <c r="H59" s="399"/>
      <c r="I59" s="35">
        <f t="shared" si="0"/>
        <v>10.25</v>
      </c>
      <c r="J59" s="288">
        <f t="shared" si="1"/>
        <v>26.53170731707317</v>
      </c>
      <c r="K59" s="227" t="s">
        <v>98</v>
      </c>
      <c r="L59" s="35" t="s">
        <v>1494</v>
      </c>
    </row>
    <row r="60" spans="2:12">
      <c r="B60" s="35" t="s">
        <v>1470</v>
      </c>
      <c r="C60" s="289" t="s">
        <v>327</v>
      </c>
      <c r="D60" s="35">
        <v>2500</v>
      </c>
      <c r="E60" s="35">
        <v>1250</v>
      </c>
      <c r="F60" s="35">
        <v>15</v>
      </c>
      <c r="G60" s="398">
        <v>15.94</v>
      </c>
      <c r="H60" s="399"/>
      <c r="I60" s="35">
        <f t="shared" si="0"/>
        <v>3.125</v>
      </c>
      <c r="J60" s="288">
        <f t="shared" si="1"/>
        <v>5.1007999999999996</v>
      </c>
      <c r="K60" s="227" t="s">
        <v>98</v>
      </c>
      <c r="L60" s="35" t="s">
        <v>1494</v>
      </c>
    </row>
    <row r="61" spans="2:12">
      <c r="B61" s="35" t="s">
        <v>1471</v>
      </c>
      <c r="C61" s="290" t="s">
        <v>329</v>
      </c>
      <c r="D61" s="35">
        <v>2500</v>
      </c>
      <c r="E61" s="35">
        <v>1250</v>
      </c>
      <c r="F61" s="35">
        <v>18</v>
      </c>
      <c r="G61" s="398">
        <v>102.31</v>
      </c>
      <c r="H61" s="399"/>
      <c r="I61" s="35">
        <f t="shared" si="0"/>
        <v>3.125</v>
      </c>
      <c r="J61" s="288">
        <f t="shared" si="1"/>
        <v>32.739200000000004</v>
      </c>
      <c r="K61" s="227" t="s">
        <v>98</v>
      </c>
      <c r="L61" s="35" t="s">
        <v>1492</v>
      </c>
    </row>
    <row r="62" spans="2:12">
      <c r="B62" s="35" t="s">
        <v>1472</v>
      </c>
      <c r="C62" s="290" t="s">
        <v>331</v>
      </c>
      <c r="D62" s="35">
        <v>1525</v>
      </c>
      <c r="E62" s="35">
        <v>3050</v>
      </c>
      <c r="F62" s="35">
        <v>15</v>
      </c>
      <c r="G62" s="398">
        <v>84.513000000000005</v>
      </c>
      <c r="H62" s="399"/>
      <c r="I62" s="35">
        <f t="shared" si="0"/>
        <v>4.6512500000000001</v>
      </c>
      <c r="J62" s="288">
        <f t="shared" si="1"/>
        <v>18.169954313356627</v>
      </c>
      <c r="K62" s="227" t="s">
        <v>98</v>
      </c>
      <c r="L62" s="35" t="s">
        <v>1492</v>
      </c>
    </row>
    <row r="63" spans="2:12">
      <c r="B63" s="35" t="s">
        <v>1473</v>
      </c>
      <c r="C63" s="290" t="s">
        <v>332</v>
      </c>
      <c r="D63" s="35">
        <v>2500</v>
      </c>
      <c r="E63" s="35">
        <v>1250</v>
      </c>
      <c r="F63" s="35">
        <v>12</v>
      </c>
      <c r="G63" s="398">
        <v>73.69</v>
      </c>
      <c r="H63" s="399"/>
      <c r="I63" s="35">
        <f t="shared" si="0"/>
        <v>3.125</v>
      </c>
      <c r="J63" s="288">
        <f t="shared" si="1"/>
        <v>23.5808</v>
      </c>
      <c r="K63" s="227" t="s">
        <v>98</v>
      </c>
      <c r="L63" s="35" t="s">
        <v>1492</v>
      </c>
    </row>
    <row r="64" spans="2:12">
      <c r="B64" s="35" t="s">
        <v>1474</v>
      </c>
      <c r="C64" s="290" t="s">
        <v>333</v>
      </c>
      <c r="D64" s="35">
        <v>2750</v>
      </c>
      <c r="E64" s="35">
        <v>1830</v>
      </c>
      <c r="F64" s="35">
        <v>19</v>
      </c>
      <c r="G64" s="398">
        <v>80.14</v>
      </c>
      <c r="H64" s="399"/>
      <c r="I64" s="35">
        <f t="shared" si="0"/>
        <v>5.0324999999999998</v>
      </c>
      <c r="J64" s="288">
        <f t="shared" si="1"/>
        <v>15.924490809736712</v>
      </c>
      <c r="K64" s="227" t="s">
        <v>98</v>
      </c>
      <c r="L64" s="35" t="s">
        <v>1460</v>
      </c>
    </row>
    <row r="65" spans="2:12">
      <c r="B65" s="35" t="s">
        <v>1475</v>
      </c>
      <c r="C65" s="290" t="s">
        <v>336</v>
      </c>
      <c r="D65" s="35">
        <v>2520</v>
      </c>
      <c r="E65" s="35">
        <v>1850</v>
      </c>
      <c r="F65" s="35">
        <v>12</v>
      </c>
      <c r="G65" s="398">
        <v>53.04</v>
      </c>
      <c r="H65" s="399"/>
      <c r="I65" s="35">
        <f t="shared" si="0"/>
        <v>4.6619999999999999</v>
      </c>
      <c r="J65" s="288">
        <f t="shared" si="1"/>
        <v>11.377091377091377</v>
      </c>
      <c r="K65" s="227" t="s">
        <v>98</v>
      </c>
      <c r="L65" s="35" t="s">
        <v>1492</v>
      </c>
    </row>
    <row r="66" spans="2:12">
      <c r="B66" s="35" t="s">
        <v>1476</v>
      </c>
      <c r="C66" s="290" t="s">
        <v>337</v>
      </c>
      <c r="D66" s="35">
        <v>2750</v>
      </c>
      <c r="E66" s="35">
        <v>1830</v>
      </c>
      <c r="F66" s="35">
        <v>30</v>
      </c>
      <c r="G66" s="398">
        <v>103.315</v>
      </c>
      <c r="H66" s="399"/>
      <c r="I66" s="35">
        <f t="shared" si="0"/>
        <v>5.0324999999999998</v>
      </c>
      <c r="J66" s="288">
        <f t="shared" si="1"/>
        <v>20.52955787382017</v>
      </c>
      <c r="K66" s="227" t="s">
        <v>98</v>
      </c>
      <c r="L66" s="35" t="s">
        <v>1460</v>
      </c>
    </row>
    <row r="67" spans="2:12">
      <c r="B67" s="35" t="s">
        <v>1463</v>
      </c>
      <c r="C67" s="227" t="s">
        <v>313</v>
      </c>
      <c r="D67" s="35">
        <v>2500</v>
      </c>
      <c r="E67" s="35">
        <v>1250</v>
      </c>
      <c r="F67" s="35">
        <v>18</v>
      </c>
      <c r="G67" s="398">
        <v>88.5</v>
      </c>
      <c r="H67" s="399"/>
      <c r="I67" s="35">
        <f t="shared" si="0"/>
        <v>3.125</v>
      </c>
      <c r="J67" s="288">
        <f t="shared" si="1"/>
        <v>28.32</v>
      </c>
      <c r="K67" s="227" t="s">
        <v>98</v>
      </c>
      <c r="L67" s="35" t="s">
        <v>1492</v>
      </c>
    </row>
    <row r="68" spans="2:12">
      <c r="B68" s="35" t="s">
        <v>338</v>
      </c>
      <c r="C68" s="227" t="s">
        <v>338</v>
      </c>
      <c r="D68" s="35">
        <v>2800</v>
      </c>
      <c r="E68" s="35">
        <v>2070</v>
      </c>
      <c r="F68" s="35">
        <v>25</v>
      </c>
      <c r="G68" s="398">
        <v>70.363</v>
      </c>
      <c r="H68" s="399"/>
      <c r="I68" s="35">
        <f t="shared" si="0"/>
        <v>5.7960000000000003</v>
      </c>
      <c r="J68" s="288">
        <f t="shared" si="1"/>
        <v>12.13992408557626</v>
      </c>
      <c r="K68" s="227" t="s">
        <v>98</v>
      </c>
      <c r="L68" s="35" t="s">
        <v>1456</v>
      </c>
    </row>
    <row r="69" spans="2:12">
      <c r="B69" s="35" t="s">
        <v>1477</v>
      </c>
      <c r="C69" s="227" t="s">
        <v>339</v>
      </c>
      <c r="D69" s="35">
        <v>2500</v>
      </c>
      <c r="E69" s="35">
        <v>1525</v>
      </c>
      <c r="F69" s="35">
        <v>12</v>
      </c>
      <c r="G69" s="398">
        <v>56.63</v>
      </c>
      <c r="H69" s="399"/>
      <c r="I69" s="35">
        <f t="shared" si="0"/>
        <v>3.8125</v>
      </c>
      <c r="J69" s="288">
        <f t="shared" si="1"/>
        <v>14.85377049180328</v>
      </c>
      <c r="K69" s="227" t="s">
        <v>98</v>
      </c>
      <c r="L69" s="35" t="s">
        <v>1492</v>
      </c>
    </row>
    <row r="70" spans="2:12">
      <c r="B70" s="35" t="s">
        <v>1478</v>
      </c>
      <c r="C70" s="227" t="s">
        <v>341</v>
      </c>
      <c r="D70" s="35">
        <v>2800</v>
      </c>
      <c r="E70" s="35">
        <v>2070</v>
      </c>
      <c r="F70" s="35">
        <v>19</v>
      </c>
      <c r="G70" s="398">
        <v>201.99100000000001</v>
      </c>
      <c r="H70" s="399"/>
      <c r="I70" s="35">
        <f t="shared" si="0"/>
        <v>5.7960000000000003</v>
      </c>
      <c r="J70" s="288">
        <f t="shared" si="1"/>
        <v>34.850069013112495</v>
      </c>
      <c r="K70" s="227" t="s">
        <v>98</v>
      </c>
      <c r="L70" s="35" t="s">
        <v>1460</v>
      </c>
    </row>
    <row r="71" spans="2:12">
      <c r="B71" s="35" t="s">
        <v>342</v>
      </c>
      <c r="C71" s="227" t="s">
        <v>342</v>
      </c>
      <c r="D71" s="35">
        <v>2800</v>
      </c>
      <c r="E71" s="35">
        <v>2070</v>
      </c>
      <c r="F71" s="35">
        <v>30</v>
      </c>
      <c r="G71" s="398">
        <v>84.39</v>
      </c>
      <c r="H71" s="399"/>
      <c r="I71" s="35">
        <f t="shared" si="0"/>
        <v>5.7960000000000003</v>
      </c>
      <c r="J71" s="288">
        <v>15.7</v>
      </c>
      <c r="K71" s="227" t="s">
        <v>98</v>
      </c>
      <c r="L71" s="35" t="s">
        <v>1456</v>
      </c>
    </row>
    <row r="72" spans="2:12">
      <c r="B72" s="35" t="s">
        <v>1479</v>
      </c>
      <c r="C72" s="227" t="s">
        <v>343</v>
      </c>
      <c r="D72" s="35">
        <v>1525</v>
      </c>
      <c r="E72" s="35">
        <v>3050</v>
      </c>
      <c r="F72" s="35">
        <v>18</v>
      </c>
      <c r="G72" s="398">
        <v>90.17</v>
      </c>
      <c r="H72" s="399"/>
      <c r="I72" s="35">
        <f t="shared" si="0"/>
        <v>4.6512500000000001</v>
      </c>
      <c r="J72" s="288">
        <f t="shared" si="1"/>
        <v>19.386186509002957</v>
      </c>
      <c r="K72" s="227" t="s">
        <v>98</v>
      </c>
      <c r="L72" s="35" t="s">
        <v>1492</v>
      </c>
    </row>
    <row r="73" spans="2:12">
      <c r="B73" s="35" t="s">
        <v>1480</v>
      </c>
      <c r="C73" s="227" t="s">
        <v>344</v>
      </c>
      <c r="D73" s="35">
        <v>2440</v>
      </c>
      <c r="E73" s="35">
        <v>2070</v>
      </c>
      <c r="F73" s="35">
        <v>5</v>
      </c>
      <c r="G73" s="398">
        <v>12.85</v>
      </c>
      <c r="H73" s="399"/>
      <c r="I73" s="35">
        <f t="shared" si="0"/>
        <v>5.0507999999999997</v>
      </c>
      <c r="J73" s="288">
        <f t="shared" si="1"/>
        <v>2.5441514215569812</v>
      </c>
      <c r="K73" s="227" t="s">
        <v>98</v>
      </c>
      <c r="L73" s="35" t="s">
        <v>1456</v>
      </c>
    </row>
    <row r="74" spans="2:12">
      <c r="B74" s="35" t="s">
        <v>1481</v>
      </c>
      <c r="C74" s="227" t="s">
        <v>345</v>
      </c>
      <c r="D74" s="35">
        <v>2800</v>
      </c>
      <c r="E74" s="35">
        <v>2070</v>
      </c>
      <c r="F74" s="35">
        <v>12</v>
      </c>
      <c r="G74" s="398">
        <v>33.74</v>
      </c>
      <c r="H74" s="399"/>
      <c r="I74" s="35">
        <f t="shared" si="0"/>
        <v>5.7960000000000003</v>
      </c>
      <c r="J74" s="288">
        <f t="shared" si="1"/>
        <v>5.8212560386473431</v>
      </c>
      <c r="K74" s="227" t="s">
        <v>98</v>
      </c>
      <c r="L74" s="35" t="s">
        <v>1456</v>
      </c>
    </row>
    <row r="75" spans="2:12">
      <c r="B75" s="35" t="s">
        <v>1482</v>
      </c>
      <c r="C75" s="290" t="s">
        <v>347</v>
      </c>
      <c r="D75" s="35">
        <v>2750</v>
      </c>
      <c r="E75" s="35">
        <v>1830</v>
      </c>
      <c r="F75" s="35">
        <v>19</v>
      </c>
      <c r="G75" s="398">
        <v>127.35</v>
      </c>
      <c r="H75" s="399"/>
      <c r="I75" s="35">
        <f t="shared" si="0"/>
        <v>5.0324999999999998</v>
      </c>
      <c r="J75" s="288">
        <f t="shared" si="1"/>
        <v>25.305514157973175</v>
      </c>
      <c r="K75" s="227" t="s">
        <v>98</v>
      </c>
      <c r="L75" s="35" t="s">
        <v>1460</v>
      </c>
    </row>
    <row r="76" spans="2:12">
      <c r="B76" s="35" t="s">
        <v>1483</v>
      </c>
      <c r="C76" s="290" t="s">
        <v>348</v>
      </c>
      <c r="D76" s="35">
        <v>2500</v>
      </c>
      <c r="E76" s="35">
        <v>1250</v>
      </c>
      <c r="F76" s="35">
        <v>10</v>
      </c>
      <c r="G76" s="398">
        <v>67.38</v>
      </c>
      <c r="H76" s="399"/>
      <c r="I76" s="35">
        <f t="shared" si="0"/>
        <v>3.125</v>
      </c>
      <c r="J76" s="288">
        <f t="shared" si="1"/>
        <v>21.561599999999999</v>
      </c>
      <c r="K76" s="227" t="s">
        <v>98</v>
      </c>
      <c r="L76" s="35" t="s">
        <v>1492</v>
      </c>
    </row>
    <row r="77" spans="2:12">
      <c r="B77" s="35" t="s">
        <v>1484</v>
      </c>
      <c r="C77" s="290" t="s">
        <v>352</v>
      </c>
      <c r="D77" s="35">
        <v>2800</v>
      </c>
      <c r="E77" s="35">
        <v>2070</v>
      </c>
      <c r="F77" s="35">
        <v>19</v>
      </c>
      <c r="G77" s="398">
        <v>73.782499999999999</v>
      </c>
      <c r="H77" s="399"/>
      <c r="I77" s="35">
        <f t="shared" si="0"/>
        <v>5.7960000000000003</v>
      </c>
      <c r="J77" s="288">
        <f t="shared" si="1"/>
        <v>12.729899930986887</v>
      </c>
      <c r="K77" s="227" t="s">
        <v>105</v>
      </c>
      <c r="L77" s="35" t="s">
        <v>1457</v>
      </c>
    </row>
    <row r="78" spans="2:12">
      <c r="B78" s="35" t="s">
        <v>1485</v>
      </c>
      <c r="C78" s="290" t="s">
        <v>350</v>
      </c>
      <c r="D78" s="35">
        <v>2800</v>
      </c>
      <c r="E78" s="35">
        <v>2070</v>
      </c>
      <c r="F78" s="35">
        <v>20</v>
      </c>
      <c r="G78" s="398">
        <v>127.3</v>
      </c>
      <c r="H78" s="399"/>
      <c r="I78" s="35">
        <f t="shared" si="0"/>
        <v>5.7960000000000003</v>
      </c>
      <c r="J78" s="288">
        <f t="shared" si="1"/>
        <v>21.963423050379571</v>
      </c>
      <c r="K78" s="227" t="s">
        <v>105</v>
      </c>
      <c r="L78" s="35" t="s">
        <v>1460</v>
      </c>
    </row>
    <row r="79" spans="2:12">
      <c r="B79" s="35" t="s">
        <v>1452</v>
      </c>
      <c r="C79" s="290" t="s">
        <v>136</v>
      </c>
      <c r="D79" s="35">
        <v>2800</v>
      </c>
      <c r="E79" s="35">
        <v>2070</v>
      </c>
      <c r="F79" s="35">
        <v>16</v>
      </c>
      <c r="G79" s="398">
        <v>38.69</v>
      </c>
      <c r="H79" s="399"/>
      <c r="I79" s="35">
        <f t="shared" ref="I79:I141" si="2">(D79*E79)/1000000</f>
        <v>5.7960000000000003</v>
      </c>
      <c r="J79" s="288">
        <f t="shared" ref="J79:J126" si="3">IFERROR(IF(H79 &gt; 0,H79,G79 /I79),0)</f>
        <v>6.6752933057280872</v>
      </c>
      <c r="K79" s="227" t="s">
        <v>105</v>
      </c>
      <c r="L79" s="35" t="s">
        <v>1459</v>
      </c>
    </row>
    <row r="80" spans="2:12">
      <c r="B80" s="35" t="s">
        <v>1486</v>
      </c>
      <c r="C80" s="290" t="s">
        <v>351</v>
      </c>
      <c r="D80" s="35">
        <v>2800</v>
      </c>
      <c r="E80" s="35">
        <v>2070</v>
      </c>
      <c r="F80" s="35">
        <v>19</v>
      </c>
      <c r="G80" s="398">
        <v>65.12</v>
      </c>
      <c r="H80" s="399"/>
      <c r="I80" s="35">
        <f t="shared" si="2"/>
        <v>5.7960000000000003</v>
      </c>
      <c r="J80" s="288">
        <f t="shared" si="3"/>
        <v>11.235334713595583</v>
      </c>
      <c r="K80" s="227" t="s">
        <v>105</v>
      </c>
      <c r="L80" s="35" t="s">
        <v>1458</v>
      </c>
    </row>
    <row r="81" spans="2:12">
      <c r="B81" s="35" t="s">
        <v>1487</v>
      </c>
      <c r="C81" s="290" t="s">
        <v>354</v>
      </c>
      <c r="D81" s="35">
        <v>2800</v>
      </c>
      <c r="E81" s="35">
        <v>2070</v>
      </c>
      <c r="F81" s="35">
        <v>19</v>
      </c>
      <c r="G81" s="398">
        <v>74.28</v>
      </c>
      <c r="H81" s="399"/>
      <c r="I81" s="35">
        <f t="shared" si="2"/>
        <v>5.7960000000000003</v>
      </c>
      <c r="J81" s="288">
        <f t="shared" si="3"/>
        <v>12.815734989648032</v>
      </c>
      <c r="K81" s="227" t="s">
        <v>105</v>
      </c>
      <c r="L81" s="35" t="s">
        <v>1458</v>
      </c>
    </row>
    <row r="82" spans="2:12">
      <c r="B82" s="35" t="s">
        <v>1488</v>
      </c>
      <c r="C82" s="227" t="s">
        <v>357</v>
      </c>
      <c r="D82" s="35">
        <v>2800</v>
      </c>
      <c r="E82" s="35">
        <v>2070</v>
      </c>
      <c r="F82" s="35">
        <v>19</v>
      </c>
      <c r="G82" s="398">
        <v>66.760000000000005</v>
      </c>
      <c r="H82" s="399"/>
      <c r="I82" s="35">
        <f t="shared" si="2"/>
        <v>5.7960000000000003</v>
      </c>
      <c r="J82" s="288">
        <f t="shared" si="3"/>
        <v>11.518288474810214</v>
      </c>
      <c r="K82" s="227" t="s">
        <v>105</v>
      </c>
      <c r="L82" s="35" t="s">
        <v>1458</v>
      </c>
    </row>
    <row r="83" spans="2:12">
      <c r="B83" s="35" t="s">
        <v>1489</v>
      </c>
      <c r="C83" s="227" t="s">
        <v>1585</v>
      </c>
      <c r="D83" s="35">
        <v>2800</v>
      </c>
      <c r="E83" s="35">
        <v>2070</v>
      </c>
      <c r="F83" s="35">
        <v>19</v>
      </c>
      <c r="G83" s="398">
        <v>68.176599999999993</v>
      </c>
      <c r="H83" s="399"/>
      <c r="I83" s="35">
        <f t="shared" si="2"/>
        <v>5.7960000000000003</v>
      </c>
      <c r="J83" s="288">
        <f t="shared" si="3"/>
        <v>11.762698412698411</v>
      </c>
      <c r="K83" s="227" t="s">
        <v>105</v>
      </c>
      <c r="L83" s="35" t="s">
        <v>1458</v>
      </c>
    </row>
    <row r="84" spans="2:12">
      <c r="B84" s="35" t="s">
        <v>1490</v>
      </c>
      <c r="C84" s="227" t="s">
        <v>360</v>
      </c>
      <c r="D84" s="35">
        <v>2800</v>
      </c>
      <c r="E84" s="35">
        <v>2070</v>
      </c>
      <c r="F84" s="35">
        <v>19</v>
      </c>
      <c r="G84" s="398">
        <v>68.174999999999997</v>
      </c>
      <c r="H84" s="399"/>
      <c r="I84" s="35">
        <f t="shared" si="2"/>
        <v>5.7960000000000003</v>
      </c>
      <c r="J84" s="288">
        <f t="shared" si="3"/>
        <v>11.762422360248447</v>
      </c>
      <c r="K84" s="227" t="s">
        <v>105</v>
      </c>
      <c r="L84" s="35" t="s">
        <v>1457</v>
      </c>
    </row>
    <row r="85" spans="2:12">
      <c r="B85" s="35" t="s">
        <v>1491</v>
      </c>
      <c r="C85" s="227" t="s">
        <v>361</v>
      </c>
      <c r="D85" s="35">
        <v>2800</v>
      </c>
      <c r="E85" s="35">
        <v>2070</v>
      </c>
      <c r="F85" s="35">
        <v>19</v>
      </c>
      <c r="G85" s="398">
        <v>70.98</v>
      </c>
      <c r="H85" s="399"/>
      <c r="I85" s="35">
        <f t="shared" si="2"/>
        <v>5.7960000000000003</v>
      </c>
      <c r="J85" s="288">
        <f t="shared" si="3"/>
        <v>12.246376811594203</v>
      </c>
      <c r="K85" s="227" t="s">
        <v>105</v>
      </c>
      <c r="L85" s="35" t="s">
        <v>1461</v>
      </c>
    </row>
    <row r="86" spans="2:12">
      <c r="B86" s="35" t="s">
        <v>1495</v>
      </c>
      <c r="C86" s="227" t="s">
        <v>366</v>
      </c>
      <c r="D86" s="35">
        <v>2800</v>
      </c>
      <c r="E86" s="35">
        <v>2070</v>
      </c>
      <c r="F86" s="35">
        <v>19</v>
      </c>
      <c r="G86" s="398">
        <v>259.89</v>
      </c>
      <c r="H86" s="399"/>
      <c r="I86" s="35">
        <f t="shared" si="2"/>
        <v>5.7960000000000003</v>
      </c>
      <c r="J86" s="288">
        <f t="shared" si="3"/>
        <v>44.839544513457554</v>
      </c>
      <c r="K86" s="227" t="s">
        <v>105</v>
      </c>
      <c r="L86" s="35" t="s">
        <v>1493</v>
      </c>
    </row>
    <row r="87" spans="2:12">
      <c r="B87" s="35" t="s">
        <v>1432</v>
      </c>
      <c r="C87" s="227" t="s">
        <v>367</v>
      </c>
      <c r="D87" s="35">
        <v>2800</v>
      </c>
      <c r="E87" s="35">
        <v>2070</v>
      </c>
      <c r="F87" s="35">
        <v>19</v>
      </c>
      <c r="G87" s="398">
        <v>47.363799999999998</v>
      </c>
      <c r="H87" s="399"/>
      <c r="I87" s="35">
        <f t="shared" si="2"/>
        <v>5.7960000000000003</v>
      </c>
      <c r="J87" s="288">
        <f t="shared" si="3"/>
        <v>8.171808143547274</v>
      </c>
      <c r="K87" s="227" t="s">
        <v>105</v>
      </c>
      <c r="L87" s="35" t="s">
        <v>1456</v>
      </c>
    </row>
    <row r="88" spans="2:12">
      <c r="B88" s="35" t="s">
        <v>1496</v>
      </c>
      <c r="C88" s="227" t="s">
        <v>370</v>
      </c>
      <c r="D88" s="35">
        <v>3070</v>
      </c>
      <c r="E88" s="35">
        <v>1240</v>
      </c>
      <c r="F88" s="35">
        <v>20</v>
      </c>
      <c r="G88" s="398">
        <v>110.29</v>
      </c>
      <c r="H88" s="399"/>
      <c r="I88" s="35">
        <f t="shared" si="2"/>
        <v>3.8068</v>
      </c>
      <c r="J88" s="288">
        <f t="shared" si="3"/>
        <v>28.971839865503838</v>
      </c>
      <c r="K88" s="227" t="s">
        <v>105</v>
      </c>
      <c r="L88" s="35" t="s">
        <v>1493</v>
      </c>
    </row>
    <row r="89" spans="2:12">
      <c r="B89" s="35" t="s">
        <v>1497</v>
      </c>
      <c r="C89" s="227" t="s">
        <v>372</v>
      </c>
      <c r="D89" s="35">
        <v>2800</v>
      </c>
      <c r="E89" s="35">
        <v>2070</v>
      </c>
      <c r="F89" s="35">
        <v>19</v>
      </c>
      <c r="G89" s="398">
        <v>68.472499999999997</v>
      </c>
      <c r="H89" s="399"/>
      <c r="I89" s="35">
        <f t="shared" si="2"/>
        <v>5.7960000000000003</v>
      </c>
      <c r="J89" s="288">
        <f t="shared" si="3"/>
        <v>11.813750862663905</v>
      </c>
      <c r="K89" s="227" t="s">
        <v>105</v>
      </c>
      <c r="L89" s="35" t="s">
        <v>1461</v>
      </c>
    </row>
    <row r="90" spans="2:12">
      <c r="B90" s="35" t="s">
        <v>1498</v>
      </c>
      <c r="C90" s="227" t="s">
        <v>373</v>
      </c>
      <c r="D90" s="35">
        <v>2800</v>
      </c>
      <c r="E90" s="35">
        <v>2070</v>
      </c>
      <c r="F90" s="35">
        <v>16</v>
      </c>
      <c r="G90" s="398">
        <v>37.1246875</v>
      </c>
      <c r="H90" s="399"/>
      <c r="I90" s="35">
        <f t="shared" si="2"/>
        <v>5.7960000000000003</v>
      </c>
      <c r="J90" s="288">
        <f t="shared" si="3"/>
        <v>6.405225586611456</v>
      </c>
      <c r="K90" s="227" t="s">
        <v>105</v>
      </c>
      <c r="L90" s="35" t="s">
        <v>1458</v>
      </c>
    </row>
    <row r="91" spans="2:12">
      <c r="B91" s="35" t="s">
        <v>1447</v>
      </c>
      <c r="C91" s="227" t="s">
        <v>374</v>
      </c>
      <c r="D91" s="35">
        <v>2800</v>
      </c>
      <c r="E91" s="35">
        <v>2070</v>
      </c>
      <c r="F91" s="35">
        <v>16</v>
      </c>
      <c r="G91" s="398">
        <v>37.1246875</v>
      </c>
      <c r="H91" s="399"/>
      <c r="I91" s="35">
        <f t="shared" si="2"/>
        <v>5.7960000000000003</v>
      </c>
      <c r="J91" s="288">
        <f t="shared" si="3"/>
        <v>6.405225586611456</v>
      </c>
      <c r="K91" s="227" t="s">
        <v>105</v>
      </c>
      <c r="L91" s="35" t="s">
        <v>1458</v>
      </c>
    </row>
    <row r="92" spans="2:12">
      <c r="B92" s="35" t="s">
        <v>1499</v>
      </c>
      <c r="C92" s="227" t="s">
        <v>381</v>
      </c>
      <c r="D92" s="35">
        <v>2800</v>
      </c>
      <c r="E92" s="35">
        <v>2070</v>
      </c>
      <c r="F92" s="35">
        <v>8</v>
      </c>
      <c r="G92" s="398">
        <v>52.947142857148798</v>
      </c>
      <c r="H92" s="399"/>
      <c r="I92" s="35">
        <f t="shared" si="2"/>
        <v>5.7960000000000003</v>
      </c>
      <c r="J92" s="288">
        <f t="shared" si="3"/>
        <v>9.1351178152430634</v>
      </c>
      <c r="K92" s="227" t="s">
        <v>105</v>
      </c>
      <c r="L92" s="35" t="s">
        <v>1457</v>
      </c>
    </row>
    <row r="93" spans="2:12">
      <c r="B93" s="35" t="s">
        <v>1500</v>
      </c>
      <c r="C93" s="227" t="s">
        <v>383</v>
      </c>
      <c r="D93" s="35">
        <v>2800</v>
      </c>
      <c r="E93" s="35">
        <v>2070</v>
      </c>
      <c r="F93" s="35">
        <v>19</v>
      </c>
      <c r="G93" s="398">
        <v>95.18</v>
      </c>
      <c r="H93" s="399"/>
      <c r="I93" s="35">
        <f t="shared" si="2"/>
        <v>5.7960000000000003</v>
      </c>
      <c r="J93" s="288">
        <f t="shared" si="3"/>
        <v>16.421670117322293</v>
      </c>
      <c r="K93" s="227" t="s">
        <v>105</v>
      </c>
      <c r="L93" s="35" t="s">
        <v>1461</v>
      </c>
    </row>
    <row r="94" spans="2:12">
      <c r="B94" s="35" t="s">
        <v>1439</v>
      </c>
      <c r="C94" s="227" t="s">
        <v>384</v>
      </c>
      <c r="D94" s="35">
        <v>2800</v>
      </c>
      <c r="E94" s="35">
        <v>2070</v>
      </c>
      <c r="F94" s="35">
        <v>10</v>
      </c>
      <c r="G94" s="398">
        <v>27.751666666666701</v>
      </c>
      <c r="H94" s="399"/>
      <c r="I94" s="35">
        <f t="shared" si="2"/>
        <v>5.7960000000000003</v>
      </c>
      <c r="J94" s="288">
        <f t="shared" si="3"/>
        <v>4.7880722337244137</v>
      </c>
      <c r="K94" s="227" t="s">
        <v>105</v>
      </c>
      <c r="L94" s="35" t="s">
        <v>1458</v>
      </c>
    </row>
    <row r="95" spans="2:12">
      <c r="B95" s="35" t="s">
        <v>1501</v>
      </c>
      <c r="C95" s="227" t="s">
        <v>386</v>
      </c>
      <c r="D95" s="35">
        <v>3050</v>
      </c>
      <c r="E95" s="35">
        <v>1300</v>
      </c>
      <c r="F95" s="35">
        <v>19</v>
      </c>
      <c r="G95" s="398">
        <v>63</v>
      </c>
      <c r="H95" s="399"/>
      <c r="I95" s="35">
        <f t="shared" si="2"/>
        <v>3.9649999999999999</v>
      </c>
      <c r="J95" s="288">
        <f t="shared" si="3"/>
        <v>15.889029003783103</v>
      </c>
      <c r="K95" s="227" t="s">
        <v>387</v>
      </c>
      <c r="L95" s="35" t="s">
        <v>1493</v>
      </c>
    </row>
    <row r="96" spans="2:12">
      <c r="B96" s="35" t="s">
        <v>1502</v>
      </c>
      <c r="C96" s="227" t="s">
        <v>388</v>
      </c>
      <c r="D96" s="35">
        <v>4100</v>
      </c>
      <c r="E96" s="35">
        <v>1854</v>
      </c>
      <c r="F96" s="35">
        <v>12</v>
      </c>
      <c r="G96" s="398">
        <v>357.26499999999999</v>
      </c>
      <c r="H96" s="399"/>
      <c r="I96" s="35">
        <f t="shared" si="2"/>
        <v>7.6013999999999999</v>
      </c>
      <c r="J96" s="288">
        <f t="shared" si="3"/>
        <v>46.999894756229118</v>
      </c>
      <c r="K96" s="227" t="s">
        <v>387</v>
      </c>
      <c r="L96" s="35" t="s">
        <v>1521</v>
      </c>
    </row>
    <row r="97" spans="2:12">
      <c r="B97" s="35" t="s">
        <v>1503</v>
      </c>
      <c r="C97" s="227" t="s">
        <v>389</v>
      </c>
      <c r="D97" s="35">
        <v>2800</v>
      </c>
      <c r="E97" s="35">
        <v>1854</v>
      </c>
      <c r="F97" s="35">
        <v>12</v>
      </c>
      <c r="G97" s="398">
        <v>238.8</v>
      </c>
      <c r="H97" s="399"/>
      <c r="I97" s="35">
        <f t="shared" si="2"/>
        <v>5.1912000000000003</v>
      </c>
      <c r="J97" s="288">
        <f t="shared" si="3"/>
        <v>46.000924641701339</v>
      </c>
      <c r="K97" s="227" t="s">
        <v>387</v>
      </c>
      <c r="L97" s="35" t="s">
        <v>1521</v>
      </c>
    </row>
    <row r="98" spans="2:12">
      <c r="B98" s="35" t="s">
        <v>1504</v>
      </c>
      <c r="C98" s="227" t="s">
        <v>390</v>
      </c>
      <c r="D98" s="35">
        <v>3050</v>
      </c>
      <c r="E98" s="35">
        <v>1300</v>
      </c>
      <c r="F98" s="35">
        <v>19.600000000000001</v>
      </c>
      <c r="G98" s="398">
        <v>158.6</v>
      </c>
      <c r="H98" s="399"/>
      <c r="I98" s="35">
        <f t="shared" si="2"/>
        <v>3.9649999999999999</v>
      </c>
      <c r="J98" s="288">
        <f t="shared" si="3"/>
        <v>40</v>
      </c>
      <c r="K98" s="227" t="s">
        <v>387</v>
      </c>
      <c r="L98" s="35" t="s">
        <v>1458</v>
      </c>
    </row>
    <row r="99" spans="2:12">
      <c r="B99" s="35" t="s">
        <v>1505</v>
      </c>
      <c r="C99" s="227" t="s">
        <v>392</v>
      </c>
      <c r="D99" s="35">
        <v>3050</v>
      </c>
      <c r="E99" s="35">
        <v>1300</v>
      </c>
      <c r="F99" s="35">
        <v>19.600000000000001</v>
      </c>
      <c r="G99" s="398">
        <v>125.89</v>
      </c>
      <c r="H99" s="399"/>
      <c r="I99" s="35">
        <f t="shared" si="2"/>
        <v>3.9649999999999999</v>
      </c>
      <c r="J99" s="288">
        <f t="shared" si="3"/>
        <v>31.750315258511982</v>
      </c>
      <c r="K99" s="227" t="s">
        <v>387</v>
      </c>
      <c r="L99" s="35" t="s">
        <v>1493</v>
      </c>
    </row>
    <row r="100" spans="2:12">
      <c r="B100" s="35" t="s">
        <v>1506</v>
      </c>
      <c r="C100" s="227" t="s">
        <v>393</v>
      </c>
      <c r="D100" s="35">
        <v>3050</v>
      </c>
      <c r="E100" s="35">
        <v>1525</v>
      </c>
      <c r="F100" s="35">
        <v>18</v>
      </c>
      <c r="G100" s="398">
        <v>97.676400000000001</v>
      </c>
      <c r="H100" s="399"/>
      <c r="I100" s="35">
        <f t="shared" si="2"/>
        <v>4.6512500000000001</v>
      </c>
      <c r="J100" s="288">
        <f t="shared" si="3"/>
        <v>21.000032249395325</v>
      </c>
      <c r="K100" s="227" t="s">
        <v>387</v>
      </c>
      <c r="L100" s="35" t="s">
        <v>1492</v>
      </c>
    </row>
    <row r="101" spans="2:12">
      <c r="B101" s="35" t="s">
        <v>1507</v>
      </c>
      <c r="C101" s="227" t="s">
        <v>394</v>
      </c>
      <c r="D101" s="35">
        <v>3050</v>
      </c>
      <c r="E101" s="35">
        <v>1300</v>
      </c>
      <c r="F101" s="35">
        <v>20</v>
      </c>
      <c r="G101" s="398">
        <v>158.6</v>
      </c>
      <c r="H101" s="399"/>
      <c r="I101" s="35">
        <f t="shared" si="2"/>
        <v>3.9649999999999999</v>
      </c>
      <c r="J101" s="288">
        <f t="shared" si="3"/>
        <v>40</v>
      </c>
      <c r="K101" s="227" t="s">
        <v>387</v>
      </c>
      <c r="L101" s="35" t="s">
        <v>1458</v>
      </c>
    </row>
    <row r="102" spans="2:12">
      <c r="B102" s="35" t="s">
        <v>1508</v>
      </c>
      <c r="C102" s="227" t="s">
        <v>395</v>
      </c>
      <c r="D102" s="35">
        <v>3050</v>
      </c>
      <c r="E102" s="35">
        <v>1300</v>
      </c>
      <c r="F102" s="35">
        <v>19.600000000000001</v>
      </c>
      <c r="G102" s="398">
        <v>158.6</v>
      </c>
      <c r="H102" s="399"/>
      <c r="I102" s="35">
        <f t="shared" si="2"/>
        <v>3.9649999999999999</v>
      </c>
      <c r="J102" s="288">
        <f t="shared" si="3"/>
        <v>40</v>
      </c>
      <c r="K102" s="227" t="s">
        <v>387</v>
      </c>
      <c r="L102" s="35" t="s">
        <v>1493</v>
      </c>
    </row>
    <row r="103" spans="2:12">
      <c r="B103" s="35" t="s">
        <v>1509</v>
      </c>
      <c r="C103" s="227" t="s">
        <v>396</v>
      </c>
      <c r="D103" s="35">
        <v>3070</v>
      </c>
      <c r="E103" s="35">
        <v>1240</v>
      </c>
      <c r="F103" s="35">
        <v>20</v>
      </c>
      <c r="G103" s="398">
        <v>103.545</v>
      </c>
      <c r="H103" s="399"/>
      <c r="I103" s="35">
        <f t="shared" si="2"/>
        <v>3.8068</v>
      </c>
      <c r="J103" s="288">
        <f t="shared" si="3"/>
        <v>27.200010507512872</v>
      </c>
      <c r="K103" s="227" t="s">
        <v>387</v>
      </c>
      <c r="L103" s="35" t="s">
        <v>1493</v>
      </c>
    </row>
    <row r="104" spans="2:12">
      <c r="B104" s="35" t="s">
        <v>1510</v>
      </c>
      <c r="C104" s="227" t="s">
        <v>397</v>
      </c>
      <c r="D104" s="35">
        <v>3050</v>
      </c>
      <c r="E104" s="35">
        <v>1300</v>
      </c>
      <c r="F104" s="35">
        <v>19.600000000000001</v>
      </c>
      <c r="G104" s="398">
        <v>50.752499999999998</v>
      </c>
      <c r="H104" s="399"/>
      <c r="I104" s="35">
        <f t="shared" si="2"/>
        <v>3.9649999999999999</v>
      </c>
      <c r="J104" s="288">
        <f t="shared" si="3"/>
        <v>12.800126103404791</v>
      </c>
      <c r="K104" s="227" t="s">
        <v>387</v>
      </c>
      <c r="L104" s="35" t="s">
        <v>1458</v>
      </c>
    </row>
    <row r="105" spans="2:12">
      <c r="B105" s="35" t="s">
        <v>1511</v>
      </c>
      <c r="C105" s="227" t="s">
        <v>398</v>
      </c>
      <c r="D105" s="35">
        <v>3050</v>
      </c>
      <c r="E105" s="35">
        <v>1300</v>
      </c>
      <c r="F105" s="35">
        <v>19.600000000000001</v>
      </c>
      <c r="G105" s="398">
        <v>130.84555555556</v>
      </c>
      <c r="H105" s="399"/>
      <c r="I105" s="35">
        <f t="shared" si="2"/>
        <v>3.9649999999999999</v>
      </c>
      <c r="J105" s="288">
        <f t="shared" si="3"/>
        <v>33.000140114895338</v>
      </c>
      <c r="K105" s="227" t="s">
        <v>387</v>
      </c>
      <c r="L105" s="35" t="s">
        <v>1493</v>
      </c>
    </row>
    <row r="106" spans="2:12">
      <c r="B106" s="35" t="s">
        <v>1512</v>
      </c>
      <c r="C106" s="227" t="s">
        <v>399</v>
      </c>
      <c r="D106" s="35">
        <v>3070</v>
      </c>
      <c r="E106" s="35">
        <v>1300</v>
      </c>
      <c r="F106" s="35">
        <v>19.600000000000001</v>
      </c>
      <c r="G106" s="398">
        <v>105.96</v>
      </c>
      <c r="H106" s="399"/>
      <c r="I106" s="35">
        <f t="shared" si="2"/>
        <v>3.9910000000000001</v>
      </c>
      <c r="J106" s="288">
        <f t="shared" si="3"/>
        <v>26.549736908043094</v>
      </c>
      <c r="K106" s="227" t="s">
        <v>387</v>
      </c>
      <c r="L106" s="35" t="s">
        <v>1457</v>
      </c>
    </row>
    <row r="107" spans="2:12">
      <c r="B107" s="35" t="s">
        <v>1513</v>
      </c>
      <c r="C107" s="227" t="s">
        <v>400</v>
      </c>
      <c r="D107" s="35">
        <v>4320</v>
      </c>
      <c r="E107" s="35">
        <v>1860</v>
      </c>
      <c r="F107" s="35">
        <v>12</v>
      </c>
      <c r="G107" s="398">
        <v>313.37333330000001</v>
      </c>
      <c r="H107" s="399"/>
      <c r="I107" s="35">
        <f t="shared" si="2"/>
        <v>8.0351999999999997</v>
      </c>
      <c r="J107" s="288">
        <f t="shared" si="3"/>
        <v>39.000066370469938</v>
      </c>
      <c r="K107" s="227" t="s">
        <v>387</v>
      </c>
      <c r="L107" s="35" t="s">
        <v>1521</v>
      </c>
    </row>
    <row r="108" spans="2:12">
      <c r="B108" s="35" t="s">
        <v>1514</v>
      </c>
      <c r="C108" s="227" t="s">
        <v>401</v>
      </c>
      <c r="D108" s="35">
        <v>3070</v>
      </c>
      <c r="E108" s="35">
        <v>1240</v>
      </c>
      <c r="F108" s="35">
        <v>20</v>
      </c>
      <c r="G108" s="398">
        <v>90.22</v>
      </c>
      <c r="H108" s="399"/>
      <c r="I108" s="35">
        <f t="shared" si="2"/>
        <v>3.8068</v>
      </c>
      <c r="J108" s="288">
        <f t="shared" si="3"/>
        <v>23.699695282126722</v>
      </c>
      <c r="K108" s="227" t="s">
        <v>387</v>
      </c>
      <c r="L108" s="35" t="s">
        <v>1493</v>
      </c>
    </row>
    <row r="109" spans="2:12">
      <c r="B109" s="35" t="s">
        <v>1515</v>
      </c>
      <c r="C109" s="227" t="s">
        <v>403</v>
      </c>
      <c r="D109" s="35">
        <v>2800</v>
      </c>
      <c r="E109" s="35">
        <v>1854</v>
      </c>
      <c r="F109" s="35">
        <v>16</v>
      </c>
      <c r="G109" s="398">
        <v>425.68</v>
      </c>
      <c r="H109" s="399"/>
      <c r="I109" s="35">
        <f t="shared" si="2"/>
        <v>5.1912000000000003</v>
      </c>
      <c r="J109" s="288">
        <f t="shared" si="3"/>
        <v>82.000308213900439</v>
      </c>
      <c r="K109" s="227" t="s">
        <v>387</v>
      </c>
      <c r="L109" s="35" t="s">
        <v>1521</v>
      </c>
    </row>
    <row r="110" spans="2:12">
      <c r="B110" s="35" t="s">
        <v>1516</v>
      </c>
      <c r="C110" s="227" t="s">
        <v>404</v>
      </c>
      <c r="D110" s="35">
        <v>3070</v>
      </c>
      <c r="E110" s="35">
        <v>1240</v>
      </c>
      <c r="F110" s="35">
        <v>20</v>
      </c>
      <c r="G110" s="398">
        <v>98.98</v>
      </c>
      <c r="H110" s="399"/>
      <c r="I110" s="35">
        <f t="shared" si="2"/>
        <v>3.8068</v>
      </c>
      <c r="J110" s="288">
        <f t="shared" si="3"/>
        <v>26.000840601029736</v>
      </c>
      <c r="K110" s="227" t="s">
        <v>387</v>
      </c>
      <c r="L110" s="35" t="s">
        <v>1457</v>
      </c>
    </row>
    <row r="111" spans="2:12">
      <c r="B111" s="35" t="s">
        <v>1517</v>
      </c>
      <c r="C111" s="227" t="s">
        <v>405</v>
      </c>
      <c r="D111" s="35">
        <v>2800</v>
      </c>
      <c r="E111" s="35">
        <v>2070</v>
      </c>
      <c r="F111" s="35">
        <v>16</v>
      </c>
      <c r="G111" s="398">
        <v>31.646249999999998</v>
      </c>
      <c r="H111" s="399"/>
      <c r="I111" s="35">
        <f t="shared" si="2"/>
        <v>5.7960000000000003</v>
      </c>
      <c r="J111" s="288">
        <f t="shared" si="3"/>
        <v>5.4600155279503104</v>
      </c>
      <c r="K111" s="227" t="s">
        <v>387</v>
      </c>
      <c r="L111" s="35" t="s">
        <v>1457</v>
      </c>
    </row>
    <row r="112" spans="2:12">
      <c r="B112" s="35" t="s">
        <v>1437</v>
      </c>
      <c r="C112" s="227" t="s">
        <v>1303</v>
      </c>
      <c r="D112" s="35"/>
      <c r="E112" s="35"/>
      <c r="F112" s="35">
        <v>16</v>
      </c>
      <c r="G112" s="398"/>
      <c r="H112" s="399">
        <v>6.8</v>
      </c>
      <c r="I112" s="35">
        <f t="shared" si="2"/>
        <v>0</v>
      </c>
      <c r="J112" s="288">
        <f t="shared" si="3"/>
        <v>6.8</v>
      </c>
      <c r="K112" s="227" t="s">
        <v>1304</v>
      </c>
      <c r="L112" s="35" t="s">
        <v>1457</v>
      </c>
    </row>
    <row r="113" spans="2:12">
      <c r="B113" s="35" t="s">
        <v>1436</v>
      </c>
      <c r="C113" s="227" t="s">
        <v>1518</v>
      </c>
      <c r="D113" s="35"/>
      <c r="E113" s="35"/>
      <c r="F113" s="35">
        <v>16</v>
      </c>
      <c r="G113" s="398"/>
      <c r="H113" s="399">
        <v>6.8</v>
      </c>
      <c r="I113" s="35">
        <f t="shared" si="2"/>
        <v>0</v>
      </c>
      <c r="J113" s="288">
        <f t="shared" si="3"/>
        <v>6.8</v>
      </c>
      <c r="K113" s="227" t="s">
        <v>1304</v>
      </c>
      <c r="L113" s="35" t="s">
        <v>1458</v>
      </c>
    </row>
    <row r="114" spans="2:12">
      <c r="B114" s="35" t="s">
        <v>1442</v>
      </c>
      <c r="C114" s="227" t="s">
        <v>1305</v>
      </c>
      <c r="D114" s="35"/>
      <c r="E114" s="35"/>
      <c r="F114" s="35">
        <v>16</v>
      </c>
      <c r="G114" s="398"/>
      <c r="H114" s="399">
        <v>5.65</v>
      </c>
      <c r="I114" s="35">
        <f t="shared" si="2"/>
        <v>0</v>
      </c>
      <c r="J114" s="288">
        <f t="shared" si="3"/>
        <v>5.65</v>
      </c>
      <c r="K114" s="227" t="s">
        <v>1304</v>
      </c>
      <c r="L114" s="35" t="s">
        <v>1459</v>
      </c>
    </row>
    <row r="115" spans="2:12">
      <c r="B115" s="35" t="s">
        <v>1519</v>
      </c>
      <c r="C115" s="227" t="s">
        <v>1317</v>
      </c>
      <c r="D115" s="35">
        <v>3050</v>
      </c>
      <c r="E115" s="35">
        <v>1240</v>
      </c>
      <c r="F115" s="35">
        <v>19</v>
      </c>
      <c r="G115" s="398">
        <v>124.08</v>
      </c>
      <c r="H115" s="399"/>
      <c r="I115" s="35">
        <f t="shared" si="2"/>
        <v>3.782</v>
      </c>
      <c r="J115" s="288">
        <f t="shared" si="3"/>
        <v>32.80803807509254</v>
      </c>
      <c r="K115" s="227" t="s">
        <v>1309</v>
      </c>
      <c r="L115" s="35" t="s">
        <v>1493</v>
      </c>
    </row>
    <row r="116" spans="2:12">
      <c r="B116" s="35" t="s">
        <v>1318</v>
      </c>
      <c r="C116" s="227" t="s">
        <v>1318</v>
      </c>
      <c r="D116" s="35">
        <v>2750</v>
      </c>
      <c r="E116" s="35">
        <v>1220</v>
      </c>
      <c r="F116" s="35">
        <v>18</v>
      </c>
      <c r="G116" s="398">
        <v>141.00479999999999</v>
      </c>
      <c r="H116" s="399"/>
      <c r="I116" s="35">
        <f t="shared" si="2"/>
        <v>3.355</v>
      </c>
      <c r="J116" s="288">
        <f t="shared" si="3"/>
        <v>42.0282563338301</v>
      </c>
      <c r="K116" s="227" t="s">
        <v>1309</v>
      </c>
      <c r="L116" s="35" t="s">
        <v>1493</v>
      </c>
    </row>
    <row r="117" spans="2:12">
      <c r="B117" s="35" t="s">
        <v>1313</v>
      </c>
      <c r="C117" s="227" t="s">
        <v>1313</v>
      </c>
      <c r="D117" s="35">
        <v>2750</v>
      </c>
      <c r="E117" s="35">
        <v>1240</v>
      </c>
      <c r="F117" s="35">
        <v>18</v>
      </c>
      <c r="G117" s="398">
        <v>82.71</v>
      </c>
      <c r="H117" s="399"/>
      <c r="I117" s="35">
        <f t="shared" si="2"/>
        <v>3.41</v>
      </c>
      <c r="J117" s="288">
        <f t="shared" si="3"/>
        <v>24.255131964809383</v>
      </c>
      <c r="K117" s="227" t="s">
        <v>1309</v>
      </c>
      <c r="L117" s="35" t="s">
        <v>1459</v>
      </c>
    </row>
    <row r="118" spans="2:12">
      <c r="B118" s="35" t="s">
        <v>1520</v>
      </c>
      <c r="C118" s="227" t="s">
        <v>1314</v>
      </c>
      <c r="D118" s="35">
        <v>2750</v>
      </c>
      <c r="E118" s="35">
        <v>1220</v>
      </c>
      <c r="F118" s="35">
        <v>18</v>
      </c>
      <c r="G118" s="398">
        <v>133.6</v>
      </c>
      <c r="H118" s="399"/>
      <c r="I118" s="35">
        <f t="shared" si="2"/>
        <v>3.355</v>
      </c>
      <c r="J118" s="288">
        <f t="shared" si="3"/>
        <v>39.821162444113263</v>
      </c>
      <c r="K118" s="227" t="s">
        <v>1309</v>
      </c>
      <c r="L118" s="35" t="s">
        <v>1493</v>
      </c>
    </row>
    <row r="119" spans="2:12">
      <c r="B119" s="35" t="s">
        <v>1318</v>
      </c>
      <c r="C119" s="227" t="s">
        <v>1319</v>
      </c>
      <c r="D119" s="35">
        <v>2275</v>
      </c>
      <c r="E119" s="35">
        <v>200</v>
      </c>
      <c r="F119" s="35">
        <v>18</v>
      </c>
      <c r="G119" s="398">
        <v>43.792000000000002</v>
      </c>
      <c r="H119" s="399"/>
      <c r="I119" s="35">
        <f t="shared" si="2"/>
        <v>0.45500000000000002</v>
      </c>
      <c r="J119" s="288">
        <f t="shared" si="3"/>
        <v>96.246153846153845</v>
      </c>
      <c r="K119" s="227" t="s">
        <v>1309</v>
      </c>
      <c r="L119" s="35" t="s">
        <v>1493</v>
      </c>
    </row>
    <row r="120" spans="2:12">
      <c r="B120" s="403" t="s">
        <v>1575</v>
      </c>
      <c r="C120" s="403" t="s">
        <v>1575</v>
      </c>
      <c r="D120" s="403"/>
      <c r="E120" s="403"/>
      <c r="F120" s="403"/>
      <c r="G120" s="402"/>
      <c r="H120" s="406">
        <v>4.7699999999999996</v>
      </c>
      <c r="I120" s="403">
        <f t="shared" si="2"/>
        <v>0</v>
      </c>
      <c r="J120" s="404">
        <f t="shared" si="3"/>
        <v>4.7699999999999996</v>
      </c>
      <c r="K120" s="403" t="s">
        <v>98</v>
      </c>
      <c r="L120" s="403" t="s">
        <v>1457</v>
      </c>
    </row>
    <row r="121" spans="2:12">
      <c r="B121" s="403" t="s">
        <v>1580</v>
      </c>
      <c r="C121" s="403" t="s">
        <v>1579</v>
      </c>
      <c r="D121" s="403">
        <v>2800</v>
      </c>
      <c r="E121" s="403">
        <v>2070</v>
      </c>
      <c r="F121" s="403">
        <v>19</v>
      </c>
      <c r="G121" s="402">
        <v>79.45</v>
      </c>
      <c r="H121" s="406"/>
      <c r="I121" s="403">
        <f t="shared" si="2"/>
        <v>5.7960000000000003</v>
      </c>
      <c r="J121" s="404">
        <f t="shared" si="3"/>
        <v>13.707729468599034</v>
      </c>
      <c r="K121" s="403" t="s">
        <v>105</v>
      </c>
      <c r="L121" s="403" t="s">
        <v>1458</v>
      </c>
    </row>
    <row r="122" spans="2:12">
      <c r="B122" s="403" t="s">
        <v>1582</v>
      </c>
      <c r="C122" s="403" t="s">
        <v>1581</v>
      </c>
      <c r="D122" s="403">
        <v>2800</v>
      </c>
      <c r="E122" s="403">
        <v>2070</v>
      </c>
      <c r="F122" s="403">
        <v>19</v>
      </c>
      <c r="G122" s="402">
        <v>79.45</v>
      </c>
      <c r="H122" s="406"/>
      <c r="I122" s="403">
        <f t="shared" si="2"/>
        <v>5.7960000000000003</v>
      </c>
      <c r="J122" s="404">
        <f t="shared" si="3"/>
        <v>13.707729468599034</v>
      </c>
      <c r="K122" s="403" t="s">
        <v>105</v>
      </c>
      <c r="L122" s="403" t="s">
        <v>1458</v>
      </c>
    </row>
    <row r="123" spans="2:12">
      <c r="B123" s="403" t="s">
        <v>1589</v>
      </c>
      <c r="C123" s="403" t="s">
        <v>1583</v>
      </c>
      <c r="D123" s="403">
        <v>2800</v>
      </c>
      <c r="E123" s="403">
        <v>2070</v>
      </c>
      <c r="F123" s="403">
        <v>19</v>
      </c>
      <c r="G123" s="402">
        <v>76.27</v>
      </c>
      <c r="H123" s="406"/>
      <c r="I123" s="403">
        <f t="shared" si="2"/>
        <v>5.7960000000000003</v>
      </c>
      <c r="J123" s="404">
        <f t="shared" si="3"/>
        <v>13.159075224292614</v>
      </c>
      <c r="K123" s="403" t="s">
        <v>105</v>
      </c>
      <c r="L123" s="403" t="s">
        <v>1458</v>
      </c>
    </row>
    <row r="124" spans="2:12">
      <c r="B124" s="403" t="s">
        <v>1590</v>
      </c>
      <c r="C124" s="403" t="s">
        <v>1584</v>
      </c>
      <c r="D124" s="403">
        <v>2800</v>
      </c>
      <c r="E124" s="403">
        <v>2070</v>
      </c>
      <c r="F124" s="403">
        <v>19</v>
      </c>
      <c r="G124" s="402">
        <v>73.78</v>
      </c>
      <c r="H124" s="406"/>
      <c r="I124" s="403">
        <f t="shared" si="2"/>
        <v>5.7960000000000003</v>
      </c>
      <c r="J124" s="404">
        <f t="shared" si="3"/>
        <v>12.729468599033815</v>
      </c>
      <c r="K124" s="403" t="s">
        <v>105</v>
      </c>
      <c r="L124" s="403" t="s">
        <v>1458</v>
      </c>
    </row>
    <row r="125" spans="2:12">
      <c r="B125" s="403" t="s">
        <v>1587</v>
      </c>
      <c r="C125" s="403" t="s">
        <v>1586</v>
      </c>
      <c r="D125" s="403">
        <v>2800</v>
      </c>
      <c r="E125" s="403">
        <v>2070</v>
      </c>
      <c r="F125" s="403">
        <v>19</v>
      </c>
      <c r="G125" s="402">
        <v>106.54</v>
      </c>
      <c r="H125" s="406"/>
      <c r="I125" s="403">
        <f t="shared" si="2"/>
        <v>5.7960000000000003</v>
      </c>
      <c r="J125" s="404">
        <f t="shared" si="3"/>
        <v>18.381642512077295</v>
      </c>
      <c r="K125" s="403" t="s">
        <v>105</v>
      </c>
      <c r="L125" s="403" t="s">
        <v>1458</v>
      </c>
    </row>
    <row r="126" spans="2:12">
      <c r="B126" s="403" t="s">
        <v>1591</v>
      </c>
      <c r="C126" s="403" t="s">
        <v>1588</v>
      </c>
      <c r="D126" s="403">
        <v>2800</v>
      </c>
      <c r="E126" s="403">
        <v>2070</v>
      </c>
      <c r="F126" s="403">
        <v>19</v>
      </c>
      <c r="G126" s="402">
        <v>62.13</v>
      </c>
      <c r="H126" s="406"/>
      <c r="I126" s="403">
        <f t="shared" si="2"/>
        <v>5.7960000000000003</v>
      </c>
      <c r="J126" s="404">
        <f t="shared" si="3"/>
        <v>10.719461697722567</v>
      </c>
      <c r="K126" s="403" t="s">
        <v>105</v>
      </c>
      <c r="L126" s="403" t="s">
        <v>1458</v>
      </c>
    </row>
    <row r="127" spans="2:12">
      <c r="B127" s="403" t="s">
        <v>1610</v>
      </c>
      <c r="C127" s="403" t="s">
        <v>1610</v>
      </c>
      <c r="D127" s="403"/>
      <c r="E127" s="403"/>
      <c r="F127" s="403"/>
      <c r="G127" s="402"/>
      <c r="H127" s="406"/>
      <c r="I127" s="403">
        <f t="shared" si="2"/>
        <v>0</v>
      </c>
      <c r="J127" s="404">
        <v>28.97</v>
      </c>
      <c r="K127" s="403" t="s">
        <v>105</v>
      </c>
      <c r="L127" s="403"/>
    </row>
    <row r="128" spans="2:12">
      <c r="B128" s="403" t="s">
        <v>1611</v>
      </c>
      <c r="C128" s="403" t="s">
        <v>1611</v>
      </c>
      <c r="D128" s="403"/>
      <c r="E128" s="403"/>
      <c r="F128" s="403"/>
      <c r="G128" s="402"/>
      <c r="H128" s="406"/>
      <c r="I128" s="403">
        <f t="shared" si="2"/>
        <v>0</v>
      </c>
      <c r="J128" s="404">
        <v>44.84</v>
      </c>
      <c r="K128" s="403" t="s">
        <v>105</v>
      </c>
      <c r="L128" s="403"/>
    </row>
    <row r="129" spans="2:12">
      <c r="B129" s="403" t="s">
        <v>1612</v>
      </c>
      <c r="C129" s="403" t="s">
        <v>1612</v>
      </c>
      <c r="D129" s="403"/>
      <c r="E129" s="403"/>
      <c r="F129" s="403"/>
      <c r="G129" s="402"/>
      <c r="H129" s="406"/>
      <c r="I129" s="403">
        <f t="shared" si="2"/>
        <v>0</v>
      </c>
      <c r="J129" s="404">
        <v>13.71</v>
      </c>
      <c r="K129" s="403" t="s">
        <v>105</v>
      </c>
      <c r="L129" s="403"/>
    </row>
    <row r="130" spans="2:12">
      <c r="B130" s="403" t="s">
        <v>1613</v>
      </c>
      <c r="C130" s="403" t="s">
        <v>1613</v>
      </c>
      <c r="D130" s="403"/>
      <c r="E130" s="403"/>
      <c r="F130" s="403"/>
      <c r="G130" s="402"/>
      <c r="H130" s="406"/>
      <c r="I130" s="403">
        <f t="shared" si="2"/>
        <v>0</v>
      </c>
      <c r="J130" s="404">
        <v>13.71</v>
      </c>
      <c r="K130" s="403" t="s">
        <v>105</v>
      </c>
      <c r="L130" s="403"/>
    </row>
    <row r="131" spans="2:12">
      <c r="B131" s="403" t="s">
        <v>1614</v>
      </c>
      <c r="C131" s="403" t="s">
        <v>1614</v>
      </c>
      <c r="D131" s="403"/>
      <c r="E131" s="403"/>
      <c r="F131" s="403"/>
      <c r="G131" s="402"/>
      <c r="H131" s="406"/>
      <c r="I131" s="403">
        <f t="shared" si="2"/>
        <v>0</v>
      </c>
      <c r="J131" s="404">
        <v>11.52</v>
      </c>
      <c r="K131" s="403" t="s">
        <v>105</v>
      </c>
      <c r="L131" s="403"/>
    </row>
    <row r="132" spans="2:12">
      <c r="B132" s="403" t="s">
        <v>1615</v>
      </c>
      <c r="C132" s="403" t="s">
        <v>1615</v>
      </c>
      <c r="D132" s="403"/>
      <c r="E132" s="403"/>
      <c r="F132" s="403"/>
      <c r="G132" s="402"/>
      <c r="H132" s="406"/>
      <c r="I132" s="403">
        <f t="shared" si="2"/>
        <v>0</v>
      </c>
      <c r="J132" s="404">
        <v>7.05</v>
      </c>
      <c r="K132" s="403" t="s">
        <v>105</v>
      </c>
      <c r="L132" s="403"/>
    </row>
    <row r="133" spans="2:12">
      <c r="B133" s="403" t="s">
        <v>1616</v>
      </c>
      <c r="C133" s="403" t="s">
        <v>1616</v>
      </c>
      <c r="D133" s="403"/>
      <c r="E133" s="403"/>
      <c r="F133" s="403"/>
      <c r="G133" s="402"/>
      <c r="H133" s="406"/>
      <c r="I133" s="403">
        <f t="shared" si="2"/>
        <v>0</v>
      </c>
      <c r="J133" s="404">
        <v>18.38</v>
      </c>
      <c r="K133" s="403" t="s">
        <v>105</v>
      </c>
      <c r="L133" s="403"/>
    </row>
    <row r="134" spans="2:12">
      <c r="B134" s="403" t="s">
        <v>1617</v>
      </c>
      <c r="C134" s="403" t="s">
        <v>1617</v>
      </c>
      <c r="D134" s="403"/>
      <c r="E134" s="403"/>
      <c r="F134" s="403"/>
      <c r="G134" s="402"/>
      <c r="H134" s="406"/>
      <c r="I134" s="403">
        <f t="shared" si="2"/>
        <v>0</v>
      </c>
      <c r="J134" s="404">
        <v>10.72</v>
      </c>
      <c r="K134" s="403" t="s">
        <v>105</v>
      </c>
      <c r="L134" s="403"/>
    </row>
    <row r="135" spans="2:12">
      <c r="B135" s="403" t="s">
        <v>1618</v>
      </c>
      <c r="C135" s="403" t="s">
        <v>1618</v>
      </c>
      <c r="D135" s="403"/>
      <c r="E135" s="403"/>
      <c r="F135" s="403"/>
      <c r="G135" s="402"/>
      <c r="H135" s="406"/>
      <c r="I135" s="403">
        <f t="shared" si="2"/>
        <v>0</v>
      </c>
      <c r="J135" s="404">
        <v>6.26</v>
      </c>
      <c r="K135" s="403" t="s">
        <v>105</v>
      </c>
      <c r="L135" s="403"/>
    </row>
    <row r="136" spans="2:12">
      <c r="B136" s="403" t="s">
        <v>1619</v>
      </c>
      <c r="C136" s="403" t="s">
        <v>1619</v>
      </c>
      <c r="D136" s="403"/>
      <c r="E136" s="403"/>
      <c r="F136" s="403"/>
      <c r="G136" s="402"/>
      <c r="H136" s="406"/>
      <c r="I136" s="403">
        <f t="shared" si="2"/>
        <v>0</v>
      </c>
      <c r="J136" s="404">
        <v>8.89</v>
      </c>
      <c r="K136" s="403" t="s">
        <v>98</v>
      </c>
      <c r="L136" s="403"/>
    </row>
    <row r="137" spans="2:12">
      <c r="B137" s="403" t="s">
        <v>1620</v>
      </c>
      <c r="C137" s="403" t="s">
        <v>1620</v>
      </c>
      <c r="D137" s="403"/>
      <c r="E137" s="403"/>
      <c r="F137" s="403"/>
      <c r="G137" s="402"/>
      <c r="H137" s="406"/>
      <c r="I137" s="403">
        <f t="shared" si="2"/>
        <v>0</v>
      </c>
      <c r="J137" s="404">
        <v>31.99</v>
      </c>
      <c r="K137" s="403" t="s">
        <v>98</v>
      </c>
      <c r="L137" s="403"/>
    </row>
    <row r="138" spans="2:12">
      <c r="B138" s="403" t="s">
        <v>1621</v>
      </c>
      <c r="C138" s="403" t="s">
        <v>1621</v>
      </c>
      <c r="D138" s="403"/>
      <c r="E138" s="403"/>
      <c r="F138" s="403"/>
      <c r="G138" s="402"/>
      <c r="H138" s="406"/>
      <c r="I138" s="403">
        <f t="shared" si="2"/>
        <v>0</v>
      </c>
      <c r="J138" s="404">
        <v>6.46</v>
      </c>
      <c r="K138" s="403" t="s">
        <v>98</v>
      </c>
      <c r="L138" s="403"/>
    </row>
    <row r="139" spans="2:12">
      <c r="B139" s="403" t="s">
        <v>1622</v>
      </c>
      <c r="C139" s="403" t="s">
        <v>1622</v>
      </c>
      <c r="D139" s="403"/>
      <c r="E139" s="403"/>
      <c r="F139" s="403"/>
      <c r="G139" s="402"/>
      <c r="H139" s="406"/>
      <c r="I139" s="403">
        <f t="shared" si="2"/>
        <v>0</v>
      </c>
      <c r="J139" s="404">
        <v>7.0004967709885744</v>
      </c>
      <c r="K139" s="403" t="s">
        <v>98</v>
      </c>
      <c r="L139" s="403"/>
    </row>
    <row r="140" spans="2:12">
      <c r="B140" s="403" t="s">
        <v>1623</v>
      </c>
      <c r="C140" s="403" t="s">
        <v>1623</v>
      </c>
      <c r="D140" s="403"/>
      <c r="E140" s="403"/>
      <c r="F140" s="403"/>
      <c r="G140" s="402"/>
      <c r="H140" s="406"/>
      <c r="I140" s="403">
        <f t="shared" si="2"/>
        <v>0</v>
      </c>
      <c r="J140" s="404">
        <v>5.9600596125186289</v>
      </c>
      <c r="K140" s="403" t="s">
        <v>98</v>
      </c>
      <c r="L140" s="403"/>
    </row>
    <row r="141" spans="2:12">
      <c r="B141" s="403" t="s">
        <v>1624</v>
      </c>
      <c r="C141" s="403" t="s">
        <v>1624</v>
      </c>
      <c r="D141" s="403"/>
      <c r="E141" s="403"/>
      <c r="F141" s="403"/>
      <c r="G141" s="402"/>
      <c r="H141" s="406"/>
      <c r="I141" s="403">
        <f t="shared" si="2"/>
        <v>0</v>
      </c>
      <c r="J141" s="404">
        <v>6.5096870342771984</v>
      </c>
      <c r="K141" s="403" t="s">
        <v>98</v>
      </c>
      <c r="L141" s="403"/>
    </row>
    <row r="142" spans="2:12">
      <c r="B142" s="403" t="s">
        <v>1625</v>
      </c>
      <c r="C142" s="403" t="s">
        <v>1625</v>
      </c>
      <c r="D142" s="403"/>
      <c r="E142" s="403"/>
      <c r="F142" s="403"/>
      <c r="G142" s="402"/>
      <c r="H142" s="406"/>
      <c r="I142" s="403">
        <f t="shared" ref="I142:I144" si="4">(D142*E142)/1000000</f>
        <v>0</v>
      </c>
      <c r="J142" s="404">
        <v>6.5096618357487914</v>
      </c>
      <c r="K142" s="403" t="s">
        <v>98</v>
      </c>
      <c r="L142" s="403"/>
    </row>
    <row r="143" spans="2:12">
      <c r="B143" s="403" t="s">
        <v>333</v>
      </c>
      <c r="C143" s="403" t="s">
        <v>333</v>
      </c>
      <c r="D143" s="403"/>
      <c r="E143" s="403"/>
      <c r="F143" s="403"/>
      <c r="G143" s="402"/>
      <c r="H143" s="406"/>
      <c r="I143" s="403">
        <f t="shared" si="4"/>
        <v>0</v>
      </c>
      <c r="J143" s="404">
        <v>16.77</v>
      </c>
      <c r="K143" s="403" t="s">
        <v>98</v>
      </c>
      <c r="L143" s="403"/>
    </row>
    <row r="144" spans="2:12">
      <c r="B144" s="403" t="s">
        <v>96</v>
      </c>
      <c r="C144" s="403" t="s">
        <v>96</v>
      </c>
      <c r="D144" s="403"/>
      <c r="E144" s="403"/>
      <c r="F144" s="403"/>
      <c r="G144" s="402"/>
      <c r="H144" s="406"/>
      <c r="I144" s="403">
        <f t="shared" si="4"/>
        <v>0</v>
      </c>
      <c r="J144" s="404">
        <v>14.33</v>
      </c>
      <c r="K144" s="403" t="s">
        <v>98</v>
      </c>
      <c r="L144" s="403"/>
    </row>
    <row r="145" spans="2:11">
      <c r="B145" t="s">
        <v>319</v>
      </c>
      <c r="C145" t="s">
        <v>319</v>
      </c>
      <c r="J145">
        <v>5.49</v>
      </c>
      <c r="K145" t="s">
        <v>98</v>
      </c>
    </row>
    <row r="146" spans="2:11">
      <c r="B146" t="s">
        <v>1626</v>
      </c>
      <c r="C146" t="s">
        <v>1627</v>
      </c>
      <c r="J146">
        <v>5.34</v>
      </c>
      <c r="K146" t="s">
        <v>98</v>
      </c>
    </row>
    <row r="147" spans="2:11">
      <c r="B147" t="s">
        <v>1628</v>
      </c>
      <c r="C147" t="s">
        <v>101</v>
      </c>
      <c r="J147">
        <v>5.1100000000000003</v>
      </c>
      <c r="K147" t="s">
        <v>98</v>
      </c>
    </row>
    <row r="148" spans="2:11">
      <c r="B148" t="s">
        <v>1629</v>
      </c>
      <c r="C148" t="s">
        <v>1629</v>
      </c>
      <c r="J148">
        <v>4.8499999999999996</v>
      </c>
      <c r="K148" t="s">
        <v>1304</v>
      </c>
    </row>
    <row r="149" spans="2:11">
      <c r="B149" t="s">
        <v>1630</v>
      </c>
      <c r="C149" t="s">
        <v>1631</v>
      </c>
      <c r="J149">
        <v>5.65</v>
      </c>
      <c r="K149" t="s">
        <v>1304</v>
      </c>
    </row>
    <row r="150" spans="2:11">
      <c r="B150" t="s">
        <v>1632</v>
      </c>
      <c r="C150" t="s">
        <v>1303</v>
      </c>
      <c r="J150">
        <v>6.8</v>
      </c>
      <c r="K150" t="s">
        <v>1304</v>
      </c>
    </row>
    <row r="151" spans="2:11">
      <c r="B151" t="s">
        <v>1633</v>
      </c>
      <c r="C151" t="s">
        <v>1633</v>
      </c>
      <c r="J151">
        <v>8.64</v>
      </c>
      <c r="K151" t="s">
        <v>1634</v>
      </c>
    </row>
    <row r="152" spans="2:11">
      <c r="B152" t="s">
        <v>1635</v>
      </c>
      <c r="C152" t="s">
        <v>1635</v>
      </c>
      <c r="J152">
        <v>13.36</v>
      </c>
      <c r="K152" t="s">
        <v>1634</v>
      </c>
    </row>
    <row r="153" spans="2:11">
      <c r="B153" t="s">
        <v>1636</v>
      </c>
      <c r="C153" t="s">
        <v>1636</v>
      </c>
      <c r="J153">
        <v>4.7</v>
      </c>
      <c r="K153" t="s">
        <v>1634</v>
      </c>
    </row>
    <row r="154" spans="2:11">
      <c r="B154" t="s">
        <v>1637</v>
      </c>
      <c r="C154" t="s">
        <v>1637</v>
      </c>
      <c r="J154">
        <v>17.77</v>
      </c>
      <c r="K154" t="s">
        <v>1634</v>
      </c>
    </row>
    <row r="155" spans="2:11">
      <c r="B155" t="s">
        <v>1632</v>
      </c>
      <c r="C155" t="s">
        <v>1303</v>
      </c>
      <c r="J155">
        <v>7.23</v>
      </c>
      <c r="K155" t="s">
        <v>1634</v>
      </c>
    </row>
    <row r="156" spans="2:11">
      <c r="B156" t="s">
        <v>1638</v>
      </c>
      <c r="C156" t="s">
        <v>1639</v>
      </c>
      <c r="J156">
        <v>6.68</v>
      </c>
      <c r="K156" t="s">
        <v>1634</v>
      </c>
    </row>
    <row r="157" spans="2:11">
      <c r="B157" t="s">
        <v>1630</v>
      </c>
      <c r="C157" t="s">
        <v>1631</v>
      </c>
      <c r="J157">
        <v>5.19</v>
      </c>
      <c r="K157" t="s">
        <v>1634</v>
      </c>
    </row>
    <row r="158" spans="2:11">
      <c r="B158" t="s">
        <v>1640</v>
      </c>
      <c r="C158" t="s">
        <v>1640</v>
      </c>
      <c r="J158">
        <v>11.16</v>
      </c>
      <c r="K158" t="s">
        <v>1634</v>
      </c>
    </row>
    <row r="159" spans="2:11">
      <c r="B159" t="s">
        <v>1641</v>
      </c>
      <c r="C159" t="s">
        <v>1641</v>
      </c>
      <c r="J159">
        <v>16.329999999999998</v>
      </c>
      <c r="K159" t="s">
        <v>1634</v>
      </c>
    </row>
    <row r="160" spans="2:11">
      <c r="B160" t="s">
        <v>1642</v>
      </c>
      <c r="C160" t="s">
        <v>1642</v>
      </c>
      <c r="J160">
        <v>16.989999999999998</v>
      </c>
      <c r="K160" t="s">
        <v>1634</v>
      </c>
    </row>
    <row r="161" spans="2:11">
      <c r="B161" t="s">
        <v>1643</v>
      </c>
      <c r="C161" t="s">
        <v>1643</v>
      </c>
      <c r="J161">
        <v>13.76</v>
      </c>
      <c r="K161" t="s">
        <v>1634</v>
      </c>
    </row>
    <row r="162" spans="2:11">
      <c r="B162" t="s">
        <v>1644</v>
      </c>
      <c r="C162" t="s">
        <v>1644</v>
      </c>
      <c r="J162">
        <v>11.26</v>
      </c>
      <c r="K162" t="s">
        <v>1634</v>
      </c>
    </row>
    <row r="163" spans="2:11">
      <c r="B163" t="s">
        <v>1626</v>
      </c>
      <c r="C163" t="s">
        <v>1627</v>
      </c>
      <c r="J163">
        <v>5.53</v>
      </c>
      <c r="K163" t="s">
        <v>1634</v>
      </c>
    </row>
    <row r="164" spans="2:11">
      <c r="B164" t="s">
        <v>1645</v>
      </c>
      <c r="C164" t="s">
        <v>1646</v>
      </c>
      <c r="J164">
        <v>15.1</v>
      </c>
      <c r="K164" t="s">
        <v>105</v>
      </c>
    </row>
    <row r="165" spans="2:11">
      <c r="B165" t="s">
        <v>1647</v>
      </c>
      <c r="C165" t="s">
        <v>1648</v>
      </c>
      <c r="J165">
        <v>14.85</v>
      </c>
      <c r="K165" t="s">
        <v>98</v>
      </c>
    </row>
    <row r="166" spans="2:11">
      <c r="B166" t="s">
        <v>1647</v>
      </c>
      <c r="C166" t="s">
        <v>1649</v>
      </c>
      <c r="J166">
        <v>14.85</v>
      </c>
      <c r="K166" t="s">
        <v>98</v>
      </c>
    </row>
    <row r="167" spans="2:11">
      <c r="B167" t="s">
        <v>1647</v>
      </c>
      <c r="C167" t="s">
        <v>1650</v>
      </c>
      <c r="J167">
        <v>14.85</v>
      </c>
      <c r="K167" t="s">
        <v>98</v>
      </c>
    </row>
    <row r="168" spans="2:11">
      <c r="B168" t="s">
        <v>1647</v>
      </c>
      <c r="C168" t="s">
        <v>1651</v>
      </c>
      <c r="J168">
        <v>14.85</v>
      </c>
      <c r="K168" t="s">
        <v>98</v>
      </c>
    </row>
    <row r="169" spans="2:11">
      <c r="B169" t="s">
        <v>1647</v>
      </c>
      <c r="C169" t="s">
        <v>1652</v>
      </c>
      <c r="J169">
        <v>14.85</v>
      </c>
      <c r="K169" t="s">
        <v>98</v>
      </c>
    </row>
    <row r="170" spans="2:11">
      <c r="B170" t="s">
        <v>1647</v>
      </c>
      <c r="C170" t="s">
        <v>1653</v>
      </c>
      <c r="J170">
        <v>14.85</v>
      </c>
      <c r="K170" t="s">
        <v>98</v>
      </c>
    </row>
    <row r="171" spans="2:11">
      <c r="B171" t="s">
        <v>1647</v>
      </c>
      <c r="C171" t="s">
        <v>1654</v>
      </c>
      <c r="J171">
        <v>14.85</v>
      </c>
      <c r="K171" t="s">
        <v>98</v>
      </c>
    </row>
    <row r="172" spans="2:11">
      <c r="B172" t="s">
        <v>1655</v>
      </c>
      <c r="C172" t="s">
        <v>1656</v>
      </c>
      <c r="J172">
        <v>4.47</v>
      </c>
      <c r="K172" t="s">
        <v>387</v>
      </c>
    </row>
    <row r="173" spans="2:11">
      <c r="B173" t="s">
        <v>1657</v>
      </c>
      <c r="C173" t="s">
        <v>1658</v>
      </c>
      <c r="J173">
        <v>4.47</v>
      </c>
      <c r="K173" t="s">
        <v>387</v>
      </c>
    </row>
    <row r="174" spans="2:11">
      <c r="B174" t="s">
        <v>1659</v>
      </c>
      <c r="C174" t="s">
        <v>1660</v>
      </c>
      <c r="J174">
        <v>4.47</v>
      </c>
      <c r="K174" t="s">
        <v>387</v>
      </c>
    </row>
    <row r="175" spans="2:11">
      <c r="B175" t="s">
        <v>1661</v>
      </c>
      <c r="C175" t="s">
        <v>1662</v>
      </c>
      <c r="J175">
        <v>4.47</v>
      </c>
      <c r="K175" t="s">
        <v>387</v>
      </c>
    </row>
    <row r="176" spans="2:11">
      <c r="B176" t="s">
        <v>1663</v>
      </c>
      <c r="C176" t="s">
        <v>1664</v>
      </c>
      <c r="J176">
        <v>4.47</v>
      </c>
      <c r="K176" t="s">
        <v>387</v>
      </c>
    </row>
    <row r="177" spans="2:11">
      <c r="B177" t="s">
        <v>1663</v>
      </c>
      <c r="C177" t="s">
        <v>1665</v>
      </c>
      <c r="J177">
        <v>4.47</v>
      </c>
      <c r="K177" t="s">
        <v>387</v>
      </c>
    </row>
    <row r="178" spans="2:11">
      <c r="B178" t="s">
        <v>1666</v>
      </c>
      <c r="C178" t="s">
        <v>1667</v>
      </c>
      <c r="J178">
        <v>4.47</v>
      </c>
      <c r="K178" t="s">
        <v>387</v>
      </c>
    </row>
    <row r="179" spans="2:11">
      <c r="B179" t="s">
        <v>1668</v>
      </c>
      <c r="C179" t="s">
        <v>1669</v>
      </c>
      <c r="J179">
        <v>4.47</v>
      </c>
      <c r="K179" t="s">
        <v>387</v>
      </c>
    </row>
    <row r="180" spans="2:11">
      <c r="B180" t="s">
        <v>1670</v>
      </c>
      <c r="C180" t="s">
        <v>1671</v>
      </c>
      <c r="J180">
        <v>4.47</v>
      </c>
      <c r="K180" t="s">
        <v>387</v>
      </c>
    </row>
    <row r="181" spans="2:11">
      <c r="B181" t="s">
        <v>1672</v>
      </c>
      <c r="C181" t="s">
        <v>1673</v>
      </c>
      <c r="J181">
        <v>4.47</v>
      </c>
      <c r="K181" t="s">
        <v>387</v>
      </c>
    </row>
    <row r="182" spans="2:11">
      <c r="B182" t="s">
        <v>1674</v>
      </c>
      <c r="C182" t="s">
        <v>1675</v>
      </c>
      <c r="J182">
        <v>4.47</v>
      </c>
      <c r="K182" t="s">
        <v>387</v>
      </c>
    </row>
    <row r="183" spans="2:11">
      <c r="B183" t="s">
        <v>1676</v>
      </c>
      <c r="C183" t="s">
        <v>1677</v>
      </c>
      <c r="J183">
        <v>4.47</v>
      </c>
      <c r="K183" t="s">
        <v>387</v>
      </c>
    </row>
    <row r="184" spans="2:11">
      <c r="B184" t="s">
        <v>1678</v>
      </c>
      <c r="C184" t="s">
        <v>1679</v>
      </c>
      <c r="J184">
        <v>6.22</v>
      </c>
      <c r="K184" t="s">
        <v>387</v>
      </c>
    </row>
    <row r="185" spans="2:11">
      <c r="B185" t="s">
        <v>1680</v>
      </c>
      <c r="C185" t="s">
        <v>1681</v>
      </c>
      <c r="J185">
        <v>6.22</v>
      </c>
      <c r="K185" t="s">
        <v>387</v>
      </c>
    </row>
    <row r="186" spans="2:11">
      <c r="B186" t="s">
        <v>1682</v>
      </c>
      <c r="C186" t="s">
        <v>1683</v>
      </c>
      <c r="J186">
        <v>6.22</v>
      </c>
      <c r="K186" t="s">
        <v>387</v>
      </c>
    </row>
    <row r="187" spans="2:11">
      <c r="B187" t="s">
        <v>1684</v>
      </c>
      <c r="C187" t="s">
        <v>1685</v>
      </c>
      <c r="J187">
        <v>6.22</v>
      </c>
      <c r="K187" t="s">
        <v>387</v>
      </c>
    </row>
    <row r="188" spans="2:11">
      <c r="B188" t="s">
        <v>1686</v>
      </c>
      <c r="C188" t="s">
        <v>1687</v>
      </c>
      <c r="J188">
        <v>6.22</v>
      </c>
      <c r="K188" t="s">
        <v>387</v>
      </c>
    </row>
    <row r="189" spans="2:11">
      <c r="B189" t="s">
        <v>1686</v>
      </c>
      <c r="C189" t="s">
        <v>1688</v>
      </c>
      <c r="J189">
        <v>6.22</v>
      </c>
      <c r="K189" t="s">
        <v>387</v>
      </c>
    </row>
    <row r="190" spans="2:11">
      <c r="B190" t="s">
        <v>1689</v>
      </c>
      <c r="C190" t="s">
        <v>1690</v>
      </c>
      <c r="J190">
        <v>6.22</v>
      </c>
      <c r="K190" t="s">
        <v>387</v>
      </c>
    </row>
    <row r="191" spans="2:11">
      <c r="B191" t="s">
        <v>1691</v>
      </c>
      <c r="C191" t="s">
        <v>1692</v>
      </c>
      <c r="J191">
        <v>6.22</v>
      </c>
      <c r="K191" t="s">
        <v>387</v>
      </c>
    </row>
    <row r="192" spans="2:11">
      <c r="B192" t="s">
        <v>1693</v>
      </c>
      <c r="C192" t="s">
        <v>1694</v>
      </c>
      <c r="J192">
        <v>6.22</v>
      </c>
      <c r="K192" t="s">
        <v>387</v>
      </c>
    </row>
    <row r="193" spans="2:11">
      <c r="B193" t="s">
        <v>1695</v>
      </c>
      <c r="C193" t="s">
        <v>1696</v>
      </c>
      <c r="J193">
        <v>6.22</v>
      </c>
      <c r="K193" t="s">
        <v>387</v>
      </c>
    </row>
    <row r="194" spans="2:11">
      <c r="B194" t="s">
        <v>1697</v>
      </c>
      <c r="C194" t="s">
        <v>1698</v>
      </c>
      <c r="J194">
        <v>6.22</v>
      </c>
      <c r="K194" t="s">
        <v>387</v>
      </c>
    </row>
    <row r="195" spans="2:11">
      <c r="B195" t="s">
        <v>1699</v>
      </c>
      <c r="C195" t="s">
        <v>1700</v>
      </c>
      <c r="J195">
        <v>6.22</v>
      </c>
      <c r="K195" t="s">
        <v>387</v>
      </c>
    </row>
    <row r="196" spans="2:11">
      <c r="B196" t="s">
        <v>1701</v>
      </c>
      <c r="C196" t="s">
        <v>1702</v>
      </c>
      <c r="J196">
        <v>7.09</v>
      </c>
      <c r="K196" t="s">
        <v>105</v>
      </c>
    </row>
    <row r="197" spans="2:11">
      <c r="B197" t="s">
        <v>1703</v>
      </c>
      <c r="C197" t="s">
        <v>1704</v>
      </c>
      <c r="J197">
        <v>7.09</v>
      </c>
      <c r="K197" t="s">
        <v>105</v>
      </c>
    </row>
    <row r="198" spans="2:11">
      <c r="B198" t="s">
        <v>1705</v>
      </c>
      <c r="C198" t="s">
        <v>1706</v>
      </c>
      <c r="J198">
        <v>7.09</v>
      </c>
      <c r="K198" t="s">
        <v>105</v>
      </c>
    </row>
    <row r="199" spans="2:11">
      <c r="B199" t="s">
        <v>1707</v>
      </c>
      <c r="C199" t="s">
        <v>1708</v>
      </c>
      <c r="J199">
        <v>7.09</v>
      </c>
      <c r="K199" t="s">
        <v>105</v>
      </c>
    </row>
    <row r="200" spans="2:11">
      <c r="B200" t="s">
        <v>1709</v>
      </c>
      <c r="C200" t="s">
        <v>1710</v>
      </c>
      <c r="J200">
        <v>7.09</v>
      </c>
      <c r="K200" t="s">
        <v>105</v>
      </c>
    </row>
    <row r="201" spans="2:11">
      <c r="B201" t="s">
        <v>1709</v>
      </c>
      <c r="C201" t="s">
        <v>1711</v>
      </c>
      <c r="J201">
        <v>7.09</v>
      </c>
      <c r="K201" t="s">
        <v>105</v>
      </c>
    </row>
    <row r="202" spans="2:11">
      <c r="B202" t="s">
        <v>1712</v>
      </c>
      <c r="C202" t="s">
        <v>1713</v>
      </c>
      <c r="J202">
        <v>7.09</v>
      </c>
      <c r="K202" t="s">
        <v>105</v>
      </c>
    </row>
    <row r="203" spans="2:11">
      <c r="B203" t="s">
        <v>1714</v>
      </c>
      <c r="C203" t="s">
        <v>1715</v>
      </c>
      <c r="J203">
        <v>7.09</v>
      </c>
      <c r="K203" t="s">
        <v>105</v>
      </c>
    </row>
    <row r="204" spans="2:11">
      <c r="B204" t="s">
        <v>1716</v>
      </c>
      <c r="C204" t="s">
        <v>1717</v>
      </c>
      <c r="J204">
        <v>7.09</v>
      </c>
      <c r="K204" t="s">
        <v>105</v>
      </c>
    </row>
    <row r="205" spans="2:11">
      <c r="B205" t="s">
        <v>1718</v>
      </c>
      <c r="C205" t="s">
        <v>1719</v>
      </c>
      <c r="J205">
        <v>7.09</v>
      </c>
      <c r="K205" t="s">
        <v>105</v>
      </c>
    </row>
    <row r="206" spans="2:11">
      <c r="B206" t="s">
        <v>1720</v>
      </c>
      <c r="C206" t="s">
        <v>1721</v>
      </c>
      <c r="J206">
        <v>7.09</v>
      </c>
      <c r="K206" t="s">
        <v>105</v>
      </c>
    </row>
    <row r="207" spans="2:11">
      <c r="B207" t="s">
        <v>1720</v>
      </c>
      <c r="C207" t="s">
        <v>1722</v>
      </c>
      <c r="J207">
        <v>7.09</v>
      </c>
      <c r="K207" t="s">
        <v>105</v>
      </c>
    </row>
    <row r="208" spans="2:11">
      <c r="B208" t="s">
        <v>1723</v>
      </c>
      <c r="C208" t="s">
        <v>1724</v>
      </c>
      <c r="J208">
        <v>7.09</v>
      </c>
      <c r="K208" t="s">
        <v>105</v>
      </c>
    </row>
    <row r="209" spans="2:11">
      <c r="B209" t="s">
        <v>1725</v>
      </c>
      <c r="C209" t="s">
        <v>1726</v>
      </c>
      <c r="J209">
        <v>7.09</v>
      </c>
      <c r="K209" t="s">
        <v>105</v>
      </c>
    </row>
    <row r="210" spans="2:11">
      <c r="B210" t="s">
        <v>1727</v>
      </c>
      <c r="C210" t="s">
        <v>1728</v>
      </c>
      <c r="J210">
        <v>7.09</v>
      </c>
      <c r="K210" t="s">
        <v>105</v>
      </c>
    </row>
    <row r="211" spans="2:11">
      <c r="B211" t="s">
        <v>1729</v>
      </c>
      <c r="C211" t="s">
        <v>1730</v>
      </c>
      <c r="J211">
        <v>7.09</v>
      </c>
      <c r="K211" t="s">
        <v>105</v>
      </c>
    </row>
    <row r="212" spans="2:11">
      <c r="B212" t="s">
        <v>1731</v>
      </c>
      <c r="C212" t="s">
        <v>1732</v>
      </c>
      <c r="J212">
        <v>7.09</v>
      </c>
      <c r="K212" t="s">
        <v>105</v>
      </c>
    </row>
    <row r="213" spans="2:11">
      <c r="B213" t="s">
        <v>1733</v>
      </c>
      <c r="C213" t="s">
        <v>1734</v>
      </c>
      <c r="J213">
        <v>7.09</v>
      </c>
      <c r="K213" t="s">
        <v>105</v>
      </c>
    </row>
    <row r="214" spans="2:11">
      <c r="B214" t="s">
        <v>1735</v>
      </c>
      <c r="C214" t="s">
        <v>1736</v>
      </c>
      <c r="J214">
        <v>7.09</v>
      </c>
      <c r="K214" t="s">
        <v>105</v>
      </c>
    </row>
    <row r="215" spans="2:11">
      <c r="B215" t="s">
        <v>1737</v>
      </c>
      <c r="C215" t="s">
        <v>1738</v>
      </c>
      <c r="J215">
        <v>7.09</v>
      </c>
      <c r="K215" t="s">
        <v>105</v>
      </c>
    </row>
    <row r="216" spans="2:11">
      <c r="B216" t="s">
        <v>1739</v>
      </c>
      <c r="C216" t="s">
        <v>1740</v>
      </c>
      <c r="J216">
        <v>7.09</v>
      </c>
      <c r="K216" t="s">
        <v>105</v>
      </c>
    </row>
    <row r="217" spans="2:11">
      <c r="B217" t="s">
        <v>1741</v>
      </c>
      <c r="C217" t="s">
        <v>1742</v>
      </c>
      <c r="J217">
        <v>7.09</v>
      </c>
      <c r="K217" t="s">
        <v>105</v>
      </c>
    </row>
    <row r="218" spans="2:11">
      <c r="B218" t="s">
        <v>1733</v>
      </c>
      <c r="C218" t="s">
        <v>129</v>
      </c>
      <c r="J218">
        <v>7.09</v>
      </c>
      <c r="K218" t="s">
        <v>105</v>
      </c>
    </row>
    <row r="219" spans="2:11">
      <c r="B219" t="s">
        <v>1743</v>
      </c>
      <c r="C219" t="s">
        <v>1744</v>
      </c>
      <c r="J219">
        <v>7.09</v>
      </c>
      <c r="K219" t="s">
        <v>105</v>
      </c>
    </row>
    <row r="220" spans="2:11">
      <c r="B220" t="s">
        <v>1745</v>
      </c>
      <c r="C220" t="s">
        <v>1746</v>
      </c>
      <c r="J220">
        <v>7.09</v>
      </c>
      <c r="K220" t="s">
        <v>105</v>
      </c>
    </row>
    <row r="221" spans="2:11">
      <c r="B221" t="s">
        <v>1747</v>
      </c>
      <c r="C221" t="s">
        <v>1748</v>
      </c>
      <c r="J221">
        <v>7.09</v>
      </c>
      <c r="K221" t="s">
        <v>105</v>
      </c>
    </row>
    <row r="222" spans="2:11">
      <c r="B222" t="s">
        <v>1749</v>
      </c>
      <c r="C222" t="s">
        <v>1750</v>
      </c>
      <c r="J222">
        <v>7.09</v>
      </c>
      <c r="K222" t="s">
        <v>105</v>
      </c>
    </row>
    <row r="223" spans="2:11">
      <c r="B223" t="s">
        <v>1751</v>
      </c>
      <c r="C223" t="s">
        <v>1752</v>
      </c>
      <c r="J223">
        <v>7.09</v>
      </c>
      <c r="K223" t="s">
        <v>105</v>
      </c>
    </row>
    <row r="224" spans="2:11">
      <c r="B224" t="s">
        <v>1751</v>
      </c>
      <c r="C224" t="s">
        <v>1753</v>
      </c>
      <c r="J224">
        <v>7.09</v>
      </c>
      <c r="K224" t="s">
        <v>105</v>
      </c>
    </row>
    <row r="225" spans="2:11">
      <c r="B225" t="s">
        <v>1754</v>
      </c>
      <c r="C225" t="s">
        <v>1755</v>
      </c>
      <c r="J225">
        <v>7.09</v>
      </c>
      <c r="K225" t="s">
        <v>105</v>
      </c>
    </row>
    <row r="226" spans="2:11">
      <c r="B226" t="s">
        <v>1756</v>
      </c>
      <c r="C226" t="s">
        <v>1757</v>
      </c>
      <c r="J226">
        <v>7.09</v>
      </c>
      <c r="K226" t="s">
        <v>105</v>
      </c>
    </row>
    <row r="227" spans="2:11">
      <c r="B227" t="s">
        <v>1758</v>
      </c>
      <c r="C227" t="s">
        <v>1759</v>
      </c>
      <c r="J227">
        <v>7.09</v>
      </c>
      <c r="K227" t="s">
        <v>105</v>
      </c>
    </row>
    <row r="228" spans="2:11">
      <c r="B228" t="s">
        <v>1760</v>
      </c>
      <c r="C228" t="s">
        <v>1761</v>
      </c>
      <c r="J228">
        <v>7.09</v>
      </c>
      <c r="K228" t="s">
        <v>105</v>
      </c>
    </row>
    <row r="229" spans="2:11">
      <c r="B229" t="s">
        <v>1762</v>
      </c>
      <c r="C229" t="s">
        <v>1763</v>
      </c>
      <c r="J229">
        <v>7.09</v>
      </c>
      <c r="K229" t="s">
        <v>105</v>
      </c>
    </row>
    <row r="230" spans="2:11">
      <c r="B230" t="s">
        <v>1762</v>
      </c>
      <c r="C230" t="s">
        <v>1764</v>
      </c>
      <c r="J230">
        <v>7.09</v>
      </c>
      <c r="K230" t="s">
        <v>105</v>
      </c>
    </row>
    <row r="231" spans="2:11">
      <c r="B231" t="s">
        <v>1765</v>
      </c>
      <c r="C231" t="s">
        <v>1766</v>
      </c>
      <c r="J231">
        <v>7.09</v>
      </c>
      <c r="K231" t="s">
        <v>105</v>
      </c>
    </row>
    <row r="232" spans="2:11">
      <c r="B232" t="s">
        <v>1767</v>
      </c>
      <c r="C232" t="s">
        <v>1768</v>
      </c>
      <c r="J232">
        <v>7.09</v>
      </c>
      <c r="K232" t="s">
        <v>105</v>
      </c>
    </row>
    <row r="233" spans="2:11">
      <c r="B233" t="s">
        <v>1769</v>
      </c>
      <c r="C233" t="s">
        <v>1770</v>
      </c>
      <c r="J233">
        <v>7.09</v>
      </c>
      <c r="K233" t="s">
        <v>105</v>
      </c>
    </row>
    <row r="234" spans="2:11">
      <c r="B234" t="s">
        <v>1771</v>
      </c>
      <c r="C234" t="s">
        <v>1772</v>
      </c>
      <c r="J234">
        <v>7.09</v>
      </c>
      <c r="K234" t="s">
        <v>105</v>
      </c>
    </row>
    <row r="235" spans="2:11">
      <c r="B235" t="s">
        <v>1773</v>
      </c>
      <c r="C235" t="s">
        <v>1774</v>
      </c>
      <c r="J235">
        <v>7.09</v>
      </c>
      <c r="K235" t="s">
        <v>105</v>
      </c>
    </row>
    <row r="236" spans="2:11">
      <c r="B236" t="s">
        <v>1775</v>
      </c>
      <c r="C236" t="s">
        <v>1776</v>
      </c>
      <c r="J236">
        <v>9.16</v>
      </c>
      <c r="K236" t="s">
        <v>387</v>
      </c>
    </row>
    <row r="237" spans="2:11">
      <c r="B237" t="s">
        <v>1775</v>
      </c>
      <c r="C237" t="s">
        <v>1777</v>
      </c>
      <c r="J237">
        <v>9.16</v>
      </c>
      <c r="K237" t="s">
        <v>387</v>
      </c>
    </row>
    <row r="238" spans="2:11">
      <c r="B238" t="s">
        <v>1775</v>
      </c>
      <c r="C238" t="s">
        <v>1778</v>
      </c>
      <c r="J238">
        <v>9.16</v>
      </c>
      <c r="K238" t="s">
        <v>387</v>
      </c>
    </row>
    <row r="239" spans="2:11">
      <c r="B239" t="s">
        <v>1775</v>
      </c>
      <c r="C239" t="s">
        <v>1779</v>
      </c>
      <c r="J239">
        <v>9.16</v>
      </c>
      <c r="K239" t="s">
        <v>387</v>
      </c>
    </row>
    <row r="240" spans="2:11">
      <c r="B240" t="s">
        <v>1775</v>
      </c>
      <c r="C240" t="s">
        <v>1780</v>
      </c>
      <c r="J240">
        <v>9.16</v>
      </c>
      <c r="K240" t="s">
        <v>387</v>
      </c>
    </row>
    <row r="241" spans="2:11">
      <c r="B241" t="s">
        <v>1775</v>
      </c>
      <c r="C241" t="s">
        <v>1781</v>
      </c>
      <c r="J241">
        <v>9.16</v>
      </c>
      <c r="K241" t="s">
        <v>387</v>
      </c>
    </row>
    <row r="242" spans="2:11">
      <c r="B242" t="s">
        <v>1775</v>
      </c>
      <c r="C242" t="s">
        <v>1782</v>
      </c>
      <c r="J242">
        <v>9.16</v>
      </c>
      <c r="K242" t="s">
        <v>387</v>
      </c>
    </row>
    <row r="243" spans="2:11">
      <c r="B243" t="s">
        <v>1775</v>
      </c>
      <c r="C243" t="s">
        <v>1783</v>
      </c>
      <c r="J243">
        <v>9.16</v>
      </c>
      <c r="K243" t="s">
        <v>387</v>
      </c>
    </row>
    <row r="244" spans="2:11">
      <c r="B244" t="s">
        <v>1775</v>
      </c>
      <c r="C244" t="s">
        <v>1784</v>
      </c>
      <c r="J244">
        <v>9.16</v>
      </c>
      <c r="K244" t="s">
        <v>387</v>
      </c>
    </row>
    <row r="245" spans="2:11">
      <c r="B245" t="s">
        <v>1775</v>
      </c>
      <c r="C245" t="s">
        <v>1785</v>
      </c>
      <c r="J245">
        <v>9.16</v>
      </c>
      <c r="K245" t="s">
        <v>387</v>
      </c>
    </row>
    <row r="246" spans="2:11">
      <c r="B246" t="s">
        <v>1775</v>
      </c>
      <c r="C246" t="s">
        <v>1786</v>
      </c>
      <c r="J246">
        <v>9.16</v>
      </c>
      <c r="K246" t="s">
        <v>387</v>
      </c>
    </row>
    <row r="247" spans="2:11">
      <c r="B247" t="s">
        <v>1775</v>
      </c>
      <c r="C247" t="s">
        <v>1787</v>
      </c>
      <c r="J247">
        <v>9.16</v>
      </c>
      <c r="K247" t="s">
        <v>387</v>
      </c>
    </row>
    <row r="248" spans="2:11">
      <c r="B248" t="s">
        <v>1775</v>
      </c>
      <c r="C248" t="s">
        <v>1788</v>
      </c>
      <c r="J248">
        <v>9.16</v>
      </c>
      <c r="K248" t="s">
        <v>387</v>
      </c>
    </row>
    <row r="249" spans="2:11">
      <c r="B249" t="s">
        <v>1775</v>
      </c>
      <c r="C249" t="s">
        <v>1789</v>
      </c>
      <c r="J249">
        <v>9.16</v>
      </c>
      <c r="K249" t="s">
        <v>387</v>
      </c>
    </row>
    <row r="250" spans="2:11">
      <c r="B250" t="s">
        <v>1775</v>
      </c>
      <c r="C250" t="s">
        <v>1790</v>
      </c>
      <c r="J250">
        <v>9.16</v>
      </c>
      <c r="K250" t="s">
        <v>387</v>
      </c>
    </row>
    <row r="251" spans="2:11">
      <c r="B251" t="s">
        <v>1775</v>
      </c>
      <c r="C251" t="s">
        <v>1791</v>
      </c>
      <c r="J251">
        <v>9.16</v>
      </c>
      <c r="K251" t="s">
        <v>387</v>
      </c>
    </row>
    <row r="252" spans="2:11">
      <c r="B252" t="s">
        <v>1775</v>
      </c>
      <c r="C252" t="s">
        <v>1792</v>
      </c>
      <c r="J252">
        <v>9.16</v>
      </c>
      <c r="K252" t="s">
        <v>387</v>
      </c>
    </row>
    <row r="253" spans="2:11">
      <c r="B253" t="s">
        <v>1775</v>
      </c>
      <c r="C253" t="s">
        <v>1793</v>
      </c>
      <c r="J253">
        <v>9.16</v>
      </c>
      <c r="K253" t="s">
        <v>387</v>
      </c>
    </row>
    <row r="254" spans="2:11">
      <c r="B254" t="s">
        <v>1775</v>
      </c>
      <c r="C254" t="s">
        <v>1794</v>
      </c>
      <c r="J254">
        <v>9.16</v>
      </c>
      <c r="K254" t="s">
        <v>387</v>
      </c>
    </row>
    <row r="255" spans="2:11">
      <c r="B255" t="s">
        <v>1775</v>
      </c>
      <c r="C255" t="s">
        <v>1795</v>
      </c>
      <c r="J255">
        <v>9.16</v>
      </c>
      <c r="K255" t="s">
        <v>387</v>
      </c>
    </row>
    <row r="256" spans="2:11">
      <c r="B256" t="s">
        <v>1775</v>
      </c>
      <c r="C256" t="s">
        <v>1796</v>
      </c>
      <c r="J256">
        <v>9.16</v>
      </c>
      <c r="K256" t="s">
        <v>387</v>
      </c>
    </row>
    <row r="257" spans="2:11">
      <c r="B257" t="s">
        <v>1775</v>
      </c>
      <c r="C257" t="s">
        <v>1797</v>
      </c>
      <c r="J257">
        <v>9.16</v>
      </c>
      <c r="K257" t="s">
        <v>387</v>
      </c>
    </row>
    <row r="258" spans="2:11">
      <c r="B258" t="s">
        <v>1775</v>
      </c>
      <c r="C258" t="s">
        <v>1798</v>
      </c>
      <c r="J258">
        <v>9.16</v>
      </c>
      <c r="K258" t="s">
        <v>387</v>
      </c>
    </row>
    <row r="259" spans="2:11">
      <c r="B259" t="s">
        <v>1775</v>
      </c>
      <c r="C259" t="s">
        <v>1799</v>
      </c>
      <c r="J259">
        <v>9.16</v>
      </c>
      <c r="K259" t="s">
        <v>387</v>
      </c>
    </row>
    <row r="260" spans="2:11">
      <c r="B260" t="s">
        <v>1775</v>
      </c>
      <c r="C260" t="s">
        <v>1800</v>
      </c>
      <c r="J260">
        <v>9.16</v>
      </c>
      <c r="K260" t="s">
        <v>387</v>
      </c>
    </row>
    <row r="261" spans="2:11">
      <c r="B261" t="s">
        <v>1775</v>
      </c>
      <c r="C261" t="s">
        <v>1801</v>
      </c>
      <c r="J261">
        <v>9.16</v>
      </c>
      <c r="K261" t="s">
        <v>387</v>
      </c>
    </row>
    <row r="262" spans="2:11">
      <c r="B262" t="s">
        <v>1775</v>
      </c>
      <c r="C262" t="s">
        <v>1802</v>
      </c>
      <c r="J262">
        <v>9.16</v>
      </c>
      <c r="K262" t="s">
        <v>387</v>
      </c>
    </row>
    <row r="263" spans="2:11">
      <c r="B263" t="s">
        <v>1803</v>
      </c>
      <c r="C263" t="s">
        <v>1804</v>
      </c>
      <c r="J263">
        <v>9.93</v>
      </c>
      <c r="K263" t="s">
        <v>387</v>
      </c>
    </row>
    <row r="264" spans="2:11">
      <c r="B264" t="s">
        <v>1803</v>
      </c>
      <c r="C264" t="s">
        <v>1805</v>
      </c>
      <c r="J264">
        <v>9.93</v>
      </c>
      <c r="K264" t="s">
        <v>387</v>
      </c>
    </row>
    <row r="265" spans="2:11">
      <c r="B265" t="s">
        <v>1803</v>
      </c>
      <c r="C265" t="s">
        <v>1806</v>
      </c>
      <c r="J265">
        <v>9.93</v>
      </c>
      <c r="K265" t="s">
        <v>387</v>
      </c>
    </row>
    <row r="266" spans="2:11">
      <c r="B266" t="s">
        <v>1803</v>
      </c>
      <c r="C266" t="s">
        <v>1807</v>
      </c>
      <c r="J266">
        <v>9.93</v>
      </c>
      <c r="K266" t="s">
        <v>387</v>
      </c>
    </row>
    <row r="267" spans="2:11">
      <c r="B267" t="s">
        <v>1803</v>
      </c>
      <c r="C267" t="s">
        <v>1808</v>
      </c>
      <c r="J267">
        <v>9.93</v>
      </c>
      <c r="K267" t="s">
        <v>387</v>
      </c>
    </row>
    <row r="268" spans="2:11">
      <c r="B268" t="s">
        <v>1803</v>
      </c>
      <c r="C268" t="s">
        <v>1809</v>
      </c>
      <c r="J268">
        <v>9.93</v>
      </c>
      <c r="K268" t="s">
        <v>387</v>
      </c>
    </row>
    <row r="269" spans="2:11">
      <c r="B269" t="s">
        <v>1803</v>
      </c>
      <c r="C269" t="s">
        <v>1810</v>
      </c>
      <c r="J269">
        <v>9.93</v>
      </c>
      <c r="K269" t="s">
        <v>387</v>
      </c>
    </row>
    <row r="270" spans="2:11">
      <c r="B270" t="s">
        <v>1803</v>
      </c>
      <c r="C270" t="s">
        <v>1811</v>
      </c>
      <c r="J270">
        <v>9.93</v>
      </c>
      <c r="K270" t="s">
        <v>387</v>
      </c>
    </row>
    <row r="271" spans="2:11">
      <c r="B271" t="s">
        <v>1803</v>
      </c>
      <c r="C271" t="s">
        <v>1812</v>
      </c>
      <c r="J271">
        <v>9.93</v>
      </c>
      <c r="K271" t="s">
        <v>387</v>
      </c>
    </row>
    <row r="272" spans="2:11">
      <c r="B272" t="s">
        <v>1803</v>
      </c>
      <c r="C272" t="s">
        <v>1813</v>
      </c>
      <c r="J272">
        <v>9.93</v>
      </c>
      <c r="K272" t="s">
        <v>387</v>
      </c>
    </row>
    <row r="273" spans="2:11">
      <c r="B273" t="s">
        <v>1803</v>
      </c>
      <c r="C273" t="s">
        <v>1814</v>
      </c>
      <c r="J273">
        <v>9.93</v>
      </c>
      <c r="K273" t="s">
        <v>387</v>
      </c>
    </row>
    <row r="274" spans="2:11">
      <c r="B274" t="s">
        <v>1803</v>
      </c>
      <c r="C274" t="s">
        <v>1815</v>
      </c>
      <c r="J274">
        <v>9.93</v>
      </c>
      <c r="K274" t="s">
        <v>387</v>
      </c>
    </row>
    <row r="275" spans="2:11">
      <c r="B275" t="s">
        <v>1803</v>
      </c>
      <c r="C275" t="s">
        <v>1816</v>
      </c>
      <c r="J275">
        <v>9.93</v>
      </c>
      <c r="K275" t="s">
        <v>387</v>
      </c>
    </row>
    <row r="276" spans="2:11">
      <c r="B276" t="s">
        <v>1775</v>
      </c>
      <c r="C276" t="s">
        <v>1817</v>
      </c>
      <c r="J276">
        <v>9.16</v>
      </c>
      <c r="K276" t="s">
        <v>387</v>
      </c>
    </row>
    <row r="277" spans="2:11">
      <c r="B277" t="s">
        <v>1803</v>
      </c>
      <c r="C277" t="s">
        <v>1818</v>
      </c>
      <c r="J277">
        <v>9.93</v>
      </c>
      <c r="K277" t="s">
        <v>387</v>
      </c>
    </row>
    <row r="278" spans="2:11">
      <c r="B278" t="s">
        <v>1819</v>
      </c>
      <c r="C278" t="s">
        <v>1820</v>
      </c>
      <c r="J278">
        <v>27.2</v>
      </c>
      <c r="K278" t="s">
        <v>99</v>
      </c>
    </row>
    <row r="279" spans="2:11">
      <c r="B279" t="s">
        <v>1819</v>
      </c>
      <c r="C279" t="s">
        <v>1821</v>
      </c>
      <c r="J279">
        <v>27.2</v>
      </c>
      <c r="K279" t="s">
        <v>99</v>
      </c>
    </row>
    <row r="280" spans="2:11">
      <c r="B280" t="s">
        <v>1819</v>
      </c>
      <c r="C280" t="s">
        <v>1822</v>
      </c>
      <c r="J280">
        <v>27.2</v>
      </c>
      <c r="K280" t="s">
        <v>99</v>
      </c>
    </row>
    <row r="281" spans="2:11">
      <c r="B281" t="s">
        <v>1819</v>
      </c>
      <c r="C281" t="s">
        <v>1823</v>
      </c>
      <c r="J281">
        <v>27.2</v>
      </c>
      <c r="K281" t="s">
        <v>99</v>
      </c>
    </row>
    <row r="282" spans="2:11">
      <c r="B282" t="s">
        <v>1824</v>
      </c>
      <c r="C282" t="s">
        <v>1825</v>
      </c>
      <c r="J282">
        <v>27.2</v>
      </c>
      <c r="K282" t="s">
        <v>99</v>
      </c>
    </row>
    <row r="283" spans="2:11">
      <c r="B283" t="s">
        <v>1826</v>
      </c>
      <c r="C283" t="s">
        <v>1827</v>
      </c>
      <c r="J283">
        <v>27.2</v>
      </c>
      <c r="K283" t="s">
        <v>99</v>
      </c>
    </row>
    <row r="284" spans="2:11">
      <c r="B284" t="s">
        <v>1828</v>
      </c>
      <c r="C284" t="s">
        <v>1829</v>
      </c>
      <c r="J284">
        <v>27.2</v>
      </c>
      <c r="K284" t="s">
        <v>99</v>
      </c>
    </row>
    <row r="285" spans="2:11">
      <c r="B285" t="s">
        <v>1819</v>
      </c>
      <c r="C285" t="s">
        <v>1830</v>
      </c>
      <c r="J285">
        <v>27.2</v>
      </c>
      <c r="K285" t="s">
        <v>99</v>
      </c>
    </row>
    <row r="286" spans="2:11">
      <c r="B286" t="s">
        <v>1831</v>
      </c>
      <c r="C286" t="s">
        <v>1832</v>
      </c>
      <c r="J286">
        <v>27.2</v>
      </c>
      <c r="K286" t="s">
        <v>99</v>
      </c>
    </row>
    <row r="287" spans="2:11">
      <c r="B287" t="s">
        <v>1833</v>
      </c>
      <c r="C287" t="s">
        <v>1834</v>
      </c>
      <c r="J287">
        <v>27.2</v>
      </c>
      <c r="K287" t="s">
        <v>99</v>
      </c>
    </row>
    <row r="288" spans="2:11">
      <c r="B288" t="s">
        <v>1835</v>
      </c>
      <c r="C288" t="s">
        <v>1836</v>
      </c>
      <c r="J288">
        <v>27.2</v>
      </c>
      <c r="K288" t="s">
        <v>99</v>
      </c>
    </row>
    <row r="289" spans="2:11">
      <c r="B289" t="s">
        <v>1837</v>
      </c>
      <c r="C289" t="s">
        <v>1838</v>
      </c>
      <c r="J289">
        <v>27.2</v>
      </c>
      <c r="K289" t="s">
        <v>99</v>
      </c>
    </row>
    <row r="290" spans="2:11">
      <c r="B290" t="s">
        <v>1839</v>
      </c>
      <c r="C290" t="s">
        <v>1840</v>
      </c>
      <c r="J290">
        <v>27.2</v>
      </c>
      <c r="K290" t="s">
        <v>99</v>
      </c>
    </row>
    <row r="291" spans="2:11">
      <c r="B291" t="s">
        <v>1839</v>
      </c>
      <c r="C291" t="s">
        <v>1841</v>
      </c>
      <c r="J291">
        <v>27.2</v>
      </c>
      <c r="K291" t="s">
        <v>99</v>
      </c>
    </row>
    <row r="292" spans="2:11">
      <c r="B292" t="s">
        <v>1842</v>
      </c>
      <c r="C292" t="s">
        <v>1843</v>
      </c>
      <c r="J292">
        <v>27.2</v>
      </c>
      <c r="K292" t="s">
        <v>99</v>
      </c>
    </row>
    <row r="293" spans="2:11">
      <c r="B293" t="s">
        <v>1844</v>
      </c>
      <c r="C293" t="s">
        <v>1845</v>
      </c>
      <c r="J293">
        <v>27.2</v>
      </c>
      <c r="K293" t="s">
        <v>99</v>
      </c>
    </row>
    <row r="294" spans="2:11">
      <c r="B294" t="s">
        <v>1846</v>
      </c>
      <c r="C294" t="s">
        <v>1847</v>
      </c>
      <c r="J294">
        <v>27.2</v>
      </c>
      <c r="K294" t="s">
        <v>99</v>
      </c>
    </row>
    <row r="295" spans="2:11">
      <c r="B295" t="s">
        <v>1848</v>
      </c>
      <c r="C295" t="s">
        <v>1849</v>
      </c>
      <c r="J295">
        <v>27.2</v>
      </c>
      <c r="K295" t="s">
        <v>99</v>
      </c>
    </row>
    <row r="296" spans="2:11">
      <c r="B296" t="s">
        <v>1850</v>
      </c>
      <c r="C296" t="s">
        <v>1851</v>
      </c>
      <c r="J296">
        <v>27.2</v>
      </c>
      <c r="K296" t="s">
        <v>99</v>
      </c>
    </row>
    <row r="297" spans="2:11">
      <c r="B297" t="s">
        <v>1852</v>
      </c>
      <c r="C297" t="s">
        <v>1853</v>
      </c>
      <c r="J297">
        <v>27.2</v>
      </c>
      <c r="K297" t="s">
        <v>99</v>
      </c>
    </row>
    <row r="298" spans="2:11">
      <c r="B298" t="s">
        <v>1854</v>
      </c>
      <c r="C298" t="s">
        <v>1855</v>
      </c>
      <c r="J298">
        <v>27.2</v>
      </c>
      <c r="K298" t="s">
        <v>99</v>
      </c>
    </row>
    <row r="299" spans="2:11">
      <c r="B299" t="s">
        <v>1856</v>
      </c>
      <c r="C299" t="s">
        <v>1857</v>
      </c>
      <c r="J299">
        <v>27.2</v>
      </c>
      <c r="K299" t="s">
        <v>99</v>
      </c>
    </row>
    <row r="300" spans="2:11">
      <c r="B300" t="s">
        <v>1858</v>
      </c>
      <c r="C300" t="s">
        <v>1859</v>
      </c>
      <c r="J300">
        <v>46</v>
      </c>
      <c r="K300" t="s">
        <v>99</v>
      </c>
    </row>
    <row r="301" spans="2:11">
      <c r="B301" t="s">
        <v>1858</v>
      </c>
      <c r="C301" t="s">
        <v>1860</v>
      </c>
      <c r="J301">
        <v>46</v>
      </c>
      <c r="K301" t="s">
        <v>99</v>
      </c>
    </row>
    <row r="302" spans="2:11">
      <c r="B302" t="s">
        <v>1858</v>
      </c>
      <c r="C302" t="s">
        <v>1861</v>
      </c>
      <c r="J302">
        <v>46</v>
      </c>
      <c r="K302" t="s">
        <v>99</v>
      </c>
    </row>
    <row r="303" spans="2:11">
      <c r="B303" t="s">
        <v>1858</v>
      </c>
      <c r="C303" t="s">
        <v>1862</v>
      </c>
      <c r="J303">
        <v>46</v>
      </c>
      <c r="K303" t="s">
        <v>99</v>
      </c>
    </row>
    <row r="304" spans="2:11">
      <c r="B304" t="s">
        <v>1858</v>
      </c>
      <c r="C304" t="s">
        <v>1863</v>
      </c>
      <c r="J304">
        <v>46</v>
      </c>
      <c r="K304" t="s">
        <v>99</v>
      </c>
    </row>
    <row r="305" spans="2:11">
      <c r="B305" t="s">
        <v>1858</v>
      </c>
      <c r="C305" t="s">
        <v>1864</v>
      </c>
      <c r="J305">
        <v>46</v>
      </c>
      <c r="K305" t="s">
        <v>99</v>
      </c>
    </row>
    <row r="306" spans="2:11">
      <c r="B306" t="s">
        <v>1858</v>
      </c>
      <c r="C306" t="s">
        <v>1865</v>
      </c>
      <c r="J306">
        <v>46</v>
      </c>
      <c r="K306" t="s">
        <v>99</v>
      </c>
    </row>
    <row r="307" spans="2:11">
      <c r="B307" t="s">
        <v>1858</v>
      </c>
      <c r="C307" t="s">
        <v>1866</v>
      </c>
      <c r="J307">
        <v>46</v>
      </c>
      <c r="K307" t="s">
        <v>99</v>
      </c>
    </row>
    <row r="308" spans="2:11">
      <c r="B308" t="s">
        <v>1867</v>
      </c>
      <c r="C308" t="s">
        <v>1868</v>
      </c>
      <c r="J308">
        <v>15.89</v>
      </c>
      <c r="K308" t="s">
        <v>387</v>
      </c>
    </row>
    <row r="309" spans="2:11">
      <c r="B309" t="s">
        <v>1869</v>
      </c>
      <c r="C309" t="s">
        <v>1870</v>
      </c>
      <c r="J309">
        <v>15.89</v>
      </c>
      <c r="K309" t="s">
        <v>387</v>
      </c>
    </row>
    <row r="310" spans="2:11">
      <c r="B310" t="s">
        <v>1824</v>
      </c>
      <c r="C310" t="s">
        <v>1827</v>
      </c>
      <c r="J310">
        <v>27.2</v>
      </c>
      <c r="K310" t="s">
        <v>99</v>
      </c>
    </row>
    <row r="311" spans="2:11">
      <c r="B311" t="s">
        <v>1824</v>
      </c>
      <c r="C311" t="s">
        <v>1829</v>
      </c>
      <c r="J311">
        <v>27.2</v>
      </c>
      <c r="K311" t="s">
        <v>99</v>
      </c>
    </row>
    <row r="312" spans="2:11">
      <c r="B312" t="s">
        <v>1828</v>
      </c>
      <c r="C312" t="s">
        <v>1830</v>
      </c>
      <c r="J312">
        <v>27.2</v>
      </c>
      <c r="K312" t="s">
        <v>99</v>
      </c>
    </row>
    <row r="313" spans="2:11">
      <c r="B313" t="s">
        <v>1826</v>
      </c>
      <c r="C313" t="s">
        <v>1829</v>
      </c>
      <c r="J313">
        <v>27.2</v>
      </c>
      <c r="K313" t="s">
        <v>99</v>
      </c>
    </row>
    <row r="314" spans="2:11">
      <c r="B314" t="s">
        <v>1826</v>
      </c>
      <c r="C314" t="s">
        <v>1830</v>
      </c>
      <c r="J314">
        <v>27.2</v>
      </c>
      <c r="K314" t="s">
        <v>99</v>
      </c>
    </row>
    <row r="315" spans="2:11">
      <c r="B315" t="s">
        <v>1826</v>
      </c>
      <c r="C315" t="s">
        <v>1871</v>
      </c>
      <c r="J315">
        <v>27.2</v>
      </c>
      <c r="K315" t="s">
        <v>99</v>
      </c>
    </row>
    <row r="316" spans="2:11">
      <c r="B316" t="s">
        <v>1819</v>
      </c>
      <c r="C316" t="s">
        <v>1872</v>
      </c>
      <c r="J316">
        <v>27.2</v>
      </c>
      <c r="K316" t="s">
        <v>99</v>
      </c>
    </row>
    <row r="317" spans="2:11">
      <c r="B317" t="s">
        <v>1819</v>
      </c>
      <c r="C317" t="s">
        <v>1873</v>
      </c>
      <c r="J317">
        <v>27.2</v>
      </c>
      <c r="K317" t="s">
        <v>99</v>
      </c>
    </row>
    <row r="318" spans="2:11">
      <c r="B318" t="s">
        <v>1819</v>
      </c>
      <c r="C318" t="s">
        <v>1874</v>
      </c>
      <c r="J318">
        <v>27.2</v>
      </c>
      <c r="K318" t="s">
        <v>99</v>
      </c>
    </row>
    <row r="319" spans="2:11">
      <c r="B319" t="s">
        <v>1819</v>
      </c>
      <c r="C319" t="s">
        <v>1875</v>
      </c>
      <c r="J319">
        <v>27.2</v>
      </c>
      <c r="K319" t="s">
        <v>99</v>
      </c>
    </row>
    <row r="320" spans="2:11">
      <c r="B320" t="s">
        <v>1819</v>
      </c>
      <c r="C320" t="s">
        <v>1876</v>
      </c>
      <c r="J320">
        <v>27.2</v>
      </c>
      <c r="K320" t="s">
        <v>99</v>
      </c>
    </row>
    <row r="321" spans="2:11">
      <c r="B321" t="s">
        <v>1819</v>
      </c>
      <c r="C321" t="s">
        <v>1877</v>
      </c>
      <c r="J321">
        <v>27.2</v>
      </c>
      <c r="K321" t="s">
        <v>99</v>
      </c>
    </row>
    <row r="322" spans="2:11">
      <c r="B322" t="s">
        <v>1878</v>
      </c>
      <c r="C322" t="s">
        <v>1879</v>
      </c>
      <c r="J322">
        <v>27.2</v>
      </c>
      <c r="K322" t="s">
        <v>99</v>
      </c>
    </row>
    <row r="323" spans="2:11">
      <c r="B323" t="s">
        <v>1878</v>
      </c>
      <c r="C323" t="s">
        <v>1880</v>
      </c>
      <c r="J323">
        <v>27.2</v>
      </c>
      <c r="K323" t="s">
        <v>99</v>
      </c>
    </row>
    <row r="324" spans="2:11">
      <c r="B324" t="s">
        <v>1878</v>
      </c>
      <c r="C324" t="s">
        <v>1881</v>
      </c>
      <c r="J324">
        <v>27.2</v>
      </c>
      <c r="K324" t="s">
        <v>99</v>
      </c>
    </row>
    <row r="325" spans="2:11">
      <c r="B325" t="s">
        <v>1878</v>
      </c>
      <c r="C325" t="s">
        <v>1882</v>
      </c>
      <c r="J325">
        <v>27.2</v>
      </c>
      <c r="K325" t="s">
        <v>99</v>
      </c>
    </row>
    <row r="326" spans="2:11">
      <c r="B326" t="s">
        <v>1878</v>
      </c>
      <c r="C326" t="s">
        <v>1883</v>
      </c>
      <c r="J326">
        <v>27.2</v>
      </c>
      <c r="K326" t="s">
        <v>99</v>
      </c>
    </row>
    <row r="327" spans="2:11">
      <c r="B327" t="s">
        <v>1878</v>
      </c>
      <c r="C327" t="s">
        <v>1884</v>
      </c>
      <c r="J327">
        <v>27.2</v>
      </c>
      <c r="K327" t="s">
        <v>99</v>
      </c>
    </row>
    <row r="328" spans="2:11">
      <c r="B328" t="s">
        <v>1878</v>
      </c>
      <c r="C328" t="s">
        <v>1885</v>
      </c>
      <c r="J328">
        <v>27.2</v>
      </c>
      <c r="K328" t="s">
        <v>99</v>
      </c>
    </row>
    <row r="329" spans="2:11">
      <c r="B329" t="s">
        <v>1819</v>
      </c>
      <c r="C329" t="s">
        <v>1886</v>
      </c>
      <c r="J329">
        <v>27.2</v>
      </c>
      <c r="K329" t="s">
        <v>99</v>
      </c>
    </row>
    <row r="330" spans="2:11">
      <c r="B330" t="s">
        <v>1887</v>
      </c>
      <c r="C330" t="s">
        <v>1877</v>
      </c>
      <c r="J330">
        <v>27.2</v>
      </c>
      <c r="K330" t="s">
        <v>99</v>
      </c>
    </row>
    <row r="331" spans="2:11">
      <c r="B331" t="s">
        <v>1887</v>
      </c>
      <c r="C331" t="s">
        <v>1879</v>
      </c>
      <c r="J331">
        <v>27.2</v>
      </c>
      <c r="K331" t="s">
        <v>99</v>
      </c>
    </row>
    <row r="332" spans="2:11">
      <c r="B332" t="s">
        <v>1887</v>
      </c>
      <c r="C332" t="s">
        <v>1880</v>
      </c>
      <c r="J332">
        <v>27.2</v>
      </c>
      <c r="K332" t="s">
        <v>99</v>
      </c>
    </row>
    <row r="333" spans="2:11">
      <c r="B333" t="s">
        <v>1887</v>
      </c>
      <c r="C333" t="s">
        <v>1881</v>
      </c>
      <c r="J333">
        <v>27.2</v>
      </c>
      <c r="K333" t="s">
        <v>99</v>
      </c>
    </row>
    <row r="334" spans="2:11">
      <c r="B334" t="s">
        <v>1887</v>
      </c>
      <c r="C334" t="s">
        <v>1882</v>
      </c>
      <c r="J334">
        <v>27.2</v>
      </c>
      <c r="K334" t="s">
        <v>99</v>
      </c>
    </row>
    <row r="335" spans="2:11">
      <c r="B335" t="s">
        <v>1887</v>
      </c>
      <c r="C335" t="s">
        <v>1883</v>
      </c>
      <c r="J335">
        <v>27.2</v>
      </c>
      <c r="K335" t="s">
        <v>99</v>
      </c>
    </row>
    <row r="336" spans="2:11">
      <c r="B336" t="s">
        <v>1887</v>
      </c>
      <c r="C336" t="s">
        <v>1884</v>
      </c>
      <c r="J336">
        <v>27.2</v>
      </c>
      <c r="K336" t="s">
        <v>99</v>
      </c>
    </row>
    <row r="337" spans="2:11">
      <c r="B337" t="s">
        <v>1887</v>
      </c>
      <c r="C337" t="s">
        <v>1885</v>
      </c>
      <c r="J337">
        <v>27.2</v>
      </c>
      <c r="K337" t="s">
        <v>99</v>
      </c>
    </row>
    <row r="338" spans="2:11">
      <c r="B338" t="s">
        <v>1888</v>
      </c>
      <c r="C338" t="s">
        <v>374</v>
      </c>
      <c r="J338">
        <v>6.91</v>
      </c>
      <c r="K338" t="s">
        <v>105</v>
      </c>
    </row>
    <row r="339" spans="2:11">
      <c r="B339" t="s">
        <v>1888</v>
      </c>
      <c r="C339" t="s">
        <v>1889</v>
      </c>
      <c r="J339">
        <v>7.02</v>
      </c>
      <c r="K339" t="s">
        <v>99</v>
      </c>
    </row>
    <row r="340" spans="2:11">
      <c r="B340" t="s">
        <v>1888</v>
      </c>
      <c r="C340" t="s">
        <v>1890</v>
      </c>
      <c r="J340">
        <v>7</v>
      </c>
      <c r="K340" t="s">
        <v>98</v>
      </c>
    </row>
    <row r="341" spans="2:11">
      <c r="B341" t="s">
        <v>1891</v>
      </c>
      <c r="C341" t="s">
        <v>1891</v>
      </c>
      <c r="J341">
        <v>41.862295081967218</v>
      </c>
      <c r="K341" t="s">
        <v>1309</v>
      </c>
    </row>
    <row r="342" spans="2:11">
      <c r="B342" t="s">
        <v>1892</v>
      </c>
      <c r="C342" t="s">
        <v>1892</v>
      </c>
      <c r="J342">
        <v>36.569987389659516</v>
      </c>
      <c r="K342" t="s">
        <v>1309</v>
      </c>
    </row>
  </sheetData>
  <sheetProtection selectLockedCells="1"/>
  <mergeCells count="4">
    <mergeCell ref="C6:G6"/>
    <mergeCell ref="A2:M2"/>
    <mergeCell ref="B4:B5"/>
    <mergeCell ref="C4:G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E373-432D-453C-BA1C-95B93E00C32C}">
  <sheetPr codeName="Folha4">
    <tabColor theme="0"/>
  </sheetPr>
  <dimension ref="A1:AE267"/>
  <sheetViews>
    <sheetView showGridLines="0" topLeftCell="B1" zoomScale="90" zoomScaleNormal="90" workbookViewId="0">
      <selection activeCell="G8" sqref="G8"/>
    </sheetView>
  </sheetViews>
  <sheetFormatPr defaultRowHeight="15"/>
  <cols>
    <col min="1" max="1" width="67.140625" customWidth="1"/>
    <col min="2" max="2" width="41.140625" customWidth="1"/>
    <col min="3" max="3" width="33.28515625" customWidth="1"/>
    <col min="4" max="4" width="61.5703125" customWidth="1"/>
    <col min="5" max="5" width="64.42578125" customWidth="1"/>
    <col min="6" max="6" width="23.5703125" customWidth="1"/>
    <col min="7" max="7" width="47.5703125" customWidth="1"/>
    <col min="8" max="8" width="23.5703125" customWidth="1"/>
    <col min="9" max="9" width="69.28515625" customWidth="1"/>
    <col min="10" max="10" width="19" customWidth="1"/>
    <col min="11" max="11" width="15.140625" customWidth="1"/>
    <col min="13" max="13" width="61.28515625" customWidth="1"/>
    <col min="14" max="14" width="27.5703125" customWidth="1"/>
    <col min="24" max="24" width="36.5703125" customWidth="1"/>
    <col min="26" max="26" width="46.5703125" customWidth="1"/>
    <col min="27" max="27" width="34.85546875" customWidth="1"/>
    <col min="28" max="28" width="43.85546875" customWidth="1"/>
    <col min="29" max="29" width="41.7109375" customWidth="1"/>
    <col min="30" max="30" width="44.85546875" customWidth="1"/>
    <col min="31" max="31" width="41.5703125" customWidth="1"/>
  </cols>
  <sheetData>
    <row r="1" spans="1:31">
      <c r="Z1" t="str" cm="1">
        <f t="array" aca="1" ref="Z1" ca="1">_xlfn._xlws.FILTER('Preços_Placas &amp; Seccionadora'!$A$7:$A$200, ISNUMBER(FIND(Orçamento_Cozinhas!E13, 'Preços_Placas &amp; Seccionadora'!$A$7:$A$200)), "Sem resultados")</f>
        <v>Sem resultados</v>
      </c>
      <c r="AA1" t="str" cm="1">
        <f t="array" aca="1" ref="AA1" ca="1">_xlfn._xlws.FILTER('Preços_Placas &amp; Seccionadora'!$A$7:$A$200, ISNUMBER(FIND(Orçamento_Cozinhas!D28, 'Preços_Placas &amp; Seccionadora'!$A$7:$A$200)), "Sem resultados")</f>
        <v>Sem resultados</v>
      </c>
      <c r="AB1" t="str" cm="1">
        <f t="array" aca="1" ref="AB1" ca="1">_xlfn._xlws.FILTER('Preços_Placas &amp; Seccionadora'!$A$7:$A$200, ISNUMBER(FIND(Orçamento_Cozinhas!E69, 'Preços_Placas &amp; Seccionadora'!$A$7:$A$200)), "Sem resultados")</f>
        <v>Sem resultados</v>
      </c>
      <c r="AC1" t="str" cm="1">
        <f t="array" aca="1" ref="AC1" ca="1">_xlfn._xlws.FILTER('Preços_Placas &amp; Seccionadora'!$A$7:$A$200, ISNUMBER(FIND(Orçamento_Cozinhas!D84, 'Preços_Placas &amp; Seccionadora'!$A$7:$A$200)), "Sem resultados")</f>
        <v>Sem resultados</v>
      </c>
      <c r="AD1" t="str" cm="1">
        <f t="array" aca="1" ref="AD1" ca="1">_xlfn._xlws.FILTER('Preços_Placas &amp; Seccionadora'!$A$7:$A$200, ISNUMBER(FIND(Orçamento_Cozinhas!E123, 'Preços_Placas &amp; Seccionadora'!$A$7:$A$200)), "Sem resultados")</f>
        <v>Sem resultados</v>
      </c>
      <c r="AE1" t="str" cm="1">
        <f t="array" aca="1" ref="AE1" ca="1">_xlfn._xlws.FILTER('Preços_Placas &amp; Seccionadora'!$A$7:$A$200, ISNUMBER(FIND(Orçamento_Cozinhas!D138, 'Preços_Placas &amp; Seccionadora'!$A$7:$A$200)), "Sem resultados")</f>
        <v>Sem resultados</v>
      </c>
    </row>
    <row r="2" spans="1:31" ht="26.25">
      <c r="A2" s="473" t="s">
        <v>1310</v>
      </c>
      <c r="B2" s="473"/>
      <c r="C2" s="473"/>
      <c r="D2" s="473"/>
      <c r="E2" s="473"/>
      <c r="F2" s="473"/>
      <c r="G2" s="411" t="s">
        <v>1593</v>
      </c>
      <c r="H2" s="413">
        <v>0.45</v>
      </c>
      <c r="I2" s="307"/>
      <c r="J2" s="307"/>
    </row>
    <row r="3" spans="1:31" ht="21">
      <c r="G3" s="272" t="s">
        <v>1594</v>
      </c>
      <c r="H3" s="412">
        <v>2</v>
      </c>
    </row>
    <row r="4" spans="1:31">
      <c r="A4" s="6"/>
      <c r="B4" s="5"/>
      <c r="C4" s="5"/>
      <c r="D4" s="5"/>
      <c r="E4" s="82"/>
      <c r="F4" s="9"/>
      <c r="G4" s="9"/>
      <c r="H4" s="9"/>
      <c r="I4" s="5"/>
      <c r="J4" s="166"/>
    </row>
    <row r="5" spans="1:31">
      <c r="A5" s="6"/>
      <c r="B5" s="5"/>
      <c r="C5" s="5"/>
      <c r="D5" s="5"/>
      <c r="E5" s="82"/>
      <c r="F5" s="9"/>
      <c r="G5" s="9"/>
      <c r="H5" s="9"/>
      <c r="I5" s="5"/>
      <c r="J5" s="166"/>
    </row>
    <row r="6" spans="1:31">
      <c r="A6" s="151" t="s">
        <v>1429</v>
      </c>
      <c r="B6" s="151" t="s">
        <v>1529</v>
      </c>
      <c r="C6" s="151" t="s">
        <v>1530</v>
      </c>
      <c r="D6" s="151" t="s">
        <v>1531</v>
      </c>
      <c r="E6" s="306" t="s">
        <v>1532</v>
      </c>
      <c r="F6" s="151" t="s">
        <v>1322</v>
      </c>
      <c r="G6" s="151" t="s">
        <v>1595</v>
      </c>
      <c r="H6" s="9"/>
      <c r="J6" s="166"/>
    </row>
    <row r="7" spans="1:31">
      <c r="A7" t="e" cm="1" vm="1">
        <f t="array" aca="1" ref="A7" ca="1">_xlfn.UNIQUE(_xlfn._xlws.FILTER('Base_Fornecedores Madeiras'!B14:B144,'Base_Fornecedores Madeiras'!B14:B144&lt;&gt;""))</f>
        <v>#VALUE!</v>
      </c>
      <c r="B7" s="287">
        <v>5.08</v>
      </c>
      <c r="C7" s="5" t="s">
        <v>98</v>
      </c>
      <c r="D7" s="5" t="s">
        <v>319</v>
      </c>
      <c r="E7" s="308">
        <f>IF(B7&gt;0, B7+2.02, "")</f>
        <v>7.1</v>
      </c>
      <c r="F7" s="309">
        <f>IF(E7&lt;&gt;"", E7 * (1 + $H$3), "")</f>
        <v>21.299999999999997</v>
      </c>
      <c r="G7" s="309">
        <f>IF(E7&lt;&gt;"", E7 * (1 + $H$2), "")</f>
        <v>10.295</v>
      </c>
      <c r="H7" s="80"/>
      <c r="J7" s="166"/>
    </row>
    <row r="8" spans="1:31">
      <c r="A8" s="6"/>
      <c r="B8" s="287">
        <v>7.46</v>
      </c>
      <c r="C8" s="5" t="s">
        <v>98</v>
      </c>
      <c r="D8" s="5" t="s">
        <v>50</v>
      </c>
      <c r="E8" s="308">
        <f>IF(B8&gt;0, B8+2.02, "")</f>
        <v>9.48</v>
      </c>
      <c r="F8" s="309">
        <f>IF(E8&lt;&gt;"", E8 * (1 + $H$3), "")</f>
        <v>28.44</v>
      </c>
      <c r="G8" s="309">
        <f t="shared" ref="G8:G71" si="0">IF(E8&lt;&gt;"", E8 * (1 + $H$2), "")</f>
        <v>13.746</v>
      </c>
      <c r="H8" s="80"/>
      <c r="J8" s="166"/>
    </row>
    <row r="9" spans="1:31">
      <c r="A9" s="6"/>
      <c r="B9" s="287">
        <v>9.17</v>
      </c>
      <c r="C9" s="5" t="s">
        <v>105</v>
      </c>
      <c r="D9" s="5" t="s">
        <v>1432</v>
      </c>
      <c r="E9" s="308">
        <f t="shared" ref="E9:E71" si="1">IF(B9&gt;0, B9+2.02, "")</f>
        <v>11.19</v>
      </c>
      <c r="F9" s="309">
        <f t="shared" ref="F9:F72" si="2">IF(E9&lt;&gt;"", E9 * (1 + $H$3), "")</f>
        <v>33.57</v>
      </c>
      <c r="G9" s="309">
        <f t="shared" si="0"/>
        <v>16.2255</v>
      </c>
      <c r="H9" s="80"/>
      <c r="J9" s="166"/>
    </row>
    <row r="10" spans="1:31">
      <c r="A10" s="6"/>
      <c r="B10" s="287">
        <v>10.47</v>
      </c>
      <c r="C10" s="5" t="s">
        <v>98</v>
      </c>
      <c r="D10" s="5" t="s">
        <v>52</v>
      </c>
      <c r="E10" s="308">
        <f>IF(B10&gt;0, B10+2.02, "")</f>
        <v>12.49</v>
      </c>
      <c r="F10" s="309">
        <f t="shared" si="2"/>
        <v>37.47</v>
      </c>
      <c r="G10" s="309">
        <f t="shared" si="0"/>
        <v>18.110499999999998</v>
      </c>
      <c r="H10" s="80"/>
      <c r="J10" s="166"/>
    </row>
    <row r="11" spans="1:31">
      <c r="A11" s="6"/>
      <c r="B11" s="287">
        <v>24.81</v>
      </c>
      <c r="C11" s="5" t="s">
        <v>98</v>
      </c>
      <c r="D11" s="5" t="s">
        <v>95</v>
      </c>
      <c r="E11" s="308">
        <f t="shared" si="1"/>
        <v>26.83</v>
      </c>
      <c r="F11" s="309">
        <f t="shared" si="2"/>
        <v>80.489999999999995</v>
      </c>
      <c r="G11" s="309">
        <f t="shared" si="0"/>
        <v>38.903499999999994</v>
      </c>
      <c r="H11" s="80"/>
      <c r="J11" s="166"/>
    </row>
    <row r="12" spans="1:31">
      <c r="A12" s="6"/>
      <c r="B12" s="287">
        <v>6.46</v>
      </c>
      <c r="C12" s="5" t="s">
        <v>98</v>
      </c>
      <c r="D12" s="5" t="s">
        <v>111</v>
      </c>
      <c r="E12" s="308">
        <f t="shared" si="1"/>
        <v>8.48</v>
      </c>
      <c r="F12" s="309">
        <f t="shared" si="2"/>
        <v>25.44</v>
      </c>
      <c r="G12" s="309">
        <f t="shared" si="0"/>
        <v>12.295999999999999</v>
      </c>
      <c r="H12" s="80"/>
      <c r="J12" s="166"/>
    </row>
    <row r="13" spans="1:31">
      <c r="A13" s="6"/>
      <c r="B13" s="287">
        <v>6.8</v>
      </c>
      <c r="C13" s="5" t="s">
        <v>1304</v>
      </c>
      <c r="D13" s="5" t="s">
        <v>1518</v>
      </c>
      <c r="E13" s="308">
        <f t="shared" si="1"/>
        <v>8.82</v>
      </c>
      <c r="F13" s="309">
        <f t="shared" si="2"/>
        <v>26.46</v>
      </c>
      <c r="G13" s="309">
        <f t="shared" si="0"/>
        <v>12.789</v>
      </c>
      <c r="H13" s="80"/>
      <c r="J13" s="166"/>
    </row>
    <row r="14" spans="1:31">
      <c r="A14" s="6"/>
      <c r="B14" s="287">
        <v>6.8</v>
      </c>
      <c r="C14" s="5" t="s">
        <v>1304</v>
      </c>
      <c r="D14" s="5" t="s">
        <v>1303</v>
      </c>
      <c r="E14" s="308">
        <f t="shared" si="1"/>
        <v>8.82</v>
      </c>
      <c r="F14" s="309">
        <f t="shared" si="2"/>
        <v>26.46</v>
      </c>
      <c r="G14" s="309">
        <f t="shared" si="0"/>
        <v>12.789</v>
      </c>
      <c r="H14" s="80"/>
      <c r="J14" s="166"/>
    </row>
    <row r="15" spans="1:31">
      <c r="A15" s="6"/>
      <c r="B15" s="287">
        <v>4.7699999999999996</v>
      </c>
      <c r="C15" s="5" t="s">
        <v>98</v>
      </c>
      <c r="D15" s="5" t="s">
        <v>114</v>
      </c>
      <c r="E15" s="308">
        <f t="shared" si="1"/>
        <v>6.7899999999999991</v>
      </c>
      <c r="F15" s="309">
        <f t="shared" si="2"/>
        <v>20.369999999999997</v>
      </c>
      <c r="G15" s="309">
        <f t="shared" si="0"/>
        <v>9.8454999999999977</v>
      </c>
      <c r="H15" s="80"/>
      <c r="J15" s="166"/>
    </row>
    <row r="16" spans="1:31">
      <c r="A16" s="6"/>
      <c r="B16" s="287">
        <v>4.7880722337244137</v>
      </c>
      <c r="C16" s="5" t="s">
        <v>105</v>
      </c>
      <c r="D16" s="5" t="s">
        <v>384</v>
      </c>
      <c r="E16" s="308">
        <f t="shared" si="1"/>
        <v>6.8080722337244133</v>
      </c>
      <c r="F16" s="309">
        <f t="shared" si="2"/>
        <v>20.42421670117324</v>
      </c>
      <c r="G16" s="309">
        <f t="shared" si="0"/>
        <v>9.8717047389003998</v>
      </c>
      <c r="H16" s="80"/>
      <c r="J16" s="166"/>
    </row>
    <row r="17" spans="1:10">
      <c r="A17" s="6"/>
      <c r="B17" s="287">
        <v>5.34</v>
      </c>
      <c r="C17" s="5" t="s">
        <v>98</v>
      </c>
      <c r="D17" s="5" t="s">
        <v>116</v>
      </c>
      <c r="E17" s="308">
        <f t="shared" si="1"/>
        <v>7.3599999999999994</v>
      </c>
      <c r="F17" s="309">
        <f t="shared" si="2"/>
        <v>22.08</v>
      </c>
      <c r="G17" s="309">
        <f t="shared" si="0"/>
        <v>10.671999999999999</v>
      </c>
      <c r="H17" s="80"/>
      <c r="J17" s="166"/>
    </row>
    <row r="18" spans="1:10">
      <c r="A18" s="6"/>
      <c r="B18" s="287">
        <v>4.8657119852772031</v>
      </c>
      <c r="C18" s="5" t="s">
        <v>105</v>
      </c>
      <c r="D18" s="5" t="s">
        <v>101</v>
      </c>
      <c r="E18" s="308">
        <f t="shared" si="1"/>
        <v>6.8857119852772026</v>
      </c>
      <c r="F18" s="309">
        <f t="shared" si="2"/>
        <v>20.657135955831606</v>
      </c>
      <c r="G18" s="309">
        <f t="shared" si="0"/>
        <v>9.9842823786519439</v>
      </c>
      <c r="H18" s="80"/>
      <c r="J18" s="166"/>
    </row>
    <row r="19" spans="1:10">
      <c r="A19" s="6"/>
      <c r="B19" s="287">
        <v>5.2976190476190474</v>
      </c>
      <c r="C19" s="5" t="s">
        <v>105</v>
      </c>
      <c r="D19" s="5" t="s">
        <v>100</v>
      </c>
      <c r="E19" s="308">
        <f t="shared" si="1"/>
        <v>7.317619047619047</v>
      </c>
      <c r="F19" s="309">
        <f t="shared" si="2"/>
        <v>21.952857142857141</v>
      </c>
      <c r="G19" s="309">
        <f t="shared" si="0"/>
        <v>10.610547619047617</v>
      </c>
      <c r="H19" s="80"/>
      <c r="J19" s="166"/>
    </row>
    <row r="20" spans="1:10">
      <c r="A20" s="6"/>
      <c r="B20" s="287">
        <v>13.846000993541979</v>
      </c>
      <c r="C20" s="5" t="s">
        <v>98</v>
      </c>
      <c r="D20" s="5" t="s">
        <v>96</v>
      </c>
      <c r="E20" s="308">
        <f t="shared" si="1"/>
        <v>15.866000993541979</v>
      </c>
      <c r="F20" s="309">
        <f t="shared" si="2"/>
        <v>47.598002980625935</v>
      </c>
      <c r="G20" s="309">
        <f t="shared" si="0"/>
        <v>23.005701440635868</v>
      </c>
      <c r="H20" s="80"/>
      <c r="J20" s="166"/>
    </row>
    <row r="21" spans="1:10" ht="17.25" customHeight="1">
      <c r="A21" s="6"/>
      <c r="B21" s="287">
        <v>14.766020864381522</v>
      </c>
      <c r="C21" s="5" t="s">
        <v>98</v>
      </c>
      <c r="D21" s="5" t="s">
        <v>97</v>
      </c>
      <c r="E21" s="308">
        <f t="shared" si="1"/>
        <v>16.786020864381523</v>
      </c>
      <c r="F21" s="309">
        <f t="shared" si="2"/>
        <v>50.358062593144567</v>
      </c>
      <c r="G21" s="309">
        <f t="shared" si="0"/>
        <v>24.33973025335321</v>
      </c>
      <c r="H21" s="80"/>
      <c r="J21" s="166"/>
    </row>
    <row r="22" spans="1:10" ht="17.25" customHeight="1">
      <c r="A22" s="6"/>
      <c r="B22" s="287">
        <v>4.47</v>
      </c>
      <c r="C22" s="5" t="s">
        <v>99</v>
      </c>
      <c r="D22" s="5" t="s">
        <v>121</v>
      </c>
      <c r="E22" s="308">
        <f t="shared" si="1"/>
        <v>6.49</v>
      </c>
      <c r="F22" s="309">
        <f t="shared" si="2"/>
        <v>19.47</v>
      </c>
      <c r="G22" s="309">
        <f t="shared" si="0"/>
        <v>9.4105000000000008</v>
      </c>
      <c r="H22" s="80"/>
      <c r="J22" s="166"/>
    </row>
    <row r="23" spans="1:10">
      <c r="A23" s="6"/>
      <c r="B23" s="287">
        <v>6.22</v>
      </c>
      <c r="C23" s="5" t="s">
        <v>99</v>
      </c>
      <c r="D23" s="5" t="s">
        <v>122</v>
      </c>
      <c r="E23" s="308">
        <f t="shared" si="1"/>
        <v>8.24</v>
      </c>
      <c r="F23" s="309">
        <f t="shared" si="2"/>
        <v>24.72</v>
      </c>
      <c r="G23" s="309">
        <f t="shared" si="0"/>
        <v>11.948</v>
      </c>
      <c r="H23" s="80"/>
      <c r="J23" s="166"/>
    </row>
    <row r="24" spans="1:10">
      <c r="A24" s="6"/>
      <c r="B24" s="287">
        <v>6.405225586611456</v>
      </c>
      <c r="C24" s="5" t="s">
        <v>105</v>
      </c>
      <c r="D24" s="5" t="s">
        <v>374</v>
      </c>
      <c r="E24" s="308">
        <f t="shared" si="1"/>
        <v>8.4252255866114556</v>
      </c>
      <c r="F24" s="309">
        <f t="shared" si="2"/>
        <v>25.275676759834369</v>
      </c>
      <c r="G24" s="309">
        <f t="shared" si="0"/>
        <v>12.21657710058661</v>
      </c>
      <c r="H24" s="80"/>
      <c r="J24" s="166"/>
    </row>
    <row r="25" spans="1:10">
      <c r="A25" s="6"/>
      <c r="B25" s="287">
        <v>6.4519172705314007</v>
      </c>
      <c r="C25" s="5" t="s">
        <v>105</v>
      </c>
      <c r="D25" s="5" t="s">
        <v>106</v>
      </c>
      <c r="E25" s="308">
        <f t="shared" si="1"/>
        <v>8.4719172705314012</v>
      </c>
      <c r="F25" s="309">
        <f t="shared" si="2"/>
        <v>25.415751811594205</v>
      </c>
      <c r="G25" s="309">
        <f t="shared" si="0"/>
        <v>12.284280042270531</v>
      </c>
      <c r="H25" s="80"/>
      <c r="J25" s="166"/>
    </row>
    <row r="26" spans="1:10">
      <c r="A26" s="6"/>
      <c r="B26" s="287">
        <v>5.16</v>
      </c>
      <c r="C26" s="5" t="s">
        <v>99</v>
      </c>
      <c r="D26" s="5" t="s">
        <v>125</v>
      </c>
      <c r="E26" s="308">
        <f t="shared" si="1"/>
        <v>7.18</v>
      </c>
      <c r="F26" s="309">
        <f t="shared" si="2"/>
        <v>21.54</v>
      </c>
      <c r="G26" s="309">
        <f t="shared" si="0"/>
        <v>10.411</v>
      </c>
      <c r="H26" s="80"/>
      <c r="J26" s="166"/>
    </row>
    <row r="27" spans="1:10">
      <c r="A27" s="6"/>
      <c r="B27" s="287">
        <v>9.93</v>
      </c>
      <c r="C27" s="5" t="s">
        <v>99</v>
      </c>
      <c r="D27" s="5" t="s">
        <v>102</v>
      </c>
      <c r="E27" s="308">
        <f t="shared" si="1"/>
        <v>11.95</v>
      </c>
      <c r="F27" s="309">
        <f t="shared" si="2"/>
        <v>35.849999999999994</v>
      </c>
      <c r="G27" s="309">
        <f t="shared" si="0"/>
        <v>17.327499999999997</v>
      </c>
      <c r="H27" s="80"/>
      <c r="J27" s="166"/>
    </row>
    <row r="28" spans="1:10">
      <c r="A28" s="6"/>
      <c r="B28" s="287">
        <v>9.16</v>
      </c>
      <c r="C28" s="5" t="s">
        <v>99</v>
      </c>
      <c r="D28" s="5" t="s">
        <v>103</v>
      </c>
      <c r="E28" s="308">
        <f t="shared" si="1"/>
        <v>11.18</v>
      </c>
      <c r="F28" s="309">
        <f t="shared" si="2"/>
        <v>33.54</v>
      </c>
      <c r="G28" s="309">
        <f t="shared" si="0"/>
        <v>16.210999999999999</v>
      </c>
      <c r="H28" s="80"/>
      <c r="J28" s="166"/>
    </row>
    <row r="29" spans="1:10">
      <c r="A29" s="6"/>
      <c r="B29" s="287">
        <v>6.4899283988957901</v>
      </c>
      <c r="C29" s="5" t="s">
        <v>105</v>
      </c>
      <c r="D29" s="5" t="s">
        <v>104</v>
      </c>
      <c r="E29" s="308">
        <f t="shared" si="1"/>
        <v>8.5099283988957897</v>
      </c>
      <c r="F29" s="309">
        <f t="shared" si="2"/>
        <v>25.529785196687371</v>
      </c>
      <c r="G29" s="309">
        <f t="shared" si="0"/>
        <v>12.339396178398895</v>
      </c>
      <c r="H29" s="80"/>
      <c r="J29" s="166"/>
    </row>
    <row r="30" spans="1:10">
      <c r="A30" s="6"/>
      <c r="B30" s="287">
        <v>6.039222452265931</v>
      </c>
      <c r="C30" s="5" t="s">
        <v>105</v>
      </c>
      <c r="D30" s="5" t="s">
        <v>126</v>
      </c>
      <c r="E30" s="308">
        <f t="shared" si="1"/>
        <v>8.0592224522659315</v>
      </c>
      <c r="F30" s="309">
        <f t="shared" si="2"/>
        <v>24.177667356797794</v>
      </c>
      <c r="G30" s="309">
        <f t="shared" si="0"/>
        <v>11.6858725557856</v>
      </c>
      <c r="H30" s="80"/>
      <c r="J30" s="166"/>
    </row>
    <row r="31" spans="1:10">
      <c r="A31" s="6"/>
      <c r="B31" s="287">
        <v>6.63</v>
      </c>
      <c r="C31" s="5" t="s">
        <v>105</v>
      </c>
      <c r="D31" s="5" t="s">
        <v>375</v>
      </c>
      <c r="E31" s="308">
        <f t="shared" si="1"/>
        <v>8.65</v>
      </c>
      <c r="F31" s="309">
        <f t="shared" si="2"/>
        <v>25.950000000000003</v>
      </c>
      <c r="G31" s="309">
        <f t="shared" si="0"/>
        <v>12.5425</v>
      </c>
      <c r="H31" s="80"/>
      <c r="J31" s="166"/>
    </row>
    <row r="32" spans="1:10">
      <c r="A32" s="6"/>
      <c r="B32" s="287">
        <v>6.57</v>
      </c>
      <c r="C32" s="5" t="s">
        <v>105</v>
      </c>
      <c r="D32" s="5" t="s">
        <v>378</v>
      </c>
      <c r="E32" s="308">
        <f t="shared" si="1"/>
        <v>8.59</v>
      </c>
      <c r="F32" s="309">
        <f t="shared" si="2"/>
        <v>25.77</v>
      </c>
      <c r="G32" s="309">
        <f t="shared" si="0"/>
        <v>12.455499999999999</v>
      </c>
      <c r="H32" s="80"/>
      <c r="J32" s="166"/>
    </row>
    <row r="33" spans="1:10">
      <c r="A33" s="6"/>
      <c r="B33" s="287">
        <v>7.09</v>
      </c>
      <c r="C33" s="5" t="s">
        <v>105</v>
      </c>
      <c r="D33" s="5" t="s">
        <v>129</v>
      </c>
      <c r="E33" s="308">
        <f t="shared" si="1"/>
        <v>9.11</v>
      </c>
      <c r="F33" s="309">
        <f t="shared" si="2"/>
        <v>27.33</v>
      </c>
      <c r="G33" s="309">
        <f t="shared" si="0"/>
        <v>13.209499999999998</v>
      </c>
      <c r="H33" s="80"/>
      <c r="J33" s="166"/>
    </row>
    <row r="34" spans="1:10">
      <c r="A34" s="6"/>
      <c r="B34" s="287">
        <v>28.32</v>
      </c>
      <c r="C34" s="5" t="s">
        <v>98</v>
      </c>
      <c r="D34" s="5" t="s">
        <v>312</v>
      </c>
      <c r="E34" s="308">
        <f t="shared" si="1"/>
        <v>30.34</v>
      </c>
      <c r="F34" s="309">
        <f t="shared" si="2"/>
        <v>91.02</v>
      </c>
      <c r="G34" s="309">
        <f t="shared" si="0"/>
        <v>43.992999999999995</v>
      </c>
      <c r="H34" s="80"/>
      <c r="J34" s="166"/>
    </row>
    <row r="35" spans="1:10">
      <c r="A35" s="6"/>
      <c r="B35" s="287">
        <v>25.017600000000002</v>
      </c>
      <c r="C35" s="5" t="s">
        <v>98</v>
      </c>
      <c r="D35" s="5" t="s">
        <v>314</v>
      </c>
      <c r="E35" s="308">
        <f t="shared" si="1"/>
        <v>27.037600000000001</v>
      </c>
      <c r="F35" s="309">
        <f t="shared" si="2"/>
        <v>81.112800000000007</v>
      </c>
      <c r="G35" s="309">
        <f t="shared" si="0"/>
        <v>39.204520000000002</v>
      </c>
      <c r="H35" s="80"/>
      <c r="J35" s="166"/>
    </row>
    <row r="36" spans="1:10">
      <c r="A36" s="6"/>
      <c r="B36" s="287">
        <v>26.390755173340494</v>
      </c>
      <c r="C36" s="5" t="s">
        <v>98</v>
      </c>
      <c r="D36" s="5" t="s">
        <v>316</v>
      </c>
      <c r="E36" s="308">
        <f t="shared" si="1"/>
        <v>28.410755173340494</v>
      </c>
      <c r="F36" s="309">
        <f t="shared" si="2"/>
        <v>85.232265520021485</v>
      </c>
      <c r="G36" s="309">
        <f t="shared" si="0"/>
        <v>41.195595001343712</v>
      </c>
      <c r="H36" s="80"/>
      <c r="J36" s="166"/>
    </row>
    <row r="37" spans="1:10">
      <c r="A37" s="6"/>
      <c r="B37" s="287">
        <v>34.285714285714285</v>
      </c>
      <c r="C37" s="5" t="s">
        <v>98</v>
      </c>
      <c r="D37" s="5" t="s">
        <v>317</v>
      </c>
      <c r="E37" s="308">
        <f t="shared" si="1"/>
        <v>36.305714285714288</v>
      </c>
      <c r="F37" s="309">
        <f t="shared" si="2"/>
        <v>108.91714285714286</v>
      </c>
      <c r="G37" s="309">
        <f t="shared" si="0"/>
        <v>52.643285714285717</v>
      </c>
      <c r="H37" s="80"/>
      <c r="J37" s="166"/>
    </row>
    <row r="38" spans="1:10">
      <c r="A38" s="6"/>
      <c r="B38" s="287">
        <v>12.31968</v>
      </c>
      <c r="C38" s="5" t="s">
        <v>98</v>
      </c>
      <c r="D38" s="5" t="s">
        <v>320</v>
      </c>
      <c r="E38" s="308">
        <f t="shared" si="1"/>
        <v>14.33968</v>
      </c>
      <c r="F38" s="309">
        <f t="shared" si="2"/>
        <v>43.019039999999997</v>
      </c>
      <c r="G38" s="309">
        <f t="shared" si="0"/>
        <v>20.792535999999998</v>
      </c>
      <c r="H38" s="80"/>
      <c r="J38" s="166"/>
    </row>
    <row r="39" spans="1:10">
      <c r="A39" s="6"/>
      <c r="B39" s="287">
        <v>15.449577744659711</v>
      </c>
      <c r="C39" s="5" t="s">
        <v>98</v>
      </c>
      <c r="D39" s="5" t="s">
        <v>321</v>
      </c>
      <c r="E39" s="308">
        <f t="shared" si="1"/>
        <v>17.469577744659713</v>
      </c>
      <c r="F39" s="309">
        <f t="shared" si="2"/>
        <v>52.408733233979135</v>
      </c>
      <c r="G39" s="309">
        <f t="shared" si="0"/>
        <v>25.330887729756583</v>
      </c>
      <c r="H39" s="80"/>
      <c r="J39" s="166"/>
    </row>
    <row r="40" spans="1:10">
      <c r="A40" s="6"/>
      <c r="B40" s="287">
        <v>26.53170731707317</v>
      </c>
      <c r="C40" s="5" t="s">
        <v>98</v>
      </c>
      <c r="D40" s="5" t="s">
        <v>325</v>
      </c>
      <c r="E40" s="308">
        <f t="shared" si="1"/>
        <v>28.55170731707317</v>
      </c>
      <c r="F40" s="309">
        <f t="shared" si="2"/>
        <v>85.655121951219513</v>
      </c>
      <c r="G40" s="309">
        <f t="shared" si="0"/>
        <v>41.399975609756098</v>
      </c>
      <c r="H40" s="80"/>
      <c r="J40" s="166"/>
    </row>
    <row r="41" spans="1:10">
      <c r="A41" s="6"/>
      <c r="B41" s="287">
        <v>5.0999999999999996</v>
      </c>
      <c r="C41" s="5" t="s">
        <v>98</v>
      </c>
      <c r="D41" s="5" t="s">
        <v>327</v>
      </c>
      <c r="E41" s="308">
        <f t="shared" si="1"/>
        <v>7.1199999999999992</v>
      </c>
      <c r="F41" s="309">
        <f t="shared" si="2"/>
        <v>21.36</v>
      </c>
      <c r="G41" s="309">
        <f t="shared" si="0"/>
        <v>10.323999999999998</v>
      </c>
      <c r="H41" s="80"/>
      <c r="J41" s="166"/>
    </row>
    <row r="42" spans="1:10">
      <c r="A42" s="6"/>
      <c r="B42" s="287">
        <v>32.739200000000004</v>
      </c>
      <c r="C42" s="5" t="s">
        <v>98</v>
      </c>
      <c r="D42" s="5" t="s">
        <v>329</v>
      </c>
      <c r="E42" s="308">
        <f t="shared" si="1"/>
        <v>34.759200000000007</v>
      </c>
      <c r="F42" s="309">
        <f t="shared" si="2"/>
        <v>104.27760000000002</v>
      </c>
      <c r="G42" s="309">
        <f t="shared" si="0"/>
        <v>50.400840000000009</v>
      </c>
      <c r="H42" s="80"/>
      <c r="J42" s="166"/>
    </row>
    <row r="43" spans="1:10">
      <c r="A43" s="6"/>
      <c r="B43" s="287">
        <v>18.169954313356627</v>
      </c>
      <c r="C43" s="5" t="s">
        <v>98</v>
      </c>
      <c r="D43" s="5" t="s">
        <v>331</v>
      </c>
      <c r="E43" s="308">
        <f t="shared" si="1"/>
        <v>20.189954313356626</v>
      </c>
      <c r="F43" s="309">
        <f t="shared" si="2"/>
        <v>60.569862940069882</v>
      </c>
      <c r="G43" s="309">
        <f t="shared" si="0"/>
        <v>29.275433754367107</v>
      </c>
      <c r="H43" s="80"/>
      <c r="J43" s="166"/>
    </row>
    <row r="44" spans="1:10">
      <c r="A44" s="6"/>
      <c r="B44" s="287">
        <v>23.5808</v>
      </c>
      <c r="C44" s="5" t="s">
        <v>98</v>
      </c>
      <c r="D44" s="5" t="s">
        <v>332</v>
      </c>
      <c r="E44" s="308">
        <f t="shared" si="1"/>
        <v>25.6008</v>
      </c>
      <c r="F44" s="309">
        <f t="shared" si="2"/>
        <v>76.802400000000006</v>
      </c>
      <c r="G44" s="309">
        <f t="shared" si="0"/>
        <v>37.121159999999996</v>
      </c>
      <c r="H44" s="80"/>
      <c r="J44" s="166"/>
    </row>
    <row r="45" spans="1:10">
      <c r="A45" s="6"/>
      <c r="B45" s="287">
        <v>15.924490809736712</v>
      </c>
      <c r="C45" s="5" t="s">
        <v>98</v>
      </c>
      <c r="D45" s="5" t="s">
        <v>333</v>
      </c>
      <c r="E45" s="308">
        <f t="shared" si="1"/>
        <v>17.944490809736713</v>
      </c>
      <c r="F45" s="309">
        <f t="shared" si="2"/>
        <v>53.83347242921014</v>
      </c>
      <c r="G45" s="309">
        <f t="shared" si="0"/>
        <v>26.019511674118235</v>
      </c>
      <c r="H45" s="80"/>
      <c r="J45" s="166"/>
    </row>
    <row r="46" spans="1:10">
      <c r="A46" s="6"/>
      <c r="B46" s="287">
        <v>11.38</v>
      </c>
      <c r="C46" s="5" t="s">
        <v>98</v>
      </c>
      <c r="D46" s="5" t="s">
        <v>336</v>
      </c>
      <c r="E46" s="308">
        <f t="shared" si="1"/>
        <v>13.4</v>
      </c>
      <c r="F46" s="309">
        <f t="shared" si="2"/>
        <v>40.200000000000003</v>
      </c>
      <c r="G46" s="309">
        <f t="shared" si="0"/>
        <v>19.43</v>
      </c>
      <c r="H46" s="80"/>
      <c r="J46" s="166"/>
    </row>
    <row r="47" spans="1:10">
      <c r="A47" s="6"/>
      <c r="B47" s="287">
        <v>20.52955787382017</v>
      </c>
      <c r="C47" s="5" t="s">
        <v>98</v>
      </c>
      <c r="D47" s="5" t="s">
        <v>337</v>
      </c>
      <c r="E47" s="308">
        <f t="shared" si="1"/>
        <v>22.54955787382017</v>
      </c>
      <c r="F47" s="309">
        <f t="shared" si="2"/>
        <v>67.648673621460517</v>
      </c>
      <c r="G47" s="309">
        <f t="shared" si="0"/>
        <v>32.696858917039243</v>
      </c>
      <c r="H47" s="80"/>
      <c r="J47" s="166"/>
    </row>
    <row r="48" spans="1:10">
      <c r="A48" s="6"/>
      <c r="B48" s="287">
        <v>12.14</v>
      </c>
      <c r="C48" s="5" t="s">
        <v>98</v>
      </c>
      <c r="D48" s="5" t="s">
        <v>338</v>
      </c>
      <c r="E48" s="308">
        <f t="shared" si="1"/>
        <v>14.16</v>
      </c>
      <c r="F48" s="309">
        <f t="shared" si="2"/>
        <v>42.480000000000004</v>
      </c>
      <c r="G48" s="309">
        <f t="shared" si="0"/>
        <v>20.532</v>
      </c>
      <c r="H48" s="80"/>
      <c r="J48" s="166"/>
    </row>
    <row r="49" spans="1:10">
      <c r="A49" s="6"/>
      <c r="B49" s="287">
        <v>14.85377049180328</v>
      </c>
      <c r="C49" s="5" t="s">
        <v>98</v>
      </c>
      <c r="D49" s="5" t="s">
        <v>339</v>
      </c>
      <c r="E49" s="308">
        <f t="shared" si="1"/>
        <v>16.873770491803281</v>
      </c>
      <c r="F49" s="309">
        <f t="shared" si="2"/>
        <v>50.62131147540984</v>
      </c>
      <c r="G49" s="309">
        <f t="shared" si="0"/>
        <v>24.466967213114756</v>
      </c>
      <c r="H49" s="80"/>
      <c r="J49" s="166"/>
    </row>
    <row r="50" spans="1:10">
      <c r="A50" s="6"/>
      <c r="B50" s="287">
        <v>34.850069013112495</v>
      </c>
      <c r="C50" s="5" t="s">
        <v>98</v>
      </c>
      <c r="D50" s="5" t="s">
        <v>341</v>
      </c>
      <c r="E50" s="308">
        <f t="shared" si="1"/>
        <v>36.870069013112499</v>
      </c>
      <c r="F50" s="309">
        <f t="shared" si="2"/>
        <v>110.6102070393375</v>
      </c>
      <c r="G50" s="309">
        <f t="shared" si="0"/>
        <v>53.461600069013123</v>
      </c>
      <c r="H50" s="80"/>
      <c r="J50" s="166"/>
    </row>
    <row r="51" spans="1:10">
      <c r="A51" s="6"/>
      <c r="B51" s="287">
        <v>14.560041407867494</v>
      </c>
      <c r="C51" s="5" t="s">
        <v>98</v>
      </c>
      <c r="D51" s="5" t="s">
        <v>342</v>
      </c>
      <c r="E51" s="308">
        <f t="shared" si="1"/>
        <v>16.580041407867494</v>
      </c>
      <c r="F51" s="309">
        <f t="shared" si="2"/>
        <v>49.740124223602479</v>
      </c>
      <c r="G51" s="309">
        <f t="shared" si="0"/>
        <v>24.041060041407867</v>
      </c>
      <c r="H51" s="80"/>
      <c r="J51" s="166"/>
    </row>
    <row r="52" spans="1:10">
      <c r="A52" s="6"/>
      <c r="B52" s="287">
        <v>19.386186509002957</v>
      </c>
      <c r="C52" s="5" t="s">
        <v>98</v>
      </c>
      <c r="D52" s="5" t="s">
        <v>343</v>
      </c>
      <c r="E52" s="308">
        <f t="shared" si="1"/>
        <v>21.406186509002957</v>
      </c>
      <c r="F52" s="309">
        <f t="shared" si="2"/>
        <v>64.218559527008864</v>
      </c>
      <c r="G52" s="309">
        <f t="shared" si="0"/>
        <v>31.038970438054285</v>
      </c>
      <c r="H52" s="80"/>
      <c r="J52" s="166"/>
    </row>
    <row r="53" spans="1:10">
      <c r="A53" s="6"/>
      <c r="B53" s="287">
        <v>2.5441514215569812</v>
      </c>
      <c r="C53" s="5" t="s">
        <v>98</v>
      </c>
      <c r="D53" s="5" t="s">
        <v>344</v>
      </c>
      <c r="E53" s="308">
        <f t="shared" si="1"/>
        <v>4.5641514215569812</v>
      </c>
      <c r="F53" s="309">
        <f t="shared" si="2"/>
        <v>13.692454264670943</v>
      </c>
      <c r="G53" s="309">
        <f t="shared" si="0"/>
        <v>6.6180195612576229</v>
      </c>
      <c r="H53" s="80"/>
      <c r="J53" s="166"/>
    </row>
    <row r="54" spans="1:10">
      <c r="A54" s="6"/>
      <c r="B54" s="287">
        <v>5.82</v>
      </c>
      <c r="C54" s="5" t="s">
        <v>98</v>
      </c>
      <c r="D54" s="5" t="s">
        <v>345</v>
      </c>
      <c r="E54" s="308">
        <f t="shared" si="1"/>
        <v>7.84</v>
      </c>
      <c r="F54" s="309">
        <f t="shared" si="2"/>
        <v>23.52</v>
      </c>
      <c r="G54" s="309">
        <f t="shared" si="0"/>
        <v>11.368</v>
      </c>
      <c r="H54" s="80"/>
      <c r="J54" s="166"/>
    </row>
    <row r="55" spans="1:10">
      <c r="A55" s="6"/>
      <c r="B55" s="287">
        <v>25.305514157973175</v>
      </c>
      <c r="C55" s="5" t="s">
        <v>98</v>
      </c>
      <c r="D55" s="5" t="s">
        <v>347</v>
      </c>
      <c r="E55" s="308">
        <f t="shared" si="1"/>
        <v>27.325514157973174</v>
      </c>
      <c r="F55" s="309">
        <f t="shared" si="2"/>
        <v>81.976542473919523</v>
      </c>
      <c r="G55" s="309">
        <f t="shared" si="0"/>
        <v>39.621995529061103</v>
      </c>
      <c r="H55" s="80"/>
      <c r="J55" s="166"/>
    </row>
    <row r="56" spans="1:10">
      <c r="B56" s="287">
        <v>21.561599999999999</v>
      </c>
      <c r="C56" s="5" t="s">
        <v>98</v>
      </c>
      <c r="D56" s="5" t="s">
        <v>348</v>
      </c>
      <c r="E56" s="308">
        <f t="shared" si="1"/>
        <v>23.581599999999998</v>
      </c>
      <c r="F56" s="309">
        <f t="shared" si="2"/>
        <v>70.744799999999998</v>
      </c>
      <c r="G56" s="309">
        <f t="shared" si="0"/>
        <v>34.193319999999993</v>
      </c>
      <c r="H56" s="80"/>
    </row>
    <row r="57" spans="1:10" ht="15.75" thickBot="1">
      <c r="B57" s="287">
        <v>12.729899930986887</v>
      </c>
      <c r="C57" s="5" t="s">
        <v>105</v>
      </c>
      <c r="D57" s="5" t="s">
        <v>352</v>
      </c>
      <c r="E57" s="308">
        <f t="shared" si="1"/>
        <v>14.749899930986887</v>
      </c>
      <c r="F57" s="309">
        <f t="shared" si="2"/>
        <v>44.249699792960662</v>
      </c>
      <c r="G57" s="309">
        <f t="shared" si="0"/>
        <v>21.387354899930987</v>
      </c>
      <c r="H57" s="80"/>
    </row>
    <row r="58" spans="1:10" ht="15.75" thickBot="1">
      <c r="B58" s="287">
        <v>21.963423050379571</v>
      </c>
      <c r="C58" s="5" t="s">
        <v>105</v>
      </c>
      <c r="D58" s="5" t="s">
        <v>350</v>
      </c>
      <c r="E58" s="308">
        <f t="shared" si="1"/>
        <v>23.983423050379571</v>
      </c>
      <c r="F58" s="309">
        <f t="shared" si="2"/>
        <v>71.950269151138713</v>
      </c>
      <c r="G58" s="309">
        <f t="shared" si="0"/>
        <v>34.775963423050378</v>
      </c>
      <c r="H58" s="80"/>
      <c r="I58" s="484" t="s">
        <v>1320</v>
      </c>
      <c r="J58" s="485"/>
    </row>
    <row r="59" spans="1:10" ht="15.75" thickBot="1">
      <c r="B59" s="287">
        <v>11.235334713595584</v>
      </c>
      <c r="C59" s="5" t="s">
        <v>105</v>
      </c>
      <c r="D59" s="5" t="s">
        <v>351</v>
      </c>
      <c r="E59" s="308">
        <f t="shared" si="1"/>
        <v>13.255334713595584</v>
      </c>
      <c r="F59" s="309">
        <f t="shared" si="2"/>
        <v>39.766004140786748</v>
      </c>
      <c r="G59" s="309">
        <f t="shared" si="0"/>
        <v>19.220235334713596</v>
      </c>
      <c r="H59" s="80"/>
      <c r="I59" s="311" t="s">
        <v>1321</v>
      </c>
      <c r="J59" s="170" t="s">
        <v>15</v>
      </c>
    </row>
    <row r="60" spans="1:10">
      <c r="B60" s="287">
        <v>12.815734989648032</v>
      </c>
      <c r="C60" s="5" t="s">
        <v>105</v>
      </c>
      <c r="D60" s="5" t="s">
        <v>354</v>
      </c>
      <c r="E60" s="308">
        <f t="shared" si="1"/>
        <v>14.835734989648032</v>
      </c>
      <c r="F60" s="309">
        <f t="shared" si="2"/>
        <v>44.507204968944095</v>
      </c>
      <c r="G60" s="309">
        <f t="shared" si="0"/>
        <v>21.511815734989646</v>
      </c>
      <c r="H60" s="80"/>
      <c r="I60" s="58" t="s">
        <v>1430</v>
      </c>
      <c r="J60" s="135" t="str">
        <f>IF(I60="", "", IF(OR(ISNUMBER(FIND("MDF", I60)), ISNUMBER(FIND("Folheado", I60)), ISNUMBER(FIND("Tricapa", I60)), ISNUMBER(FIND("Contraplacado", I60)), ISNUMBER(FIND("Valchromat", I60))), "Livre", "Não Pintar"))</f>
        <v>Livre</v>
      </c>
    </row>
    <row r="61" spans="1:10">
      <c r="B61" s="287">
        <v>11.518288474810214</v>
      </c>
      <c r="C61" s="5" t="s">
        <v>105</v>
      </c>
      <c r="D61" s="5" t="s">
        <v>357</v>
      </c>
      <c r="E61" s="308">
        <f t="shared" si="1"/>
        <v>13.538288474810214</v>
      </c>
      <c r="F61" s="309">
        <f t="shared" si="2"/>
        <v>40.61486542443064</v>
      </c>
      <c r="G61" s="309">
        <f t="shared" si="0"/>
        <v>19.630518288474811</v>
      </c>
      <c r="H61" s="80"/>
      <c r="I61" s="58" t="s">
        <v>1431</v>
      </c>
      <c r="J61" s="135" t="str">
        <f t="shared" ref="J61:J123" si="3">IF(I61="", "", IF(OR(ISNUMBER(FIND("MDF", I61)), ISNUMBER(FIND("Folheado", I61)), ISNUMBER(FIND("Tricapa", I61)), ISNUMBER(FIND("Contraplacado", I61)), ISNUMBER(FIND("Valchromat", I61))), "Livre", "Não Pintar"))</f>
        <v>Livre</v>
      </c>
    </row>
    <row r="62" spans="1:10">
      <c r="B62" s="287">
        <v>11.762698412698411</v>
      </c>
      <c r="C62" s="5" t="s">
        <v>105</v>
      </c>
      <c r="D62" s="5" t="s">
        <v>1585</v>
      </c>
      <c r="E62" s="308">
        <f t="shared" si="1"/>
        <v>13.78269841269841</v>
      </c>
      <c r="F62" s="309">
        <f t="shared" si="2"/>
        <v>41.348095238095233</v>
      </c>
      <c r="G62" s="309">
        <f t="shared" si="0"/>
        <v>19.984912698412696</v>
      </c>
      <c r="H62" s="80"/>
      <c r="I62" s="58" t="s">
        <v>1432</v>
      </c>
      <c r="J62" s="135" t="str">
        <f t="shared" si="3"/>
        <v>Livre</v>
      </c>
    </row>
    <row r="63" spans="1:10">
      <c r="B63" s="287">
        <v>11.762422360248449</v>
      </c>
      <c r="C63" s="5" t="s">
        <v>105</v>
      </c>
      <c r="D63" s="5" t="s">
        <v>360</v>
      </c>
      <c r="E63" s="308">
        <f t="shared" si="1"/>
        <v>13.782422360248448</v>
      </c>
      <c r="F63" s="309">
        <f t="shared" si="2"/>
        <v>41.347267080745347</v>
      </c>
      <c r="G63" s="309">
        <f t="shared" si="0"/>
        <v>19.98451242236025</v>
      </c>
      <c r="H63" s="80"/>
      <c r="I63" s="111" t="s">
        <v>1433</v>
      </c>
      <c r="J63" s="135" t="str">
        <f t="shared" si="3"/>
        <v>Livre</v>
      </c>
    </row>
    <row r="64" spans="1:10">
      <c r="B64" s="287">
        <v>12.246376811594205</v>
      </c>
      <c r="C64" s="5" t="s">
        <v>105</v>
      </c>
      <c r="D64" s="5" t="s">
        <v>361</v>
      </c>
      <c r="E64" s="308">
        <f t="shared" si="1"/>
        <v>14.266376811594204</v>
      </c>
      <c r="F64" s="309">
        <f t="shared" si="2"/>
        <v>42.799130434782612</v>
      </c>
      <c r="G64" s="309">
        <f t="shared" si="0"/>
        <v>20.686246376811596</v>
      </c>
      <c r="H64" s="80"/>
      <c r="I64" s="111" t="s">
        <v>1434</v>
      </c>
      <c r="J64" s="135" t="str">
        <f t="shared" si="3"/>
        <v>Livre</v>
      </c>
    </row>
    <row r="65" spans="2:24">
      <c r="B65" s="287">
        <v>44.839544513457554</v>
      </c>
      <c r="C65" s="5" t="s">
        <v>105</v>
      </c>
      <c r="D65" s="5" t="s">
        <v>366</v>
      </c>
      <c r="E65" s="308">
        <f t="shared" si="1"/>
        <v>46.859544513457557</v>
      </c>
      <c r="F65" s="309">
        <f t="shared" si="2"/>
        <v>140.57863354037266</v>
      </c>
      <c r="G65" s="309">
        <f t="shared" si="0"/>
        <v>67.946339544513449</v>
      </c>
      <c r="H65" s="80"/>
      <c r="I65" s="111" t="s">
        <v>1435</v>
      </c>
      <c r="J65" s="135" t="str">
        <f t="shared" si="3"/>
        <v>Não Pintar</v>
      </c>
    </row>
    <row r="66" spans="2:24">
      <c r="B66" s="287">
        <v>28.971839865503838</v>
      </c>
      <c r="C66" s="5" t="s">
        <v>105</v>
      </c>
      <c r="D66" s="5" t="s">
        <v>370</v>
      </c>
      <c r="E66" s="308">
        <f t="shared" si="1"/>
        <v>30.991839865503838</v>
      </c>
      <c r="F66" s="309">
        <f t="shared" si="2"/>
        <v>92.975519596511518</v>
      </c>
      <c r="G66" s="309">
        <f t="shared" si="0"/>
        <v>44.938167804980566</v>
      </c>
      <c r="H66" s="80"/>
      <c r="I66" s="111" t="s">
        <v>1436</v>
      </c>
      <c r="J66" s="135" t="str">
        <f t="shared" si="3"/>
        <v>Não Pintar</v>
      </c>
    </row>
    <row r="67" spans="2:24">
      <c r="B67" s="287">
        <v>11.813750862663904</v>
      </c>
      <c r="C67" s="5" t="s">
        <v>105</v>
      </c>
      <c r="D67" s="5" t="s">
        <v>372</v>
      </c>
      <c r="E67" s="308">
        <f t="shared" si="1"/>
        <v>13.833750862663903</v>
      </c>
      <c r="F67" s="309">
        <f t="shared" si="2"/>
        <v>41.501252587991708</v>
      </c>
      <c r="G67" s="309">
        <f t="shared" si="0"/>
        <v>20.058938750862659</v>
      </c>
      <c r="H67" s="80"/>
      <c r="I67" s="111" t="s">
        <v>1437</v>
      </c>
      <c r="J67" s="135" t="str">
        <f t="shared" si="3"/>
        <v>Não Pintar</v>
      </c>
    </row>
    <row r="68" spans="2:24">
      <c r="B68" s="287">
        <v>6.405225586611456</v>
      </c>
      <c r="C68" s="5" t="s">
        <v>105</v>
      </c>
      <c r="D68" s="5" t="s">
        <v>373</v>
      </c>
      <c r="E68" s="308">
        <f t="shared" si="1"/>
        <v>8.4252255866114556</v>
      </c>
      <c r="F68" s="309">
        <f t="shared" si="2"/>
        <v>25.275676759834369</v>
      </c>
      <c r="G68" s="309">
        <f t="shared" si="0"/>
        <v>12.21657710058661</v>
      </c>
      <c r="H68" s="80"/>
      <c r="I68" s="111" t="s">
        <v>1438</v>
      </c>
      <c r="J68" s="135" t="str">
        <f t="shared" si="3"/>
        <v>Não Pintar</v>
      </c>
    </row>
    <row r="69" spans="2:24">
      <c r="B69" s="287">
        <v>9.1351178152430634</v>
      </c>
      <c r="C69" s="5" t="s">
        <v>105</v>
      </c>
      <c r="D69" s="5" t="s">
        <v>381</v>
      </c>
      <c r="E69" s="308">
        <f t="shared" si="1"/>
        <v>11.155117815243063</v>
      </c>
      <c r="F69" s="309">
        <f t="shared" si="2"/>
        <v>33.465353445729193</v>
      </c>
      <c r="G69" s="309">
        <f t="shared" si="0"/>
        <v>16.17492083210244</v>
      </c>
      <c r="H69" s="80"/>
      <c r="I69" s="58" t="s">
        <v>1439</v>
      </c>
      <c r="J69" s="135" t="str">
        <f t="shared" si="3"/>
        <v>Não Pintar</v>
      </c>
    </row>
    <row r="70" spans="2:24">
      <c r="B70" s="287">
        <v>16.421670117322293</v>
      </c>
      <c r="C70" s="5" t="s">
        <v>105</v>
      </c>
      <c r="D70" s="5" t="s">
        <v>383</v>
      </c>
      <c r="E70" s="308">
        <f t="shared" si="1"/>
        <v>18.441670117322293</v>
      </c>
      <c r="F70" s="309">
        <f t="shared" si="2"/>
        <v>55.325010351966881</v>
      </c>
      <c r="G70" s="309">
        <f t="shared" si="0"/>
        <v>26.740421670117325</v>
      </c>
      <c r="H70" s="80"/>
      <c r="I70" s="58" t="s">
        <v>1440</v>
      </c>
      <c r="J70" s="135" t="str">
        <f t="shared" si="3"/>
        <v>Não Pintar</v>
      </c>
    </row>
    <row r="71" spans="2:24">
      <c r="B71" s="287">
        <v>15.889029003783104</v>
      </c>
      <c r="C71" s="5" t="s">
        <v>387</v>
      </c>
      <c r="D71" s="5" t="s">
        <v>386</v>
      </c>
      <c r="E71" s="308">
        <f t="shared" si="1"/>
        <v>17.909029003783104</v>
      </c>
      <c r="F71" s="309">
        <f t="shared" si="2"/>
        <v>53.727087011349312</v>
      </c>
      <c r="G71" s="309">
        <f t="shared" si="0"/>
        <v>25.968092055485499</v>
      </c>
      <c r="H71" s="80"/>
      <c r="I71" s="8" t="s">
        <v>1441</v>
      </c>
      <c r="J71" s="135" t="str">
        <f t="shared" si="3"/>
        <v>Não Pintar</v>
      </c>
    </row>
    <row r="72" spans="2:24" ht="18.75">
      <c r="B72" s="287">
        <v>46.999894756229118</v>
      </c>
      <c r="C72" s="5" t="s">
        <v>387</v>
      </c>
      <c r="D72" s="5" t="s">
        <v>388</v>
      </c>
      <c r="E72" s="308">
        <f t="shared" ref="E72:E98" si="4">IF(B72&gt;0, B72+2.02, "")</f>
        <v>49.019894756229121</v>
      </c>
      <c r="F72" s="309">
        <f t="shared" si="2"/>
        <v>147.05968426868736</v>
      </c>
      <c r="G72" s="309">
        <f t="shared" ref="G72:G98" si="5">IF(E72&lt;&gt;"", E72 * (1 + $H$2), "")</f>
        <v>71.078847396532225</v>
      </c>
      <c r="H72" s="80"/>
      <c r="I72" s="58" t="s">
        <v>1442</v>
      </c>
      <c r="J72" s="135" t="str">
        <f t="shared" si="3"/>
        <v>Não Pintar</v>
      </c>
      <c r="M72" s="305" t="s">
        <v>692</v>
      </c>
      <c r="N72" s="305"/>
    </row>
    <row r="73" spans="2:24" ht="18.75">
      <c r="B73" s="287">
        <v>46.000924641701339</v>
      </c>
      <c r="C73" s="5" t="s">
        <v>387</v>
      </c>
      <c r="D73" s="5" t="s">
        <v>389</v>
      </c>
      <c r="E73" s="308">
        <f t="shared" si="4"/>
        <v>48.020924641701342</v>
      </c>
      <c r="F73" s="309">
        <f t="shared" ref="F73:F98" si="6">IF(E73&lt;&gt;"", E73 * (1 + $H$3), "")</f>
        <v>144.06277392510401</v>
      </c>
      <c r="G73" s="309">
        <f t="shared" si="5"/>
        <v>69.630340730466941</v>
      </c>
      <c r="H73" s="80"/>
      <c r="I73" s="58" t="s">
        <v>1443</v>
      </c>
      <c r="J73" s="135" t="str">
        <f t="shared" si="3"/>
        <v>Livre</v>
      </c>
      <c r="M73" s="58" t="s">
        <v>1430</v>
      </c>
      <c r="N73" s="110">
        <f>E7</f>
        <v>7.1</v>
      </c>
      <c r="V73" s="312" t="s">
        <v>693</v>
      </c>
      <c r="W73" s="312"/>
      <c r="X73" s="313"/>
    </row>
    <row r="74" spans="2:24">
      <c r="B74" s="287">
        <v>40</v>
      </c>
      <c r="C74" s="5" t="s">
        <v>387</v>
      </c>
      <c r="D74" s="5" t="s">
        <v>390</v>
      </c>
      <c r="E74" s="308">
        <f t="shared" si="4"/>
        <v>42.02</v>
      </c>
      <c r="F74" s="309">
        <f t="shared" si="6"/>
        <v>126.06</v>
      </c>
      <c r="G74" s="309">
        <f t="shared" si="5"/>
        <v>60.929000000000002</v>
      </c>
      <c r="H74" s="80"/>
      <c r="I74" s="58" t="s">
        <v>1444</v>
      </c>
      <c r="J74" s="135" t="str">
        <f t="shared" si="3"/>
        <v>Livre</v>
      </c>
      <c r="M74" s="58" t="s">
        <v>1431</v>
      </c>
      <c r="N74" s="110">
        <f t="shared" ref="N74:N137" si="7">E8</f>
        <v>9.48</v>
      </c>
      <c r="V74" s="314" t="s">
        <v>349</v>
      </c>
      <c r="W74" s="314"/>
      <c r="X74" s="313"/>
    </row>
    <row r="75" spans="2:24">
      <c r="B75" s="287">
        <v>31.750315258511986</v>
      </c>
      <c r="C75" s="5" t="s">
        <v>387</v>
      </c>
      <c r="D75" s="5" t="s">
        <v>392</v>
      </c>
      <c r="E75" s="308">
        <f t="shared" si="4"/>
        <v>33.770315258511985</v>
      </c>
      <c r="F75" s="309">
        <f t="shared" si="6"/>
        <v>101.31094577553596</v>
      </c>
      <c r="G75" s="309">
        <f t="shared" si="5"/>
        <v>48.966957124842374</v>
      </c>
      <c r="H75" s="80"/>
      <c r="I75" s="58" t="s">
        <v>1445</v>
      </c>
      <c r="J75" s="135" t="str">
        <f t="shared" si="3"/>
        <v>Não Pintar</v>
      </c>
      <c r="M75" s="58" t="s">
        <v>1432</v>
      </c>
      <c r="N75" s="110">
        <f t="shared" si="7"/>
        <v>11.19</v>
      </c>
      <c r="V75" s="315" t="s">
        <v>344</v>
      </c>
      <c r="W75" s="316">
        <f>(N73+1.01)*1.45</f>
        <v>11.759499999999999</v>
      </c>
      <c r="X75" s="313"/>
    </row>
    <row r="76" spans="2:24">
      <c r="B76" s="287">
        <v>21.000032249395325</v>
      </c>
      <c r="C76" s="5" t="s">
        <v>387</v>
      </c>
      <c r="D76" s="5" t="s">
        <v>393</v>
      </c>
      <c r="E76" s="308">
        <f t="shared" si="4"/>
        <v>23.020032249395324</v>
      </c>
      <c r="F76" s="309">
        <f t="shared" si="6"/>
        <v>69.06009674818597</v>
      </c>
      <c r="G76" s="309">
        <f t="shared" si="5"/>
        <v>33.379046761623222</v>
      </c>
      <c r="H76" s="80"/>
      <c r="I76" s="58" t="s">
        <v>1446</v>
      </c>
      <c r="J76" s="135" t="str">
        <f t="shared" si="3"/>
        <v>Não Pintar</v>
      </c>
      <c r="M76" s="111" t="s">
        <v>1433</v>
      </c>
      <c r="N76" s="110">
        <f t="shared" si="7"/>
        <v>12.49</v>
      </c>
      <c r="V76" s="314" t="s">
        <v>281</v>
      </c>
      <c r="W76" s="314"/>
      <c r="X76" s="313"/>
    </row>
    <row r="77" spans="2:24">
      <c r="B77" s="287">
        <v>40</v>
      </c>
      <c r="C77" s="5" t="s">
        <v>387</v>
      </c>
      <c r="D77" s="5" t="s">
        <v>394</v>
      </c>
      <c r="E77" s="308">
        <f t="shared" si="4"/>
        <v>42.02</v>
      </c>
      <c r="F77" s="309">
        <f t="shared" si="6"/>
        <v>126.06</v>
      </c>
      <c r="G77" s="309">
        <f t="shared" si="5"/>
        <v>60.929000000000002</v>
      </c>
      <c r="H77" s="80"/>
      <c r="I77" s="58" t="s">
        <v>1447</v>
      </c>
      <c r="J77" s="135" t="str">
        <f t="shared" si="3"/>
        <v>Não Pintar</v>
      </c>
      <c r="M77" s="111" t="s">
        <v>1434</v>
      </c>
      <c r="N77" s="110">
        <f t="shared" si="7"/>
        <v>26.83</v>
      </c>
      <c r="V77" s="315" t="s">
        <v>319</v>
      </c>
      <c r="W77" s="316">
        <f t="shared" ref="W77:W84" si="8">(N74+1.01)*1.45</f>
        <v>15.2105</v>
      </c>
      <c r="X77" s="313"/>
    </row>
    <row r="78" spans="2:24">
      <c r="B78" s="287">
        <v>40</v>
      </c>
      <c r="C78" s="5" t="s">
        <v>387</v>
      </c>
      <c r="D78" s="5" t="s">
        <v>395</v>
      </c>
      <c r="E78" s="308">
        <f t="shared" si="4"/>
        <v>42.02</v>
      </c>
      <c r="F78" s="309">
        <f t="shared" si="6"/>
        <v>126.06</v>
      </c>
      <c r="G78" s="309">
        <f t="shared" si="5"/>
        <v>60.929000000000002</v>
      </c>
      <c r="H78" s="80"/>
      <c r="I78" s="8" t="s">
        <v>1448</v>
      </c>
      <c r="J78" s="135" t="str">
        <f t="shared" si="3"/>
        <v>Não Pintar</v>
      </c>
      <c r="M78" s="111" t="s">
        <v>1435</v>
      </c>
      <c r="N78" s="110">
        <f t="shared" si="7"/>
        <v>8.48</v>
      </c>
      <c r="V78" s="315" t="s">
        <v>345</v>
      </c>
      <c r="W78" s="316">
        <f t="shared" si="8"/>
        <v>17.689999999999998</v>
      </c>
      <c r="X78" s="313"/>
    </row>
    <row r="79" spans="2:24">
      <c r="B79" s="287">
        <v>27.200010507512872</v>
      </c>
      <c r="C79" s="5" t="s">
        <v>387</v>
      </c>
      <c r="D79" s="5" t="s">
        <v>396</v>
      </c>
      <c r="E79" s="308">
        <f t="shared" si="4"/>
        <v>29.220010507512871</v>
      </c>
      <c r="F79" s="309">
        <f t="shared" si="6"/>
        <v>87.660031522538617</v>
      </c>
      <c r="G79" s="309">
        <f t="shared" si="5"/>
        <v>42.369015235893663</v>
      </c>
      <c r="H79" s="80"/>
      <c r="I79" s="8" t="s">
        <v>1449</v>
      </c>
      <c r="J79" s="135" t="str">
        <f t="shared" si="3"/>
        <v>Não Pintar</v>
      </c>
      <c r="M79" s="111" t="s">
        <v>1436</v>
      </c>
      <c r="N79" s="110">
        <f t="shared" si="7"/>
        <v>8.82</v>
      </c>
      <c r="V79" s="317" t="s">
        <v>50</v>
      </c>
      <c r="W79" s="316">
        <f t="shared" si="8"/>
        <v>19.574999999999999</v>
      </c>
      <c r="X79" s="313"/>
    </row>
    <row r="80" spans="2:24">
      <c r="B80" s="287">
        <v>12.800126103404793</v>
      </c>
      <c r="C80" s="5" t="s">
        <v>387</v>
      </c>
      <c r="D80" s="5" t="s">
        <v>397</v>
      </c>
      <c r="E80" s="308">
        <f t="shared" si="4"/>
        <v>14.820126103404792</v>
      </c>
      <c r="F80" s="309">
        <f t="shared" si="6"/>
        <v>44.460378310214381</v>
      </c>
      <c r="G80" s="309">
        <f t="shared" si="5"/>
        <v>21.489182849936949</v>
      </c>
      <c r="H80" s="80"/>
      <c r="I80" s="8" t="s">
        <v>1450</v>
      </c>
      <c r="J80" s="135" t="str">
        <f t="shared" si="3"/>
        <v>Não Pintar</v>
      </c>
      <c r="M80" s="111" t="s">
        <v>1437</v>
      </c>
      <c r="N80" s="110">
        <f t="shared" si="7"/>
        <v>8.82</v>
      </c>
      <c r="V80" s="317" t="s">
        <v>51</v>
      </c>
      <c r="W80" s="316">
        <f t="shared" si="8"/>
        <v>40.368000000000002</v>
      </c>
      <c r="X80" s="313"/>
    </row>
    <row r="81" spans="2:24">
      <c r="B81" s="287">
        <v>33.000140114895338</v>
      </c>
      <c r="C81" s="5" t="s">
        <v>387</v>
      </c>
      <c r="D81" s="5" t="s">
        <v>398</v>
      </c>
      <c r="E81" s="308">
        <f t="shared" si="4"/>
        <v>35.020140114895341</v>
      </c>
      <c r="F81" s="309">
        <f t="shared" si="6"/>
        <v>105.06042034468602</v>
      </c>
      <c r="G81" s="309">
        <f t="shared" si="5"/>
        <v>50.779203166598244</v>
      </c>
      <c r="H81" s="80"/>
      <c r="I81" s="8" t="s">
        <v>1451</v>
      </c>
      <c r="J81" s="135" t="str">
        <f t="shared" si="3"/>
        <v>Não Pintar</v>
      </c>
      <c r="M81" s="111" t="s">
        <v>1438</v>
      </c>
      <c r="N81" s="110">
        <f t="shared" si="7"/>
        <v>6.7899999999999991</v>
      </c>
      <c r="V81" s="317" t="s">
        <v>52</v>
      </c>
      <c r="W81" s="316">
        <f t="shared" si="8"/>
        <v>13.7605</v>
      </c>
      <c r="X81" s="313"/>
    </row>
    <row r="82" spans="2:24">
      <c r="B82" s="287">
        <v>26.549736908043094</v>
      </c>
      <c r="C82" s="5" t="s">
        <v>387</v>
      </c>
      <c r="D82" s="5" t="s">
        <v>399</v>
      </c>
      <c r="E82" s="308">
        <f t="shared" si="4"/>
        <v>28.569736908043094</v>
      </c>
      <c r="F82" s="309">
        <f t="shared" si="6"/>
        <v>85.709210724129278</v>
      </c>
      <c r="G82" s="309">
        <f t="shared" si="5"/>
        <v>41.426118516662484</v>
      </c>
      <c r="H82" s="80"/>
      <c r="I82" s="8" t="s">
        <v>1452</v>
      </c>
      <c r="J82" s="135" t="str">
        <f t="shared" si="3"/>
        <v>Não Pintar</v>
      </c>
      <c r="M82" s="58" t="s">
        <v>1439</v>
      </c>
      <c r="N82" s="110">
        <f t="shared" si="7"/>
        <v>6.8080722337244133</v>
      </c>
      <c r="V82" s="317" t="s">
        <v>338</v>
      </c>
      <c r="W82" s="316">
        <f t="shared" si="8"/>
        <v>14.253499999999999</v>
      </c>
      <c r="X82" s="313"/>
    </row>
    <row r="83" spans="2:24">
      <c r="B83" s="287">
        <v>39.000066370469938</v>
      </c>
      <c r="C83" s="5" t="s">
        <v>387</v>
      </c>
      <c r="D83" s="5" t="s">
        <v>400</v>
      </c>
      <c r="E83" s="308">
        <f t="shared" si="4"/>
        <v>41.020066370469941</v>
      </c>
      <c r="F83" s="309">
        <f t="shared" si="6"/>
        <v>123.06019911140982</v>
      </c>
      <c r="G83" s="309">
        <f t="shared" si="5"/>
        <v>59.479096237181409</v>
      </c>
      <c r="H83" s="80"/>
      <c r="I83" s="8" t="s">
        <v>1453</v>
      </c>
      <c r="J83" s="135" t="str">
        <f t="shared" si="3"/>
        <v>Não Pintar</v>
      </c>
      <c r="M83" s="58" t="s">
        <v>1440</v>
      </c>
      <c r="N83" s="110">
        <f t="shared" si="7"/>
        <v>7.3599999999999994</v>
      </c>
      <c r="V83" s="317" t="s">
        <v>342</v>
      </c>
      <c r="W83" s="316">
        <f t="shared" si="8"/>
        <v>14.253499999999999</v>
      </c>
      <c r="X83" s="313"/>
    </row>
    <row r="84" spans="2:24">
      <c r="B84" s="287">
        <v>23.699695282126719</v>
      </c>
      <c r="C84" s="5" t="s">
        <v>387</v>
      </c>
      <c r="D84" s="5" t="s">
        <v>401</v>
      </c>
      <c r="E84" s="308">
        <f t="shared" si="4"/>
        <v>25.719695282126718</v>
      </c>
      <c r="F84" s="309">
        <f t="shared" si="6"/>
        <v>77.159085846380151</v>
      </c>
      <c r="G84" s="309">
        <f t="shared" si="5"/>
        <v>37.293558159083737</v>
      </c>
      <c r="H84" s="80"/>
      <c r="I84" s="8" t="s">
        <v>1454</v>
      </c>
      <c r="J84" s="135" t="str">
        <f t="shared" si="3"/>
        <v>Não Pintar</v>
      </c>
      <c r="M84" s="8" t="s">
        <v>1441</v>
      </c>
      <c r="N84" s="110">
        <f t="shared" si="7"/>
        <v>6.8857119852772026</v>
      </c>
      <c r="V84" s="317" t="s">
        <v>95</v>
      </c>
      <c r="W84" s="316">
        <f t="shared" si="8"/>
        <v>11.309999999999999</v>
      </c>
      <c r="X84" s="313"/>
    </row>
    <row r="85" spans="2:24">
      <c r="B85" s="287">
        <v>82.000308213900439</v>
      </c>
      <c r="C85" s="5" t="s">
        <v>387</v>
      </c>
      <c r="D85" s="5" t="s">
        <v>403</v>
      </c>
      <c r="E85" s="308">
        <f t="shared" si="4"/>
        <v>84.020308213900435</v>
      </c>
      <c r="F85" s="309">
        <f t="shared" si="6"/>
        <v>252.06092464170132</v>
      </c>
      <c r="G85" s="309">
        <f t="shared" si="5"/>
        <v>121.82944691015562</v>
      </c>
      <c r="H85" s="80"/>
      <c r="I85" s="8" t="s">
        <v>1455</v>
      </c>
      <c r="J85" s="135" t="str">
        <f t="shared" si="3"/>
        <v>Não Pintar</v>
      </c>
      <c r="M85" s="58" t="s">
        <v>1442</v>
      </c>
      <c r="N85" s="110">
        <f t="shared" si="7"/>
        <v>7.317619047619047</v>
      </c>
      <c r="V85" s="314" t="s">
        <v>282</v>
      </c>
      <c r="W85" s="314"/>
      <c r="X85" s="313"/>
    </row>
    <row r="86" spans="2:24">
      <c r="B86" s="287">
        <v>26.000840601029736</v>
      </c>
      <c r="C86" s="5" t="s">
        <v>387</v>
      </c>
      <c r="D86" s="5" t="s">
        <v>404</v>
      </c>
      <c r="E86" s="308">
        <f t="shared" si="4"/>
        <v>28.020840601029736</v>
      </c>
      <c r="F86" s="309">
        <f t="shared" si="6"/>
        <v>84.062521803089211</v>
      </c>
      <c r="G86" s="309">
        <f t="shared" si="5"/>
        <v>40.630218871493113</v>
      </c>
      <c r="H86" s="80"/>
      <c r="I86" s="8" t="s">
        <v>1462</v>
      </c>
      <c r="J86" s="135" t="str">
        <f t="shared" si="3"/>
        <v>Não Pintar</v>
      </c>
      <c r="M86" s="58" t="s">
        <v>1443</v>
      </c>
      <c r="N86" s="110">
        <f t="shared" si="7"/>
        <v>15.866000993541979</v>
      </c>
      <c r="V86" s="315" t="s">
        <v>381</v>
      </c>
      <c r="W86" s="318">
        <f t="shared" ref="W86:W94" si="9">(N82+1.01)*1.45</f>
        <v>11.336204738900399</v>
      </c>
      <c r="X86" s="313"/>
    </row>
    <row r="87" spans="2:24">
      <c r="B87" s="287">
        <v>5.4600155279503104</v>
      </c>
      <c r="C87" s="5" t="s">
        <v>387</v>
      </c>
      <c r="D87" s="5" t="s">
        <v>405</v>
      </c>
      <c r="E87" s="308">
        <f t="shared" si="4"/>
        <v>7.4800155279503109</v>
      </c>
      <c r="F87" s="309">
        <f t="shared" si="6"/>
        <v>22.440046583850933</v>
      </c>
      <c r="G87" s="309">
        <f t="shared" si="5"/>
        <v>10.846022515527951</v>
      </c>
      <c r="H87" s="80"/>
      <c r="I87" s="8" t="s">
        <v>1463</v>
      </c>
      <c r="J87" s="135" t="str">
        <f t="shared" si="3"/>
        <v>Livre</v>
      </c>
      <c r="M87" s="58" t="s">
        <v>1444</v>
      </c>
      <c r="N87" s="110">
        <f t="shared" si="7"/>
        <v>16.786020864381523</v>
      </c>
      <c r="V87" s="315" t="s">
        <v>114</v>
      </c>
      <c r="W87" s="318">
        <f t="shared" si="9"/>
        <v>12.136499999999998</v>
      </c>
      <c r="X87" s="313"/>
    </row>
    <row r="88" spans="2:24">
      <c r="B88" s="287">
        <v>32.80803807509254</v>
      </c>
      <c r="C88" s="5" t="s">
        <v>1309</v>
      </c>
      <c r="D88" s="5" t="s">
        <v>1317</v>
      </c>
      <c r="E88" s="308">
        <f t="shared" si="4"/>
        <v>34.828038075092543</v>
      </c>
      <c r="F88" s="309">
        <f t="shared" si="6"/>
        <v>104.48411422527764</v>
      </c>
      <c r="G88" s="309">
        <f t="shared" si="5"/>
        <v>50.500655208884183</v>
      </c>
      <c r="H88" s="80"/>
      <c r="I88" s="8" t="s">
        <v>1464</v>
      </c>
      <c r="J88" s="135" t="str">
        <f t="shared" si="3"/>
        <v>Livre</v>
      </c>
      <c r="M88" s="58" t="s">
        <v>1445</v>
      </c>
      <c r="N88" s="110">
        <f t="shared" si="7"/>
        <v>6.49</v>
      </c>
      <c r="V88" s="313" t="s">
        <v>389</v>
      </c>
      <c r="W88" s="318">
        <f t="shared" si="9"/>
        <v>11.448782378651943</v>
      </c>
      <c r="X88" s="313"/>
    </row>
    <row r="89" spans="2:24">
      <c r="B89" s="287">
        <v>42.0282563338301</v>
      </c>
      <c r="C89" s="5" t="s">
        <v>1309</v>
      </c>
      <c r="D89" s="5" t="s">
        <v>1318</v>
      </c>
      <c r="E89" s="308">
        <f t="shared" si="4"/>
        <v>44.048256333830103</v>
      </c>
      <c r="F89" s="309">
        <f t="shared" si="6"/>
        <v>132.14476900149032</v>
      </c>
      <c r="G89" s="309">
        <f t="shared" si="5"/>
        <v>63.869971684053645</v>
      </c>
      <c r="H89" s="80"/>
      <c r="I89" s="8" t="s">
        <v>1465</v>
      </c>
      <c r="J89" s="135" t="str">
        <f t="shared" si="3"/>
        <v>Livre</v>
      </c>
      <c r="M89" s="58" t="s">
        <v>1446</v>
      </c>
      <c r="N89" s="110">
        <f t="shared" si="7"/>
        <v>8.24</v>
      </c>
      <c r="V89" s="315" t="s">
        <v>111</v>
      </c>
      <c r="W89" s="318">
        <f t="shared" si="9"/>
        <v>12.075047619047618</v>
      </c>
      <c r="X89" s="313"/>
    </row>
    <row r="90" spans="2:24">
      <c r="B90" s="287">
        <v>24.255131964809383</v>
      </c>
      <c r="C90" s="5" t="s">
        <v>1309</v>
      </c>
      <c r="D90" s="5" t="s">
        <v>1313</v>
      </c>
      <c r="E90" s="308">
        <f t="shared" si="4"/>
        <v>26.275131964809383</v>
      </c>
      <c r="F90" s="309">
        <f t="shared" si="6"/>
        <v>78.825395894428141</v>
      </c>
      <c r="G90" s="309">
        <f t="shared" si="5"/>
        <v>38.098941348973604</v>
      </c>
      <c r="H90" s="80"/>
      <c r="I90" s="8" t="s">
        <v>1466</v>
      </c>
      <c r="J90" s="135" t="str">
        <f t="shared" si="3"/>
        <v>Livre</v>
      </c>
      <c r="M90" s="58" t="s">
        <v>1447</v>
      </c>
      <c r="N90" s="110">
        <f t="shared" si="7"/>
        <v>8.4252255866114556</v>
      </c>
      <c r="V90" s="315" t="s">
        <v>405</v>
      </c>
      <c r="W90" s="318">
        <f t="shared" si="9"/>
        <v>24.470201440635869</v>
      </c>
      <c r="X90" s="313"/>
    </row>
    <row r="91" spans="2:24">
      <c r="B91" s="287">
        <v>39.821162444113263</v>
      </c>
      <c r="C91" s="5" t="s">
        <v>1309</v>
      </c>
      <c r="D91" s="5" t="s">
        <v>1314</v>
      </c>
      <c r="E91" s="308">
        <f t="shared" si="4"/>
        <v>41.841162444113266</v>
      </c>
      <c r="F91" s="309">
        <f t="shared" si="6"/>
        <v>125.5234873323398</v>
      </c>
      <c r="G91" s="309">
        <f t="shared" si="5"/>
        <v>60.669685543964235</v>
      </c>
      <c r="H91" s="80"/>
      <c r="I91" s="8" t="s">
        <v>1467</v>
      </c>
      <c r="J91" s="135" t="str">
        <f t="shared" si="3"/>
        <v>Livre</v>
      </c>
      <c r="M91" s="8" t="s">
        <v>1448</v>
      </c>
      <c r="N91" s="110">
        <f t="shared" si="7"/>
        <v>8.4719172705314012</v>
      </c>
      <c r="V91" s="315" t="s">
        <v>359</v>
      </c>
      <c r="W91" s="318">
        <f t="shared" si="9"/>
        <v>25.804230253353211</v>
      </c>
      <c r="X91" s="313"/>
    </row>
    <row r="92" spans="2:24">
      <c r="B92" s="287">
        <v>4.7699999999999996</v>
      </c>
      <c r="C92" s="5" t="s">
        <v>98</v>
      </c>
      <c r="D92" s="5" t="s">
        <v>1575</v>
      </c>
      <c r="E92" s="308">
        <f t="shared" si="4"/>
        <v>6.7899999999999991</v>
      </c>
      <c r="F92" s="309">
        <f t="shared" si="6"/>
        <v>20.369999999999997</v>
      </c>
      <c r="G92" s="309">
        <f t="shared" si="5"/>
        <v>9.8454999999999977</v>
      </c>
      <c r="H92" s="80"/>
      <c r="I92" s="8" t="s">
        <v>1468</v>
      </c>
      <c r="J92" s="135" t="str">
        <f t="shared" si="3"/>
        <v>Livre</v>
      </c>
      <c r="M92" s="8" t="s">
        <v>1449</v>
      </c>
      <c r="N92" s="110">
        <f t="shared" si="7"/>
        <v>7.18</v>
      </c>
      <c r="V92" s="315" t="s">
        <v>382</v>
      </c>
      <c r="W92" s="318">
        <f t="shared" si="9"/>
        <v>10.875</v>
      </c>
      <c r="X92" s="313"/>
    </row>
    <row r="93" spans="2:24">
      <c r="B93" s="287">
        <v>13.707729468599034</v>
      </c>
      <c r="C93" s="5" t="s">
        <v>105</v>
      </c>
      <c r="D93" s="5" t="s">
        <v>1579</v>
      </c>
      <c r="E93" s="308">
        <f t="shared" si="4"/>
        <v>15.727729468599033</v>
      </c>
      <c r="F93" s="309">
        <f t="shared" si="6"/>
        <v>47.183188405797097</v>
      </c>
      <c r="G93" s="309">
        <f t="shared" si="5"/>
        <v>22.805207729468599</v>
      </c>
      <c r="H93" s="80"/>
      <c r="I93" s="8" t="s">
        <v>1469</v>
      </c>
      <c r="J93" s="135" t="str">
        <f t="shared" si="3"/>
        <v>Livre</v>
      </c>
      <c r="M93" s="8" t="s">
        <v>1450</v>
      </c>
      <c r="N93" s="110">
        <f t="shared" si="7"/>
        <v>11.95</v>
      </c>
      <c r="V93" s="315" t="s">
        <v>399</v>
      </c>
      <c r="W93" s="318">
        <f t="shared" si="9"/>
        <v>13.4125</v>
      </c>
      <c r="X93" s="313"/>
    </row>
    <row r="94" spans="2:24">
      <c r="B94" s="287">
        <v>13.707729468599034</v>
      </c>
      <c r="C94" s="5" t="s">
        <v>105</v>
      </c>
      <c r="D94" s="5" t="s">
        <v>1581</v>
      </c>
      <c r="E94" s="308">
        <f t="shared" si="4"/>
        <v>15.727729468599033</v>
      </c>
      <c r="F94" s="309">
        <f t="shared" si="6"/>
        <v>47.183188405797097</v>
      </c>
      <c r="G94" s="309">
        <f t="shared" si="5"/>
        <v>22.805207729468599</v>
      </c>
      <c r="H94" s="80"/>
      <c r="I94" s="8" t="s">
        <v>1470</v>
      </c>
      <c r="J94" s="135" t="str">
        <f t="shared" si="3"/>
        <v>Não Pintar</v>
      </c>
      <c r="M94" s="8" t="s">
        <v>1451</v>
      </c>
      <c r="N94" s="110">
        <f t="shared" si="7"/>
        <v>11.18</v>
      </c>
      <c r="V94" s="315" t="s">
        <v>404</v>
      </c>
      <c r="W94" s="318">
        <f t="shared" si="9"/>
        <v>13.681077100586609</v>
      </c>
      <c r="X94" s="313"/>
    </row>
    <row r="95" spans="2:24">
      <c r="B95" s="287">
        <v>13.159075224292614</v>
      </c>
      <c r="C95" s="5" t="s">
        <v>105</v>
      </c>
      <c r="D95" s="5" t="s">
        <v>1583</v>
      </c>
      <c r="E95" s="308">
        <f t="shared" si="4"/>
        <v>15.179075224292614</v>
      </c>
      <c r="F95" s="309">
        <f t="shared" si="6"/>
        <v>45.537225672877838</v>
      </c>
      <c r="G95" s="309">
        <f t="shared" si="5"/>
        <v>22.009659075224288</v>
      </c>
      <c r="H95" s="80"/>
      <c r="I95" s="58" t="s">
        <v>1471</v>
      </c>
      <c r="J95" s="135" t="str">
        <f t="shared" si="3"/>
        <v>Livre</v>
      </c>
      <c r="M95" s="8" t="s">
        <v>1452</v>
      </c>
      <c r="N95" s="110">
        <f t="shared" si="7"/>
        <v>8.5099283988957897</v>
      </c>
      <c r="V95" s="314" t="s">
        <v>283</v>
      </c>
      <c r="W95" s="314"/>
      <c r="X95" s="313"/>
    </row>
    <row r="96" spans="2:24">
      <c r="B96" s="287">
        <v>12.729468599033815</v>
      </c>
      <c r="C96" s="5" t="s">
        <v>105</v>
      </c>
      <c r="D96" s="5" t="s">
        <v>1584</v>
      </c>
      <c r="E96" s="308">
        <f t="shared" si="4"/>
        <v>14.749468599033815</v>
      </c>
      <c r="F96" s="309">
        <f t="shared" si="6"/>
        <v>44.248405797101441</v>
      </c>
      <c r="G96" s="309">
        <f t="shared" si="5"/>
        <v>21.386729468599032</v>
      </c>
      <c r="H96" s="80"/>
      <c r="I96" s="8" t="s">
        <v>1472</v>
      </c>
      <c r="J96" s="135" t="str">
        <f t="shared" si="3"/>
        <v>Livre</v>
      </c>
      <c r="M96" s="8" t="s">
        <v>1453</v>
      </c>
      <c r="N96" s="110">
        <f t="shared" si="7"/>
        <v>8.0592224522659315</v>
      </c>
      <c r="V96" s="313" t="s">
        <v>355</v>
      </c>
      <c r="W96" s="318">
        <f>(N91+1.01)*1.45</f>
        <v>13.74878004227053</v>
      </c>
      <c r="X96" s="313"/>
    </row>
    <row r="97" spans="1:24">
      <c r="B97" s="287">
        <v>18.381642512077295</v>
      </c>
      <c r="C97" s="5" t="s">
        <v>105</v>
      </c>
      <c r="D97" s="5" t="s">
        <v>1586</v>
      </c>
      <c r="E97" s="308">
        <f t="shared" si="4"/>
        <v>20.401642512077295</v>
      </c>
      <c r="F97" s="309">
        <f t="shared" si="6"/>
        <v>61.204927536231885</v>
      </c>
      <c r="G97" s="309">
        <f t="shared" si="5"/>
        <v>29.582381642512075</v>
      </c>
      <c r="H97" s="80"/>
      <c r="I97" s="8" t="s">
        <v>1473</v>
      </c>
      <c r="J97" s="135" t="str">
        <f t="shared" si="3"/>
        <v>Livre</v>
      </c>
      <c r="M97" s="8" t="s">
        <v>1454</v>
      </c>
      <c r="N97" s="110">
        <f t="shared" si="7"/>
        <v>8.65</v>
      </c>
      <c r="V97" s="313" t="s">
        <v>356</v>
      </c>
      <c r="W97" s="318">
        <f>(N92+1.01)*1.45</f>
        <v>11.875499999999999</v>
      </c>
      <c r="X97" s="313"/>
    </row>
    <row r="98" spans="1:24">
      <c r="B98" s="287">
        <v>10.719461697722569</v>
      </c>
      <c r="C98" s="5" t="s">
        <v>105</v>
      </c>
      <c r="D98" s="5" t="s">
        <v>1588</v>
      </c>
      <c r="E98" s="308">
        <f t="shared" si="4"/>
        <v>12.739461697722568</v>
      </c>
      <c r="F98" s="309">
        <f t="shared" si="6"/>
        <v>38.218385093167704</v>
      </c>
      <c r="G98" s="309">
        <f t="shared" si="5"/>
        <v>18.472219461697723</v>
      </c>
      <c r="H98" s="80"/>
      <c r="I98" s="8" t="s">
        <v>1474</v>
      </c>
      <c r="J98" s="135" t="str">
        <f t="shared" si="3"/>
        <v>Livre</v>
      </c>
      <c r="M98" s="8" t="s">
        <v>1455</v>
      </c>
      <c r="N98" s="110">
        <f t="shared" si="7"/>
        <v>8.59</v>
      </c>
      <c r="V98" s="313" t="s">
        <v>363</v>
      </c>
      <c r="W98" s="318">
        <f>(N93+1.01)*1.45</f>
        <v>18.791999999999998</v>
      </c>
      <c r="X98" s="313"/>
    </row>
    <row r="99" spans="1:24">
      <c r="A99" t="s">
        <v>1610</v>
      </c>
      <c r="B99" s="287">
        <v>28.97</v>
      </c>
      <c r="C99" s="5" t="s">
        <v>105</v>
      </c>
      <c r="D99" s="5" t="s">
        <v>1610</v>
      </c>
      <c r="E99" s="308">
        <f t="shared" ref="E99:E104" si="10">IF(B99&gt;0, B99+2.02, "")</f>
        <v>30.99</v>
      </c>
      <c r="F99" s="309">
        <f t="shared" ref="F99:F104" si="11">IF(E99&lt;&gt;"", E99 * (1 + $H$3), "")</f>
        <v>92.97</v>
      </c>
      <c r="G99" s="309">
        <f t="shared" ref="G99:G104" si="12">IF(E99&lt;&gt;"", E99 * (1 + $H$2), "")</f>
        <v>44.935499999999998</v>
      </c>
      <c r="H99" s="80"/>
      <c r="I99" s="8" t="s">
        <v>1475</v>
      </c>
      <c r="J99" s="135" t="str">
        <f t="shared" si="3"/>
        <v>Livre</v>
      </c>
      <c r="M99" s="8" t="s">
        <v>1462</v>
      </c>
      <c r="N99" s="110">
        <f t="shared" si="7"/>
        <v>9.11</v>
      </c>
      <c r="V99" s="314" t="s">
        <v>284</v>
      </c>
      <c r="W99" s="314"/>
      <c r="X99" s="313"/>
    </row>
    <row r="100" spans="1:24">
      <c r="A100" t="s">
        <v>1611</v>
      </c>
      <c r="B100" s="287">
        <v>44.84</v>
      </c>
      <c r="C100" s="5" t="s">
        <v>105</v>
      </c>
      <c r="D100" s="5" t="s">
        <v>1611</v>
      </c>
      <c r="E100" s="308">
        <f t="shared" si="10"/>
        <v>46.860000000000007</v>
      </c>
      <c r="F100" s="309">
        <f t="shared" si="11"/>
        <v>140.58000000000001</v>
      </c>
      <c r="G100" s="309">
        <f t="shared" si="12"/>
        <v>67.947000000000003</v>
      </c>
      <c r="H100" s="80"/>
      <c r="I100" s="8" t="s">
        <v>1476</v>
      </c>
      <c r="J100" s="135" t="str">
        <f t="shared" si="3"/>
        <v>Livre</v>
      </c>
      <c r="M100" s="8" t="s">
        <v>1463</v>
      </c>
      <c r="N100" s="110">
        <f t="shared" si="7"/>
        <v>30.34</v>
      </c>
      <c r="V100" s="313" t="s">
        <v>132</v>
      </c>
      <c r="W100" s="318">
        <f t="shared" ref="W100:W112" si="13">(N94+1.01)*1.45</f>
        <v>17.6755</v>
      </c>
      <c r="X100" s="313"/>
    </row>
    <row r="101" spans="1:24">
      <c r="A101" t="s">
        <v>1612</v>
      </c>
      <c r="B101" s="287">
        <v>13.71</v>
      </c>
      <c r="C101" s="5" t="s">
        <v>105</v>
      </c>
      <c r="D101" s="5" t="s">
        <v>1612</v>
      </c>
      <c r="E101" s="308">
        <f t="shared" si="10"/>
        <v>15.73</v>
      </c>
      <c r="F101" s="309">
        <f t="shared" si="11"/>
        <v>47.19</v>
      </c>
      <c r="G101" s="309">
        <f t="shared" si="12"/>
        <v>22.808499999999999</v>
      </c>
      <c r="I101" s="8" t="s">
        <v>338</v>
      </c>
      <c r="J101" s="135" t="str">
        <f t="shared" si="3"/>
        <v>Livre</v>
      </c>
      <c r="M101" s="8" t="s">
        <v>1464</v>
      </c>
      <c r="N101" s="110">
        <f t="shared" si="7"/>
        <v>27.037600000000001</v>
      </c>
      <c r="V101" s="313" t="s">
        <v>400</v>
      </c>
      <c r="W101" s="318">
        <f t="shared" si="13"/>
        <v>13.803896178398894</v>
      </c>
      <c r="X101" s="313"/>
    </row>
    <row r="102" spans="1:24">
      <c r="A102" t="s">
        <v>1613</v>
      </c>
      <c r="B102" s="287">
        <v>13.71</v>
      </c>
      <c r="C102" s="5" t="s">
        <v>105</v>
      </c>
      <c r="D102" s="5" t="s">
        <v>1613</v>
      </c>
      <c r="E102" s="308">
        <f t="shared" si="10"/>
        <v>15.73</v>
      </c>
      <c r="F102" s="309">
        <f t="shared" si="11"/>
        <v>47.19</v>
      </c>
      <c r="G102" s="309">
        <f t="shared" si="12"/>
        <v>22.808499999999999</v>
      </c>
      <c r="I102" s="8" t="s">
        <v>1477</v>
      </c>
      <c r="J102" s="135" t="str">
        <f t="shared" si="3"/>
        <v>Livre</v>
      </c>
      <c r="M102" s="8" t="s">
        <v>1465</v>
      </c>
      <c r="N102" s="110">
        <f t="shared" si="7"/>
        <v>28.410755173340494</v>
      </c>
      <c r="V102" s="313" t="s">
        <v>131</v>
      </c>
      <c r="W102" s="318">
        <f t="shared" si="13"/>
        <v>13.1503725557856</v>
      </c>
      <c r="X102" s="313"/>
    </row>
    <row r="103" spans="1:24">
      <c r="A103" t="s">
        <v>1614</v>
      </c>
      <c r="B103" s="287">
        <v>11.52</v>
      </c>
      <c r="C103" s="5" t="s">
        <v>105</v>
      </c>
      <c r="D103" s="5" t="s">
        <v>1614</v>
      </c>
      <c r="E103" s="308">
        <f t="shared" si="10"/>
        <v>13.54</v>
      </c>
      <c r="F103" s="309">
        <f t="shared" si="11"/>
        <v>40.619999999999997</v>
      </c>
      <c r="G103" s="309">
        <f t="shared" si="12"/>
        <v>19.632999999999999</v>
      </c>
      <c r="I103" s="8" t="s">
        <v>1478</v>
      </c>
      <c r="J103" s="135" t="str">
        <f t="shared" si="3"/>
        <v>Livre</v>
      </c>
      <c r="M103" s="8" t="s">
        <v>1466</v>
      </c>
      <c r="N103" s="110">
        <f t="shared" si="7"/>
        <v>36.305714285714288</v>
      </c>
      <c r="V103" s="313" t="s">
        <v>373</v>
      </c>
      <c r="W103" s="318">
        <f t="shared" si="13"/>
        <v>14.007</v>
      </c>
      <c r="X103" s="313"/>
    </row>
    <row r="104" spans="1:24">
      <c r="A104" t="s">
        <v>1615</v>
      </c>
      <c r="B104" s="287">
        <v>7.05</v>
      </c>
      <c r="C104" s="5" t="s">
        <v>105</v>
      </c>
      <c r="D104" s="5" t="s">
        <v>1615</v>
      </c>
      <c r="E104" s="308">
        <f t="shared" si="10"/>
        <v>9.07</v>
      </c>
      <c r="F104" s="309">
        <f t="shared" si="11"/>
        <v>27.21</v>
      </c>
      <c r="G104" s="309">
        <f t="shared" si="12"/>
        <v>13.1515</v>
      </c>
      <c r="I104" s="8" t="s">
        <v>342</v>
      </c>
      <c r="J104" s="135" t="str">
        <f t="shared" si="3"/>
        <v>Livre</v>
      </c>
      <c r="M104" s="8" t="s">
        <v>1467</v>
      </c>
      <c r="N104" s="110">
        <f t="shared" si="7"/>
        <v>14.33968</v>
      </c>
      <c r="V104" s="313" t="s">
        <v>403</v>
      </c>
      <c r="W104" s="318">
        <f t="shared" si="13"/>
        <v>13.92</v>
      </c>
      <c r="X104" s="313"/>
    </row>
    <row r="105" spans="1:24">
      <c r="A105" t="s">
        <v>1616</v>
      </c>
      <c r="B105" s="287">
        <v>18.38</v>
      </c>
      <c r="C105" s="5" t="s">
        <v>105</v>
      </c>
      <c r="D105" s="5" t="s">
        <v>1616</v>
      </c>
      <c r="E105" s="308">
        <f t="shared" ref="E105:E110" si="14">IF(B105&gt;0, B105+2.02, "")</f>
        <v>20.399999999999999</v>
      </c>
      <c r="F105" s="309">
        <f t="shared" ref="F105:F110" si="15">IF(E105&lt;&gt;"", E105 * (1 + $H$3), "")</f>
        <v>61.199999999999996</v>
      </c>
      <c r="G105" s="309">
        <f t="shared" ref="G105:G110" si="16">IF(E105&lt;&gt;"", E105 * (1 + $H$2), "")</f>
        <v>29.58</v>
      </c>
      <c r="I105" s="8" t="s">
        <v>1479</v>
      </c>
      <c r="J105" s="135" t="str">
        <f t="shared" si="3"/>
        <v>Livre</v>
      </c>
      <c r="M105" s="8" t="s">
        <v>1468</v>
      </c>
      <c r="N105" s="110">
        <f t="shared" si="7"/>
        <v>17.469577744659713</v>
      </c>
      <c r="V105" s="313" t="s">
        <v>358</v>
      </c>
      <c r="W105" s="318">
        <f t="shared" si="13"/>
        <v>14.673999999999998</v>
      </c>
      <c r="X105" s="313"/>
    </row>
    <row r="106" spans="1:24">
      <c r="A106" t="s">
        <v>1617</v>
      </c>
      <c r="B106" s="287">
        <v>10.72</v>
      </c>
      <c r="C106" s="5" t="s">
        <v>105</v>
      </c>
      <c r="D106" s="5" t="s">
        <v>1617</v>
      </c>
      <c r="E106" s="308">
        <f t="shared" si="14"/>
        <v>12.74</v>
      </c>
      <c r="F106" s="309">
        <f t="shared" si="15"/>
        <v>38.22</v>
      </c>
      <c r="G106" s="309">
        <f t="shared" si="16"/>
        <v>18.472999999999999</v>
      </c>
      <c r="I106" s="8" t="s">
        <v>1480</v>
      </c>
      <c r="J106" s="135" t="str">
        <f t="shared" si="3"/>
        <v>Livre</v>
      </c>
      <c r="M106" s="8" t="s">
        <v>1469</v>
      </c>
      <c r="N106" s="110">
        <f t="shared" si="7"/>
        <v>28.55170731707317</v>
      </c>
      <c r="V106" s="313" t="s">
        <v>385</v>
      </c>
      <c r="W106" s="318">
        <f t="shared" si="13"/>
        <v>45.457500000000003</v>
      </c>
      <c r="X106" s="313"/>
    </row>
    <row r="107" spans="1:24">
      <c r="A107" t="s">
        <v>1618</v>
      </c>
      <c r="B107" s="287">
        <v>6.26</v>
      </c>
      <c r="C107" s="5" t="s">
        <v>105</v>
      </c>
      <c r="D107" s="5" t="s">
        <v>1618</v>
      </c>
      <c r="E107" s="308">
        <f t="shared" si="14"/>
        <v>8.2799999999999994</v>
      </c>
      <c r="F107" s="309">
        <f t="shared" si="15"/>
        <v>24.839999999999996</v>
      </c>
      <c r="G107" s="309">
        <f t="shared" si="16"/>
        <v>12.005999999999998</v>
      </c>
      <c r="I107" s="8" t="s">
        <v>1481</v>
      </c>
      <c r="J107" s="135" t="str">
        <f t="shared" si="3"/>
        <v>Livre</v>
      </c>
      <c r="M107" s="8" t="s">
        <v>1470</v>
      </c>
      <c r="N107" s="110">
        <f t="shared" si="7"/>
        <v>7.1199999999999992</v>
      </c>
      <c r="V107" s="313" t="s">
        <v>386</v>
      </c>
      <c r="W107" s="318">
        <f t="shared" si="13"/>
        <v>40.669020000000003</v>
      </c>
      <c r="X107" s="313"/>
    </row>
    <row r="108" spans="1:24">
      <c r="A108" t="s">
        <v>1619</v>
      </c>
      <c r="B108" s="287">
        <v>8.89</v>
      </c>
      <c r="C108" s="5" t="s">
        <v>98</v>
      </c>
      <c r="D108" s="5" t="s">
        <v>1619</v>
      </c>
      <c r="E108" s="308">
        <f t="shared" si="14"/>
        <v>10.91</v>
      </c>
      <c r="F108" s="309">
        <f t="shared" si="15"/>
        <v>32.730000000000004</v>
      </c>
      <c r="G108" s="309">
        <f t="shared" si="16"/>
        <v>15.8195</v>
      </c>
      <c r="I108" s="8" t="s">
        <v>1482</v>
      </c>
      <c r="J108" s="135" t="str">
        <f t="shared" si="3"/>
        <v>Livre</v>
      </c>
      <c r="M108" s="58" t="s">
        <v>1471</v>
      </c>
      <c r="N108" s="110">
        <f t="shared" si="7"/>
        <v>34.759200000000007</v>
      </c>
      <c r="V108" s="313" t="s">
        <v>366</v>
      </c>
      <c r="W108" s="318">
        <f t="shared" si="13"/>
        <v>42.66009500134372</v>
      </c>
      <c r="X108" s="313"/>
    </row>
    <row r="109" spans="1:24">
      <c r="A109" t="s">
        <v>1620</v>
      </c>
      <c r="B109" s="287">
        <v>31.99</v>
      </c>
      <c r="C109" s="5" t="s">
        <v>98</v>
      </c>
      <c r="D109" s="5" t="s">
        <v>1620</v>
      </c>
      <c r="E109" s="308">
        <f t="shared" si="14"/>
        <v>34.01</v>
      </c>
      <c r="F109" s="309">
        <f t="shared" si="15"/>
        <v>102.03</v>
      </c>
      <c r="G109" s="309">
        <f t="shared" si="16"/>
        <v>49.314499999999995</v>
      </c>
      <c r="I109" s="8" t="s">
        <v>1483</v>
      </c>
      <c r="J109" s="135" t="str">
        <f t="shared" si="3"/>
        <v>Livre</v>
      </c>
      <c r="M109" s="8" t="s">
        <v>1472</v>
      </c>
      <c r="N109" s="110">
        <f t="shared" si="7"/>
        <v>20.189954313356626</v>
      </c>
      <c r="V109" s="313" t="s">
        <v>397</v>
      </c>
      <c r="W109" s="318">
        <f t="shared" si="13"/>
        <v>54.107785714285711</v>
      </c>
      <c r="X109" s="313"/>
    </row>
    <row r="110" spans="1:24">
      <c r="A110" t="s">
        <v>1621</v>
      </c>
      <c r="B110" s="287">
        <v>6.46</v>
      </c>
      <c r="C110" s="5" t="s">
        <v>98</v>
      </c>
      <c r="D110" s="5" t="s">
        <v>1621</v>
      </c>
      <c r="E110" s="308">
        <f t="shared" si="14"/>
        <v>8.48</v>
      </c>
      <c r="F110" s="309">
        <f t="shared" si="15"/>
        <v>25.44</v>
      </c>
      <c r="G110" s="309">
        <f t="shared" si="16"/>
        <v>12.295999999999999</v>
      </c>
      <c r="I110" s="8" t="s">
        <v>1484</v>
      </c>
      <c r="J110" s="135" t="str">
        <f t="shared" si="3"/>
        <v>Não Pintar</v>
      </c>
      <c r="M110" s="8" t="s">
        <v>1473</v>
      </c>
      <c r="N110" s="110">
        <f t="shared" si="7"/>
        <v>25.6008</v>
      </c>
      <c r="V110" s="313" t="s">
        <v>394</v>
      </c>
      <c r="W110" s="318">
        <f t="shared" si="13"/>
        <v>22.257035999999999</v>
      </c>
      <c r="X110" s="313"/>
    </row>
    <row r="111" spans="1:24">
      <c r="A111" t="s">
        <v>1622</v>
      </c>
      <c r="B111" s="287">
        <v>7.0004967709885744</v>
      </c>
      <c r="C111" s="5" t="s">
        <v>98</v>
      </c>
      <c r="D111" s="5" t="s">
        <v>1622</v>
      </c>
      <c r="E111" s="308">
        <f t="shared" ref="E111:E116" si="17">IF(B111&gt;0, B111+2.02, "")</f>
        <v>9.0204967709885739</v>
      </c>
      <c r="F111" s="309">
        <f t="shared" ref="F111:F116" si="18">IF(E111&lt;&gt;"", E111 * (1 + $H$3), "")</f>
        <v>27.061490312965724</v>
      </c>
      <c r="G111" s="309">
        <f t="shared" ref="G111:G116" si="19">IF(E111&lt;&gt;"", E111 * (1 + $H$2), "")</f>
        <v>13.079720317933432</v>
      </c>
      <c r="I111" s="8" t="s">
        <v>1485</v>
      </c>
      <c r="J111" s="135" t="str">
        <f t="shared" si="3"/>
        <v>Livre</v>
      </c>
      <c r="M111" s="8" t="s">
        <v>1474</v>
      </c>
      <c r="N111" s="110">
        <f t="shared" si="7"/>
        <v>17.944490809736713</v>
      </c>
      <c r="V111" s="313" t="s">
        <v>402</v>
      </c>
      <c r="W111" s="318">
        <f t="shared" si="13"/>
        <v>26.795387729756584</v>
      </c>
      <c r="X111" s="313"/>
    </row>
    <row r="112" spans="1:24">
      <c r="A112" t="s">
        <v>1623</v>
      </c>
      <c r="B112" s="287">
        <v>5.9600596125186289</v>
      </c>
      <c r="C112" s="5" t="s">
        <v>98</v>
      </c>
      <c r="D112" s="5" t="s">
        <v>1623</v>
      </c>
      <c r="E112" s="308">
        <f t="shared" si="17"/>
        <v>7.9800596125186285</v>
      </c>
      <c r="F112" s="309">
        <f t="shared" si="18"/>
        <v>23.940178837555884</v>
      </c>
      <c r="G112" s="309">
        <f t="shared" si="19"/>
        <v>11.571086438152012</v>
      </c>
      <c r="I112" s="8" t="s">
        <v>1486</v>
      </c>
      <c r="J112" s="135" t="str">
        <f t="shared" si="3"/>
        <v>Não Pintar</v>
      </c>
      <c r="M112" s="8" t="s">
        <v>1475</v>
      </c>
      <c r="N112" s="110">
        <f t="shared" si="7"/>
        <v>13.4</v>
      </c>
      <c r="V112" s="313" t="s">
        <v>401</v>
      </c>
      <c r="W112" s="318">
        <f t="shared" si="13"/>
        <v>42.864475609756099</v>
      </c>
      <c r="X112" s="313"/>
    </row>
    <row r="113" spans="1:24">
      <c r="A113" t="s">
        <v>1624</v>
      </c>
      <c r="B113">
        <v>6.5096870342771984</v>
      </c>
      <c r="C113" t="s">
        <v>98</v>
      </c>
      <c r="D113" t="s">
        <v>1624</v>
      </c>
      <c r="E113">
        <f t="shared" si="17"/>
        <v>8.5296870342771989</v>
      </c>
      <c r="F113">
        <f t="shared" si="18"/>
        <v>25.589061102831597</v>
      </c>
      <c r="G113">
        <f t="shared" si="19"/>
        <v>12.368046199701938</v>
      </c>
      <c r="I113" s="8" t="s">
        <v>1487</v>
      </c>
      <c r="J113" s="135" t="str">
        <f t="shared" si="3"/>
        <v>Não Pintar</v>
      </c>
      <c r="M113" s="8" t="s">
        <v>1476</v>
      </c>
      <c r="N113" s="110">
        <f t="shared" si="7"/>
        <v>22.54955787382017</v>
      </c>
      <c r="V113" s="314" t="s">
        <v>369</v>
      </c>
      <c r="W113" s="314"/>
      <c r="X113" s="313"/>
    </row>
    <row r="114" spans="1:24">
      <c r="A114" t="s">
        <v>1625</v>
      </c>
      <c r="B114">
        <v>6.5096618357487914</v>
      </c>
      <c r="C114" t="s">
        <v>98</v>
      </c>
      <c r="D114" t="s">
        <v>1625</v>
      </c>
      <c r="E114">
        <f t="shared" si="17"/>
        <v>8.5296618357487919</v>
      </c>
      <c r="F114">
        <f t="shared" si="18"/>
        <v>25.588985507246377</v>
      </c>
      <c r="G114">
        <f t="shared" si="19"/>
        <v>12.368009661835748</v>
      </c>
      <c r="I114" s="8" t="s">
        <v>1488</v>
      </c>
      <c r="J114" s="135" t="str">
        <f t="shared" si="3"/>
        <v>Não Pintar</v>
      </c>
      <c r="M114" s="8" t="s">
        <v>338</v>
      </c>
      <c r="N114" s="110">
        <f t="shared" si="7"/>
        <v>14.16</v>
      </c>
      <c r="V114" s="313" t="s">
        <v>380</v>
      </c>
      <c r="W114" s="318">
        <f>(N107+1.01)*1.45</f>
        <v>11.788499999999997</v>
      </c>
      <c r="X114" s="313"/>
    </row>
    <row r="115" spans="1:24">
      <c r="A115" t="s">
        <v>333</v>
      </c>
      <c r="B115">
        <v>16.77</v>
      </c>
      <c r="C115" t="s">
        <v>98</v>
      </c>
      <c r="D115" t="s">
        <v>333</v>
      </c>
      <c r="E115">
        <f t="shared" si="17"/>
        <v>18.79</v>
      </c>
      <c r="F115">
        <f t="shared" si="18"/>
        <v>56.37</v>
      </c>
      <c r="G115">
        <f t="shared" si="19"/>
        <v>27.245499999999996</v>
      </c>
      <c r="I115" s="8" t="s">
        <v>1489</v>
      </c>
      <c r="J115" s="135" t="str">
        <f t="shared" si="3"/>
        <v>Não Pintar</v>
      </c>
      <c r="M115" s="8" t="s">
        <v>1477</v>
      </c>
      <c r="N115" s="110">
        <f t="shared" si="7"/>
        <v>16.873770491803281</v>
      </c>
      <c r="V115" s="314" t="s">
        <v>285</v>
      </c>
      <c r="W115" s="314"/>
      <c r="X115" s="313"/>
    </row>
    <row r="116" spans="1:24">
      <c r="A116" t="s">
        <v>96</v>
      </c>
      <c r="B116">
        <v>14.33</v>
      </c>
      <c r="C116" t="s">
        <v>98</v>
      </c>
      <c r="D116" t="s">
        <v>96</v>
      </c>
      <c r="E116">
        <f t="shared" si="17"/>
        <v>16.350000000000001</v>
      </c>
      <c r="F116">
        <f t="shared" si="18"/>
        <v>49.050000000000004</v>
      </c>
      <c r="G116">
        <f t="shared" si="19"/>
        <v>23.7075</v>
      </c>
      <c r="I116" s="8" t="s">
        <v>1490</v>
      </c>
      <c r="J116" s="135" t="str">
        <f t="shared" si="3"/>
        <v>Não Pintar</v>
      </c>
      <c r="M116" s="8" t="s">
        <v>1478</v>
      </c>
      <c r="N116" s="110">
        <f t="shared" si="7"/>
        <v>36.870069013112499</v>
      </c>
      <c r="V116" s="315" t="s">
        <v>135</v>
      </c>
      <c r="W116" s="319">
        <f>(N108+1.01)*1.45</f>
        <v>51.865340000000003</v>
      </c>
      <c r="X116" s="313"/>
    </row>
    <row r="117" spans="1:24">
      <c r="A117" t="s">
        <v>319</v>
      </c>
      <c r="B117">
        <v>5.49</v>
      </c>
      <c r="C117" t="s">
        <v>98</v>
      </c>
      <c r="D117" t="s">
        <v>319</v>
      </c>
      <c r="E117">
        <f t="shared" ref="E117:E123" si="20">IF(B117&gt;0, B117+2.02, "")</f>
        <v>7.51</v>
      </c>
      <c r="F117">
        <f t="shared" ref="F117:F123" si="21">IF(E117&lt;&gt;"", E117 * (1 + $H$3), "")</f>
        <v>22.53</v>
      </c>
      <c r="G117">
        <f t="shared" ref="G117:G123" si="22">IF(E117&lt;&gt;"", E117 * (1 + $H$2), "")</f>
        <v>10.8895</v>
      </c>
      <c r="I117" s="8" t="s">
        <v>1491</v>
      </c>
      <c r="J117" s="135" t="str">
        <f t="shared" si="3"/>
        <v>Não Pintar</v>
      </c>
      <c r="M117" s="8" t="s">
        <v>342</v>
      </c>
      <c r="N117" s="110">
        <f t="shared" si="7"/>
        <v>16.580041407867494</v>
      </c>
      <c r="V117" s="313" t="s">
        <v>133</v>
      </c>
      <c r="W117" s="319">
        <f>(N109+1.01)*1.45</f>
        <v>30.739933754367108</v>
      </c>
      <c r="X117" s="313"/>
    </row>
    <row r="118" spans="1:24">
      <c r="A118" t="s">
        <v>342</v>
      </c>
      <c r="B118">
        <v>15.7</v>
      </c>
      <c r="C118" t="s">
        <v>98</v>
      </c>
      <c r="D118" t="s">
        <v>342</v>
      </c>
      <c r="E118">
        <f t="shared" si="20"/>
        <v>17.72</v>
      </c>
      <c r="F118">
        <f t="shared" si="21"/>
        <v>53.16</v>
      </c>
      <c r="G118">
        <f t="shared" si="22"/>
        <v>25.693999999999999</v>
      </c>
      <c r="I118" s="8" t="s">
        <v>1495</v>
      </c>
      <c r="J118" s="135" t="str">
        <f t="shared" si="3"/>
        <v>Não Pintar</v>
      </c>
      <c r="M118" s="8" t="s">
        <v>1479</v>
      </c>
      <c r="N118" s="110">
        <f t="shared" si="7"/>
        <v>21.406186509002957</v>
      </c>
      <c r="V118" s="313" t="s">
        <v>134</v>
      </c>
      <c r="W118" s="319">
        <f>(N110+1.01)*1.45</f>
        <v>38.585659999999997</v>
      </c>
      <c r="X118" s="313"/>
    </row>
    <row r="119" spans="1:24">
      <c r="A119" t="s">
        <v>1626</v>
      </c>
      <c r="B119">
        <v>5.34</v>
      </c>
      <c r="C119" t="s">
        <v>98</v>
      </c>
      <c r="D119" t="s">
        <v>1627</v>
      </c>
      <c r="E119">
        <f t="shared" si="20"/>
        <v>7.3599999999999994</v>
      </c>
      <c r="F119">
        <f t="shared" si="21"/>
        <v>22.08</v>
      </c>
      <c r="G119">
        <f t="shared" si="22"/>
        <v>10.671999999999999</v>
      </c>
      <c r="I119" s="8" t="s">
        <v>1496</v>
      </c>
      <c r="J119" s="135" t="str">
        <f t="shared" si="3"/>
        <v>Não Pintar</v>
      </c>
      <c r="M119" s="8" t="s">
        <v>1480</v>
      </c>
      <c r="N119" s="110">
        <f t="shared" si="7"/>
        <v>4.5641514215569812</v>
      </c>
      <c r="V119" s="314" t="s">
        <v>286</v>
      </c>
      <c r="W119" s="314"/>
      <c r="X119" s="313"/>
    </row>
    <row r="120" spans="1:24">
      <c r="A120" t="s">
        <v>1628</v>
      </c>
      <c r="B120">
        <v>5.1100000000000003</v>
      </c>
      <c r="C120" t="s">
        <v>98</v>
      </c>
      <c r="D120" t="s">
        <v>101</v>
      </c>
      <c r="E120">
        <f t="shared" si="20"/>
        <v>7.1300000000000008</v>
      </c>
      <c r="F120">
        <f t="shared" si="21"/>
        <v>21.39</v>
      </c>
      <c r="G120">
        <f t="shared" si="22"/>
        <v>10.338500000000002</v>
      </c>
      <c r="I120" s="8" t="s">
        <v>1497</v>
      </c>
      <c r="J120" s="135" t="str">
        <f t="shared" si="3"/>
        <v>Não Pintar</v>
      </c>
      <c r="M120" s="8" t="s">
        <v>1481</v>
      </c>
      <c r="N120" s="110">
        <f t="shared" si="7"/>
        <v>7.84</v>
      </c>
      <c r="V120" s="313" t="s">
        <v>388</v>
      </c>
      <c r="W120" s="318">
        <f t="shared" ref="W120:W127" si="23">(N111+1.01)*1.45</f>
        <v>27.484011674118236</v>
      </c>
      <c r="X120" s="313"/>
    </row>
    <row r="121" spans="1:24">
      <c r="A121" t="s">
        <v>1629</v>
      </c>
      <c r="B121">
        <v>4.8499999999999996</v>
      </c>
      <c r="C121" t="s">
        <v>1304</v>
      </c>
      <c r="D121" t="s">
        <v>1629</v>
      </c>
      <c r="E121">
        <f t="shared" si="20"/>
        <v>6.8699999999999992</v>
      </c>
      <c r="F121">
        <f t="shared" si="21"/>
        <v>20.61</v>
      </c>
      <c r="G121">
        <f t="shared" si="22"/>
        <v>9.9614999999999991</v>
      </c>
      <c r="I121" s="8" t="s">
        <v>1498</v>
      </c>
      <c r="J121" s="135" t="str">
        <f t="shared" si="3"/>
        <v>Não Pintar</v>
      </c>
      <c r="M121" s="8" t="s">
        <v>1482</v>
      </c>
      <c r="N121" s="110">
        <f t="shared" si="7"/>
        <v>27.325514157973174</v>
      </c>
      <c r="V121" s="313" t="s">
        <v>368</v>
      </c>
      <c r="W121" s="318">
        <f t="shared" si="23"/>
        <v>20.894500000000001</v>
      </c>
      <c r="X121" s="313"/>
    </row>
    <row r="122" spans="1:24">
      <c r="A122" t="s">
        <v>1630</v>
      </c>
      <c r="B122">
        <v>5.19</v>
      </c>
      <c r="C122" t="s">
        <v>1634</v>
      </c>
      <c r="D122" t="s">
        <v>1631</v>
      </c>
      <c r="E122">
        <f t="shared" si="20"/>
        <v>7.2100000000000009</v>
      </c>
      <c r="F122">
        <f t="shared" si="21"/>
        <v>21.630000000000003</v>
      </c>
      <c r="G122">
        <f t="shared" si="22"/>
        <v>10.454500000000001</v>
      </c>
      <c r="I122" s="8" t="s">
        <v>1499</v>
      </c>
      <c r="J122" s="135" t="str">
        <f t="shared" si="3"/>
        <v>Não Pintar</v>
      </c>
      <c r="M122" s="8" t="s">
        <v>1483</v>
      </c>
      <c r="N122" s="110">
        <f t="shared" si="7"/>
        <v>23.581599999999998</v>
      </c>
      <c r="V122" s="313" t="s">
        <v>362</v>
      </c>
      <c r="W122" s="318">
        <f t="shared" si="23"/>
        <v>34.161358917039244</v>
      </c>
      <c r="X122" s="313"/>
    </row>
    <row r="123" spans="1:24">
      <c r="A123" t="s">
        <v>1632</v>
      </c>
      <c r="B123">
        <v>6.8</v>
      </c>
      <c r="C123" t="s">
        <v>1304</v>
      </c>
      <c r="D123" t="s">
        <v>1303</v>
      </c>
      <c r="E123">
        <f t="shared" si="20"/>
        <v>8.82</v>
      </c>
      <c r="F123">
        <f t="shared" si="21"/>
        <v>26.46</v>
      </c>
      <c r="G123">
        <f t="shared" si="22"/>
        <v>12.789</v>
      </c>
      <c r="I123" s="8" t="s">
        <v>1500</v>
      </c>
      <c r="J123" s="135" t="str">
        <f t="shared" si="3"/>
        <v>Não Pintar</v>
      </c>
      <c r="M123" s="8" t="s">
        <v>1484</v>
      </c>
      <c r="N123" s="110">
        <f t="shared" si="7"/>
        <v>14.749899930986887</v>
      </c>
      <c r="V123" s="313" t="s">
        <v>371</v>
      </c>
      <c r="W123" s="318">
        <f t="shared" si="23"/>
        <v>21.996499999999997</v>
      </c>
      <c r="X123" s="313"/>
    </row>
    <row r="124" spans="1:24">
      <c r="A124" t="s">
        <v>1633</v>
      </c>
      <c r="B124">
        <v>8.64</v>
      </c>
      <c r="C124" t="s">
        <v>1634</v>
      </c>
      <c r="D124" t="s">
        <v>1633</v>
      </c>
      <c r="E124">
        <f t="shared" ref="E124:E129" si="24">IF(B124&gt;0, B124+2.02, "")</f>
        <v>10.66</v>
      </c>
      <c r="F124">
        <f t="shared" ref="F124:F129" si="25">IF(E124&lt;&gt;"", E124 * (1 + $H$3), "")</f>
        <v>31.98</v>
      </c>
      <c r="G124">
        <f t="shared" ref="G124:G129" si="26">IF(E124&lt;&gt;"", E124 * (1 + $H$2), "")</f>
        <v>15.456999999999999</v>
      </c>
      <c r="I124" s="8" t="s">
        <v>1501</v>
      </c>
      <c r="J124" s="135" t="str">
        <f t="shared" ref="J124:J145" si="27">IF(I124="", "", IF(OR(ISNUMBER(FIND("MDF", I124)), ISNUMBER(FIND("Folheado", I124)), ISNUMBER(FIND("Tricapa", I124)), ISNUMBER(FIND("Contraplacado", I124)), ISNUMBER(FIND("Valchromat", I124))), "Livre", "Não Pintar"))</f>
        <v>Não Pintar</v>
      </c>
      <c r="M124" s="8" t="s">
        <v>1485</v>
      </c>
      <c r="N124" s="110">
        <f t="shared" si="7"/>
        <v>23.983423050379571</v>
      </c>
      <c r="V124" s="313" t="s">
        <v>391</v>
      </c>
      <c r="W124" s="318">
        <f t="shared" si="23"/>
        <v>25.931467213114757</v>
      </c>
      <c r="X124" s="313"/>
    </row>
    <row r="125" spans="1:24">
      <c r="A125" t="s">
        <v>1635</v>
      </c>
      <c r="B125">
        <v>13.36</v>
      </c>
      <c r="C125" t="s">
        <v>1634</v>
      </c>
      <c r="D125" t="s">
        <v>1635</v>
      </c>
      <c r="E125">
        <f t="shared" si="24"/>
        <v>15.379999999999999</v>
      </c>
      <c r="F125">
        <f t="shared" si="25"/>
        <v>46.14</v>
      </c>
      <c r="G125">
        <f t="shared" si="26"/>
        <v>22.300999999999998</v>
      </c>
      <c r="I125" s="8" t="s">
        <v>1502</v>
      </c>
      <c r="J125" s="135" t="str">
        <f t="shared" si="27"/>
        <v>Não Pintar</v>
      </c>
      <c r="M125" s="8" t="s">
        <v>1486</v>
      </c>
      <c r="N125" s="110">
        <f t="shared" si="7"/>
        <v>13.255334713595584</v>
      </c>
      <c r="V125" s="313" t="s">
        <v>392</v>
      </c>
      <c r="W125" s="318">
        <f t="shared" si="23"/>
        <v>54.926100069013117</v>
      </c>
      <c r="X125" s="313"/>
    </row>
    <row r="126" spans="1:24">
      <c r="A126" t="s">
        <v>1636</v>
      </c>
      <c r="B126">
        <v>4.7</v>
      </c>
      <c r="C126" t="s">
        <v>1634</v>
      </c>
      <c r="D126" t="s">
        <v>1636</v>
      </c>
      <c r="E126">
        <f t="shared" si="24"/>
        <v>6.7200000000000006</v>
      </c>
      <c r="F126">
        <f t="shared" si="25"/>
        <v>20.160000000000004</v>
      </c>
      <c r="G126">
        <f t="shared" si="26"/>
        <v>9.7439999999999998</v>
      </c>
      <c r="I126" s="8" t="s">
        <v>1503</v>
      </c>
      <c r="J126" s="135" t="str">
        <f t="shared" si="27"/>
        <v>Não Pintar</v>
      </c>
      <c r="M126" s="8" t="s">
        <v>1487</v>
      </c>
      <c r="N126" s="110">
        <f t="shared" si="7"/>
        <v>14.835734989648032</v>
      </c>
      <c r="V126" s="313" t="s">
        <v>398</v>
      </c>
      <c r="W126" s="318">
        <f t="shared" si="23"/>
        <v>25.505560041407868</v>
      </c>
      <c r="X126" s="313"/>
    </row>
    <row r="127" spans="1:24">
      <c r="A127" t="s">
        <v>1637</v>
      </c>
      <c r="B127">
        <v>17.77</v>
      </c>
      <c r="C127" t="s">
        <v>1634</v>
      </c>
      <c r="D127" t="s">
        <v>1637</v>
      </c>
      <c r="E127">
        <f t="shared" si="24"/>
        <v>19.79</v>
      </c>
      <c r="F127">
        <f t="shared" si="25"/>
        <v>59.37</v>
      </c>
      <c r="G127">
        <f t="shared" si="26"/>
        <v>28.695499999999999</v>
      </c>
      <c r="I127" s="8" t="s">
        <v>1504</v>
      </c>
      <c r="J127" s="135" t="str">
        <f t="shared" si="27"/>
        <v>Não Pintar</v>
      </c>
      <c r="M127" s="8" t="s">
        <v>1488</v>
      </c>
      <c r="N127" s="110">
        <f t="shared" si="7"/>
        <v>13.538288474810214</v>
      </c>
      <c r="V127" s="313" t="s">
        <v>395</v>
      </c>
      <c r="W127" s="318">
        <f t="shared" si="23"/>
        <v>32.503470438054286</v>
      </c>
      <c r="X127" s="313"/>
    </row>
    <row r="128" spans="1:24">
      <c r="A128" t="s">
        <v>1638</v>
      </c>
      <c r="B128">
        <v>6.68</v>
      </c>
      <c r="C128" t="s">
        <v>1634</v>
      </c>
      <c r="D128" t="s">
        <v>1639</v>
      </c>
      <c r="E128">
        <f t="shared" si="24"/>
        <v>8.6999999999999993</v>
      </c>
      <c r="F128">
        <f t="shared" si="25"/>
        <v>26.099999999999998</v>
      </c>
      <c r="G128">
        <f t="shared" si="26"/>
        <v>12.614999999999998</v>
      </c>
      <c r="I128" s="8" t="s">
        <v>1505</v>
      </c>
      <c r="J128" s="135" t="str">
        <f t="shared" si="27"/>
        <v>Não Pintar</v>
      </c>
      <c r="M128" s="8" t="s">
        <v>1489</v>
      </c>
      <c r="N128" s="110">
        <f t="shared" si="7"/>
        <v>13.78269841269841</v>
      </c>
      <c r="V128" s="314" t="s">
        <v>323</v>
      </c>
      <c r="W128" s="314"/>
      <c r="X128" s="313"/>
    </row>
    <row r="129" spans="1:24">
      <c r="A129" t="s">
        <v>1640</v>
      </c>
      <c r="B129">
        <v>11.16</v>
      </c>
      <c r="C129" t="s">
        <v>1634</v>
      </c>
      <c r="D129" t="s">
        <v>1640</v>
      </c>
      <c r="E129">
        <f t="shared" si="24"/>
        <v>13.18</v>
      </c>
      <c r="F129">
        <f t="shared" si="25"/>
        <v>39.54</v>
      </c>
      <c r="G129">
        <f t="shared" si="26"/>
        <v>19.111000000000001</v>
      </c>
      <c r="I129" s="8" t="s">
        <v>1506</v>
      </c>
      <c r="J129" s="135" t="str">
        <f t="shared" si="27"/>
        <v>Livre</v>
      </c>
      <c r="M129" s="8" t="s">
        <v>1490</v>
      </c>
      <c r="N129" s="110">
        <f t="shared" si="7"/>
        <v>13.782422360248448</v>
      </c>
      <c r="V129" s="313" t="s">
        <v>137</v>
      </c>
      <c r="W129" s="318">
        <f>(N119+1.01)*1.45</f>
        <v>8.0825195612576213</v>
      </c>
      <c r="X129" s="313"/>
    </row>
    <row r="130" spans="1:24">
      <c r="A130" t="s">
        <v>1641</v>
      </c>
      <c r="B130">
        <v>16.329999999999998</v>
      </c>
      <c r="C130" t="s">
        <v>1634</v>
      </c>
      <c r="D130" t="s">
        <v>1641</v>
      </c>
      <c r="E130">
        <f t="shared" ref="E130:E135" si="28">IF(B130&gt;0, B130+2.02, "")</f>
        <v>18.349999999999998</v>
      </c>
      <c r="F130">
        <f t="shared" ref="F130:F135" si="29">IF(E130&lt;&gt;"", E130 * (1 + $H$3), "")</f>
        <v>55.05</v>
      </c>
      <c r="G130">
        <f t="shared" ref="G130:G135" si="30">IF(E130&lt;&gt;"", E130 * (1 + $H$2), "")</f>
        <v>26.607499999999995</v>
      </c>
      <c r="I130" s="8" t="s">
        <v>1507</v>
      </c>
      <c r="J130" s="135" t="str">
        <f t="shared" si="27"/>
        <v>Não Pintar</v>
      </c>
      <c r="M130" s="8" t="s">
        <v>1491</v>
      </c>
      <c r="N130" s="110">
        <f t="shared" si="7"/>
        <v>14.266376811594204</v>
      </c>
      <c r="V130" s="313" t="s">
        <v>138</v>
      </c>
      <c r="W130" s="318">
        <f>(N120+1.01)*1.45</f>
        <v>12.8325</v>
      </c>
      <c r="X130" s="313"/>
    </row>
    <row r="131" spans="1:24">
      <c r="A131" t="s">
        <v>1642</v>
      </c>
      <c r="B131">
        <v>16.989999999999998</v>
      </c>
      <c r="C131" t="s">
        <v>1634</v>
      </c>
      <c r="D131" t="s">
        <v>1642</v>
      </c>
      <c r="E131">
        <f t="shared" si="28"/>
        <v>19.009999999999998</v>
      </c>
      <c r="F131">
        <f t="shared" si="29"/>
        <v>57.029999999999994</v>
      </c>
      <c r="G131">
        <f t="shared" si="30"/>
        <v>27.564499999999995</v>
      </c>
      <c r="I131" s="8" t="s">
        <v>1508</v>
      </c>
      <c r="J131" s="135" t="str">
        <f t="shared" si="27"/>
        <v>Não Pintar</v>
      </c>
      <c r="M131" s="8" t="s">
        <v>1495</v>
      </c>
      <c r="N131" s="110">
        <f t="shared" si="7"/>
        <v>46.859544513457557</v>
      </c>
      <c r="V131" s="314" t="s">
        <v>322</v>
      </c>
      <c r="W131" s="314"/>
      <c r="X131" s="313"/>
    </row>
    <row r="132" spans="1:24">
      <c r="A132" t="s">
        <v>1643</v>
      </c>
      <c r="B132">
        <v>13.76</v>
      </c>
      <c r="C132" t="s">
        <v>1634</v>
      </c>
      <c r="D132" t="s">
        <v>1643</v>
      </c>
      <c r="E132">
        <f t="shared" si="28"/>
        <v>15.78</v>
      </c>
      <c r="F132">
        <f t="shared" si="29"/>
        <v>47.339999999999996</v>
      </c>
      <c r="G132">
        <f t="shared" si="30"/>
        <v>22.880999999999997</v>
      </c>
      <c r="I132" s="8" t="s">
        <v>1509</v>
      </c>
      <c r="J132" s="135" t="str">
        <f t="shared" si="27"/>
        <v>Não Pintar</v>
      </c>
      <c r="M132" s="8" t="s">
        <v>1496</v>
      </c>
      <c r="N132" s="110">
        <f t="shared" si="7"/>
        <v>30.991839865503838</v>
      </c>
      <c r="V132" s="313" t="s">
        <v>96</v>
      </c>
      <c r="W132" s="318">
        <f t="shared" ref="W132:W138" si="31">(N121+1.01)*1.45</f>
        <v>41.086495529061104</v>
      </c>
      <c r="X132" s="313"/>
    </row>
    <row r="133" spans="1:24">
      <c r="A133" t="s">
        <v>1644</v>
      </c>
      <c r="B133">
        <v>11.26</v>
      </c>
      <c r="C133" t="s">
        <v>1634</v>
      </c>
      <c r="D133" t="s">
        <v>1644</v>
      </c>
      <c r="E133">
        <f t="shared" si="28"/>
        <v>13.28</v>
      </c>
      <c r="F133">
        <f t="shared" si="29"/>
        <v>39.839999999999996</v>
      </c>
      <c r="G133">
        <f t="shared" si="30"/>
        <v>19.256</v>
      </c>
      <c r="I133" s="8" t="s">
        <v>1510</v>
      </c>
      <c r="J133" s="135" t="str">
        <f t="shared" si="27"/>
        <v>Não Pintar</v>
      </c>
      <c r="M133" s="8" t="s">
        <v>1497</v>
      </c>
      <c r="N133" s="110">
        <f t="shared" si="7"/>
        <v>13.833750862663903</v>
      </c>
      <c r="V133" s="313" t="s">
        <v>348</v>
      </c>
      <c r="W133" s="318">
        <f t="shared" si="31"/>
        <v>35.657820000000001</v>
      </c>
      <c r="X133" s="313"/>
    </row>
    <row r="134" spans="1:24">
      <c r="A134" t="s">
        <v>1645</v>
      </c>
      <c r="B134">
        <v>15.1</v>
      </c>
      <c r="C134" t="s">
        <v>105</v>
      </c>
      <c r="D134" t="s">
        <v>1646</v>
      </c>
      <c r="E134">
        <f t="shared" si="28"/>
        <v>17.12</v>
      </c>
      <c r="F134">
        <f t="shared" si="29"/>
        <v>51.36</v>
      </c>
      <c r="G134">
        <f t="shared" si="30"/>
        <v>24.824000000000002</v>
      </c>
      <c r="I134" s="58" t="s">
        <v>1511</v>
      </c>
      <c r="J134" s="135" t="str">
        <f t="shared" si="27"/>
        <v>Não Pintar</v>
      </c>
      <c r="M134" s="98" t="s">
        <v>1498</v>
      </c>
      <c r="N134" s="110">
        <f t="shared" si="7"/>
        <v>8.4252255866114556</v>
      </c>
      <c r="V134" s="313" t="s">
        <v>332</v>
      </c>
      <c r="W134" s="318">
        <f t="shared" si="31"/>
        <v>22.851854899930984</v>
      </c>
      <c r="X134" s="313"/>
    </row>
    <row r="135" spans="1:24">
      <c r="A135" t="s">
        <v>1647</v>
      </c>
      <c r="B135">
        <v>14.85</v>
      </c>
      <c r="C135" t="s">
        <v>98</v>
      </c>
      <c r="D135" t="s">
        <v>1654</v>
      </c>
      <c r="E135">
        <f t="shared" si="28"/>
        <v>16.87</v>
      </c>
      <c r="F135">
        <f t="shared" si="29"/>
        <v>50.61</v>
      </c>
      <c r="G135">
        <f t="shared" si="30"/>
        <v>24.461500000000001</v>
      </c>
      <c r="I135" s="58" t="s">
        <v>1512</v>
      </c>
      <c r="J135" s="135" t="str">
        <f t="shared" si="27"/>
        <v>Não Pintar</v>
      </c>
      <c r="M135" s="8" t="s">
        <v>1499</v>
      </c>
      <c r="N135" s="110">
        <f t="shared" si="7"/>
        <v>11.155117815243063</v>
      </c>
      <c r="V135" s="313" t="s">
        <v>315</v>
      </c>
      <c r="W135" s="318">
        <f t="shared" si="31"/>
        <v>36.240463423050379</v>
      </c>
      <c r="X135" s="313"/>
    </row>
    <row r="136" spans="1:24">
      <c r="A136" t="s">
        <v>1655</v>
      </c>
      <c r="B136">
        <v>4.47</v>
      </c>
      <c r="C136" t="s">
        <v>387</v>
      </c>
      <c r="D136" t="s">
        <v>1656</v>
      </c>
      <c r="E136">
        <f t="shared" ref="E136:E157" si="32">IF(B136&gt;0, B136+2.02, "")</f>
        <v>6.49</v>
      </c>
      <c r="F136">
        <f t="shared" ref="F136:F157" si="33">IF(E136&lt;&gt;"", E136 * (1 + $H$3), "")</f>
        <v>19.47</v>
      </c>
      <c r="G136">
        <f t="shared" ref="G136:G157" si="34">IF(E136&lt;&gt;"", E136 * (1 + $H$2), "")</f>
        <v>9.4105000000000008</v>
      </c>
      <c r="I136" s="8" t="s">
        <v>1513</v>
      </c>
      <c r="J136" s="135" t="str">
        <f t="shared" si="27"/>
        <v>Não Pintar</v>
      </c>
      <c r="M136" s="8" t="s">
        <v>1500</v>
      </c>
      <c r="N136" s="110">
        <f t="shared" si="7"/>
        <v>18.441670117322293</v>
      </c>
      <c r="V136" s="313" t="s">
        <v>321</v>
      </c>
      <c r="W136" s="318">
        <f t="shared" si="31"/>
        <v>20.684735334713597</v>
      </c>
      <c r="X136" s="313"/>
    </row>
    <row r="137" spans="1:24">
      <c r="A137" t="s">
        <v>1657</v>
      </c>
      <c r="B137">
        <v>4.47</v>
      </c>
      <c r="C137" t="s">
        <v>387</v>
      </c>
      <c r="D137" t="s">
        <v>1658</v>
      </c>
      <c r="E137">
        <f t="shared" si="32"/>
        <v>6.49</v>
      </c>
      <c r="F137">
        <f t="shared" si="33"/>
        <v>19.47</v>
      </c>
      <c r="G137">
        <f t="shared" si="34"/>
        <v>9.4105000000000008</v>
      </c>
      <c r="I137" s="8" t="s">
        <v>1514</v>
      </c>
      <c r="J137" s="135" t="str">
        <f t="shared" si="27"/>
        <v>Não Pintar</v>
      </c>
      <c r="M137" s="8" t="s">
        <v>1501</v>
      </c>
      <c r="N137" s="110">
        <f t="shared" si="7"/>
        <v>17.909029003783104</v>
      </c>
      <c r="V137" s="313" t="s">
        <v>313</v>
      </c>
      <c r="W137" s="318">
        <f t="shared" si="31"/>
        <v>22.976315734989644</v>
      </c>
      <c r="X137" s="313"/>
    </row>
    <row r="138" spans="1:24">
      <c r="A138" t="s">
        <v>1659</v>
      </c>
      <c r="B138">
        <v>4.47</v>
      </c>
      <c r="C138" t="s">
        <v>387</v>
      </c>
      <c r="D138" t="s">
        <v>1660</v>
      </c>
      <c r="E138">
        <f t="shared" si="32"/>
        <v>6.49</v>
      </c>
      <c r="F138">
        <f t="shared" si="33"/>
        <v>19.47</v>
      </c>
      <c r="G138">
        <f t="shared" si="34"/>
        <v>9.4105000000000008</v>
      </c>
      <c r="I138" s="58" t="s">
        <v>1515</v>
      </c>
      <c r="J138" s="135" t="str">
        <f t="shared" si="27"/>
        <v>Não Pintar</v>
      </c>
      <c r="M138" s="8" t="s">
        <v>1502</v>
      </c>
      <c r="N138" s="110">
        <f t="shared" ref="N138:N164" si="35">E72</f>
        <v>49.019894756229121</v>
      </c>
      <c r="V138" s="313" t="s">
        <v>333</v>
      </c>
      <c r="W138" s="318">
        <f t="shared" si="31"/>
        <v>21.095018288474808</v>
      </c>
      <c r="X138" s="313"/>
    </row>
    <row r="139" spans="1:24">
      <c r="A139" t="s">
        <v>1661</v>
      </c>
      <c r="B139">
        <v>4.47</v>
      </c>
      <c r="C139" t="s">
        <v>387</v>
      </c>
      <c r="D139" t="s">
        <v>1662</v>
      </c>
      <c r="E139">
        <f t="shared" si="32"/>
        <v>6.49</v>
      </c>
      <c r="F139">
        <f t="shared" si="33"/>
        <v>19.47</v>
      </c>
      <c r="G139">
        <f t="shared" si="34"/>
        <v>9.4105000000000008</v>
      </c>
      <c r="I139" s="8" t="s">
        <v>1516</v>
      </c>
      <c r="J139" s="135" t="str">
        <f t="shared" si="27"/>
        <v>Não Pintar</v>
      </c>
      <c r="M139" s="8" t="s">
        <v>1503</v>
      </c>
      <c r="N139" s="110">
        <f t="shared" si="35"/>
        <v>48.020924641701342</v>
      </c>
      <c r="V139" s="313" t="s">
        <v>372</v>
      </c>
      <c r="W139" s="318" t="e">
        <f>(#REF!+1.01)*1.45</f>
        <v>#REF!</v>
      </c>
      <c r="X139" s="313"/>
    </row>
    <row r="140" spans="1:24">
      <c r="A140" t="s">
        <v>1663</v>
      </c>
      <c r="B140">
        <v>4.47</v>
      </c>
      <c r="C140" t="s">
        <v>387</v>
      </c>
      <c r="D140" t="s">
        <v>1665</v>
      </c>
      <c r="E140">
        <f t="shared" si="32"/>
        <v>6.49</v>
      </c>
      <c r="F140">
        <f t="shared" si="33"/>
        <v>19.47</v>
      </c>
      <c r="G140">
        <f t="shared" si="34"/>
        <v>9.4105000000000008</v>
      </c>
      <c r="I140" s="8" t="s">
        <v>1517</v>
      </c>
      <c r="J140" s="135" t="str">
        <f t="shared" si="27"/>
        <v>Não Pintar</v>
      </c>
      <c r="M140" s="8" t="s">
        <v>1504</v>
      </c>
      <c r="N140" s="110">
        <f t="shared" si="35"/>
        <v>42.02</v>
      </c>
      <c r="V140" s="313" t="s">
        <v>361</v>
      </c>
      <c r="W140" s="318">
        <f>(N128+1.01)*1.45</f>
        <v>21.449412698412694</v>
      </c>
      <c r="X140" s="313"/>
    </row>
    <row r="141" spans="1:24">
      <c r="A141" t="s">
        <v>1666</v>
      </c>
      <c r="B141">
        <v>4.47</v>
      </c>
      <c r="C141" t="s">
        <v>387</v>
      </c>
      <c r="D141" t="s">
        <v>1667</v>
      </c>
      <c r="E141">
        <f t="shared" si="32"/>
        <v>6.49</v>
      </c>
      <c r="F141">
        <f t="shared" si="33"/>
        <v>19.47</v>
      </c>
      <c r="G141">
        <f t="shared" si="34"/>
        <v>9.4105000000000008</v>
      </c>
      <c r="I141" s="8" t="s">
        <v>1519</v>
      </c>
      <c r="J141" s="135" t="str">
        <f t="shared" si="27"/>
        <v>Não Pintar</v>
      </c>
      <c r="M141" s="8" t="s">
        <v>1505</v>
      </c>
      <c r="N141" s="110">
        <f t="shared" si="35"/>
        <v>33.770315258511985</v>
      </c>
      <c r="V141" s="313" t="s">
        <v>383</v>
      </c>
      <c r="W141" s="318">
        <f>(N129+1.01)*1.45</f>
        <v>21.449012422360248</v>
      </c>
      <c r="X141" s="313"/>
    </row>
    <row r="142" spans="1:24">
      <c r="A142" t="s">
        <v>1668</v>
      </c>
      <c r="B142">
        <v>4.47</v>
      </c>
      <c r="C142" t="s">
        <v>387</v>
      </c>
      <c r="D142" t="s">
        <v>1669</v>
      </c>
      <c r="E142">
        <f t="shared" si="32"/>
        <v>6.49</v>
      </c>
      <c r="F142">
        <f t="shared" si="33"/>
        <v>19.47</v>
      </c>
      <c r="G142">
        <f t="shared" si="34"/>
        <v>9.4105000000000008</v>
      </c>
      <c r="I142" s="8" t="s">
        <v>1318</v>
      </c>
      <c r="J142" s="135" t="str">
        <f t="shared" si="27"/>
        <v>Não Pintar</v>
      </c>
      <c r="M142" s="8" t="s">
        <v>1506</v>
      </c>
      <c r="N142" s="110">
        <f t="shared" si="35"/>
        <v>23.020032249395324</v>
      </c>
      <c r="V142" s="313" t="s">
        <v>350</v>
      </c>
      <c r="W142" s="318">
        <f>(N130+1.01)*1.45</f>
        <v>22.150746376811597</v>
      </c>
      <c r="X142" s="313"/>
    </row>
    <row r="143" spans="1:24">
      <c r="A143" t="s">
        <v>1670</v>
      </c>
      <c r="B143">
        <v>4.47</v>
      </c>
      <c r="C143" t="s">
        <v>387</v>
      </c>
      <c r="D143" t="s">
        <v>1671</v>
      </c>
      <c r="E143">
        <f t="shared" si="32"/>
        <v>6.49</v>
      </c>
      <c r="F143">
        <f t="shared" si="33"/>
        <v>19.47</v>
      </c>
      <c r="G143">
        <f t="shared" si="34"/>
        <v>9.4105000000000008</v>
      </c>
      <c r="I143" s="8" t="s">
        <v>1313</v>
      </c>
      <c r="J143" s="135" t="str">
        <f t="shared" si="27"/>
        <v>Não Pintar</v>
      </c>
      <c r="M143" s="8" t="s">
        <v>1507</v>
      </c>
      <c r="N143" s="110">
        <f t="shared" si="35"/>
        <v>42.02</v>
      </c>
      <c r="V143" s="313" t="s">
        <v>337</v>
      </c>
      <c r="W143" s="318">
        <f>(N131+1.01)*1.45</f>
        <v>69.410839544513451</v>
      </c>
      <c r="X143" s="313"/>
    </row>
    <row r="144" spans="1:24">
      <c r="A144" t="s">
        <v>1672</v>
      </c>
      <c r="B144">
        <v>4.47</v>
      </c>
      <c r="C144" t="s">
        <v>387</v>
      </c>
      <c r="D144" t="s">
        <v>1673</v>
      </c>
      <c r="E144">
        <f t="shared" si="32"/>
        <v>6.49</v>
      </c>
      <c r="F144">
        <f t="shared" si="33"/>
        <v>19.47</v>
      </c>
      <c r="G144">
        <f t="shared" si="34"/>
        <v>9.4105000000000008</v>
      </c>
      <c r="I144" s="8" t="s">
        <v>1520</v>
      </c>
      <c r="J144" s="135" t="str">
        <f t="shared" si="27"/>
        <v>Não Pintar</v>
      </c>
      <c r="M144" s="8" t="s">
        <v>1508</v>
      </c>
      <c r="N144" s="110">
        <f t="shared" si="35"/>
        <v>42.02</v>
      </c>
      <c r="V144" s="313" t="s">
        <v>318</v>
      </c>
      <c r="W144" s="318">
        <f>(N132+1.01)*1.45</f>
        <v>46.402667804980567</v>
      </c>
      <c r="X144" s="313"/>
    </row>
    <row r="145" spans="1:24">
      <c r="A145" t="s">
        <v>1674</v>
      </c>
      <c r="B145">
        <v>4.47</v>
      </c>
      <c r="C145" t="s">
        <v>387</v>
      </c>
      <c r="D145" t="s">
        <v>1675</v>
      </c>
      <c r="E145">
        <f t="shared" si="32"/>
        <v>6.49</v>
      </c>
      <c r="F145">
        <f t="shared" si="33"/>
        <v>19.47</v>
      </c>
      <c r="G145">
        <f t="shared" si="34"/>
        <v>9.4105000000000008</v>
      </c>
      <c r="I145" s="8" t="s">
        <v>1575</v>
      </c>
      <c r="J145" s="135" t="str">
        <f t="shared" si="27"/>
        <v>Não Pintar</v>
      </c>
      <c r="M145" s="8" t="s">
        <v>1509</v>
      </c>
      <c r="N145" s="110">
        <f t="shared" si="35"/>
        <v>29.220010507512871</v>
      </c>
      <c r="V145" s="314" t="s">
        <v>334</v>
      </c>
      <c r="W145" s="314"/>
      <c r="X145" s="313"/>
    </row>
    <row r="146" spans="1:24">
      <c r="A146" t="s">
        <v>1676</v>
      </c>
      <c r="B146">
        <v>4.47</v>
      </c>
      <c r="C146" t="s">
        <v>387</v>
      </c>
      <c r="D146" t="s">
        <v>1677</v>
      </c>
      <c r="E146">
        <f t="shared" si="32"/>
        <v>6.49</v>
      </c>
      <c r="F146">
        <f t="shared" si="33"/>
        <v>19.47</v>
      </c>
      <c r="G146">
        <f t="shared" si="34"/>
        <v>9.4105000000000008</v>
      </c>
      <c r="M146" s="8" t="s">
        <v>1510</v>
      </c>
      <c r="N146" s="110">
        <f t="shared" si="35"/>
        <v>14.820126103404792</v>
      </c>
      <c r="V146" s="313" t="s">
        <v>97</v>
      </c>
      <c r="W146" s="318">
        <f>(N133+1.01)*1.45</f>
        <v>21.52343875086266</v>
      </c>
      <c r="X146" s="313"/>
    </row>
    <row r="147" spans="1:24">
      <c r="A147" t="s">
        <v>1678</v>
      </c>
      <c r="B147">
        <v>6.22</v>
      </c>
      <c r="C147" t="s">
        <v>387</v>
      </c>
      <c r="D147" t="s">
        <v>1679</v>
      </c>
      <c r="E147">
        <f t="shared" si="32"/>
        <v>8.24</v>
      </c>
      <c r="F147">
        <f t="shared" si="33"/>
        <v>24.72</v>
      </c>
      <c r="G147">
        <f t="shared" si="34"/>
        <v>11.948</v>
      </c>
      <c r="M147" s="58" t="s">
        <v>1511</v>
      </c>
      <c r="N147" s="110">
        <f t="shared" si="35"/>
        <v>35.020140114895341</v>
      </c>
      <c r="V147" s="314" t="s">
        <v>324</v>
      </c>
      <c r="W147" s="314"/>
      <c r="X147" s="313"/>
    </row>
    <row r="148" spans="1:24">
      <c r="A148" t="s">
        <v>1680</v>
      </c>
      <c r="B148">
        <v>6.22</v>
      </c>
      <c r="C148" t="s">
        <v>387</v>
      </c>
      <c r="D148" t="s">
        <v>1681</v>
      </c>
      <c r="E148">
        <f t="shared" si="32"/>
        <v>8.24</v>
      </c>
      <c r="F148">
        <f t="shared" si="33"/>
        <v>24.72</v>
      </c>
      <c r="G148">
        <f t="shared" si="34"/>
        <v>11.948</v>
      </c>
      <c r="M148" s="58" t="s">
        <v>1512</v>
      </c>
      <c r="N148" s="110">
        <f t="shared" si="35"/>
        <v>28.569736908043094</v>
      </c>
      <c r="V148" s="313" t="s">
        <v>326</v>
      </c>
      <c r="W148" s="318">
        <f>(N134+1.01)*1.45</f>
        <v>13.681077100586609</v>
      </c>
      <c r="X148" s="313"/>
    </row>
    <row r="149" spans="1:24">
      <c r="A149" t="s">
        <v>1682</v>
      </c>
      <c r="B149">
        <v>6.22</v>
      </c>
      <c r="C149" t="s">
        <v>387</v>
      </c>
      <c r="D149" t="s">
        <v>1683</v>
      </c>
      <c r="E149">
        <f t="shared" si="32"/>
        <v>8.24</v>
      </c>
      <c r="F149">
        <f t="shared" si="33"/>
        <v>24.72</v>
      </c>
      <c r="G149">
        <f t="shared" si="34"/>
        <v>11.948</v>
      </c>
      <c r="M149" s="8" t="s">
        <v>1513</v>
      </c>
      <c r="N149" s="110">
        <f t="shared" si="35"/>
        <v>41.020066370469941</v>
      </c>
      <c r="V149" s="313" t="s">
        <v>325</v>
      </c>
      <c r="W149" s="318">
        <f>(N135+1.01)*1.45</f>
        <v>17.639420832102441</v>
      </c>
      <c r="X149" s="313"/>
    </row>
    <row r="150" spans="1:24">
      <c r="A150" t="s">
        <v>1684</v>
      </c>
      <c r="B150">
        <v>6.22</v>
      </c>
      <c r="C150" t="s">
        <v>387</v>
      </c>
      <c r="D150" t="s">
        <v>1685</v>
      </c>
      <c r="E150">
        <f t="shared" si="32"/>
        <v>8.24</v>
      </c>
      <c r="F150">
        <f t="shared" si="33"/>
        <v>24.72</v>
      </c>
      <c r="G150">
        <f t="shared" si="34"/>
        <v>11.948</v>
      </c>
      <c r="M150" s="8" t="s">
        <v>1514</v>
      </c>
      <c r="N150" s="110">
        <f t="shared" si="35"/>
        <v>25.719695282126718</v>
      </c>
      <c r="V150" s="314" t="s">
        <v>328</v>
      </c>
      <c r="W150" s="314"/>
      <c r="X150" s="313"/>
    </row>
    <row r="151" spans="1:24">
      <c r="A151" t="s">
        <v>1686</v>
      </c>
      <c r="B151">
        <v>6.22</v>
      </c>
      <c r="C151" t="s">
        <v>387</v>
      </c>
      <c r="D151" t="s">
        <v>1688</v>
      </c>
      <c r="E151">
        <f t="shared" si="32"/>
        <v>8.24</v>
      </c>
      <c r="F151">
        <f t="shared" si="33"/>
        <v>24.72</v>
      </c>
      <c r="G151">
        <f t="shared" si="34"/>
        <v>11.948</v>
      </c>
      <c r="M151" s="58" t="s">
        <v>1515</v>
      </c>
      <c r="N151" s="110">
        <f t="shared" si="35"/>
        <v>84.020308213900435</v>
      </c>
      <c r="V151" s="313" t="s">
        <v>329</v>
      </c>
      <c r="W151" s="318">
        <f>(N136+1.01)*1.45</f>
        <v>28.204921670117326</v>
      </c>
      <c r="X151" s="313"/>
    </row>
    <row r="152" spans="1:24">
      <c r="A152" t="s">
        <v>1689</v>
      </c>
      <c r="B152">
        <v>6.22</v>
      </c>
      <c r="C152" t="s">
        <v>387</v>
      </c>
      <c r="D152" t="s">
        <v>1690</v>
      </c>
      <c r="E152">
        <f t="shared" si="32"/>
        <v>8.24</v>
      </c>
      <c r="F152">
        <f t="shared" si="33"/>
        <v>24.72</v>
      </c>
      <c r="G152">
        <f t="shared" si="34"/>
        <v>11.948</v>
      </c>
      <c r="M152" s="8" t="s">
        <v>1516</v>
      </c>
      <c r="N152" s="110">
        <f t="shared" si="35"/>
        <v>28.020840601029736</v>
      </c>
      <c r="V152" s="313" t="s">
        <v>364</v>
      </c>
      <c r="W152" s="318">
        <f>(N137+1.01)*1.45</f>
        <v>27.432592055485504</v>
      </c>
      <c r="X152" s="313"/>
    </row>
    <row r="153" spans="1:24">
      <c r="A153" t="s">
        <v>1691</v>
      </c>
      <c r="B153">
        <v>6.22</v>
      </c>
      <c r="C153" t="s">
        <v>387</v>
      </c>
      <c r="D153" t="s">
        <v>1692</v>
      </c>
      <c r="E153">
        <f t="shared" si="32"/>
        <v>8.24</v>
      </c>
      <c r="F153">
        <f t="shared" si="33"/>
        <v>24.72</v>
      </c>
      <c r="G153">
        <f t="shared" si="34"/>
        <v>11.948</v>
      </c>
      <c r="M153" s="8" t="s">
        <v>1517</v>
      </c>
      <c r="N153" s="110">
        <f t="shared" si="35"/>
        <v>7.4800155279503109</v>
      </c>
      <c r="V153" s="313" t="s">
        <v>347</v>
      </c>
      <c r="W153" s="318">
        <f>(N138+1.01)*1.45</f>
        <v>72.543347396532226</v>
      </c>
      <c r="X153" s="313"/>
    </row>
    <row r="154" spans="1:24">
      <c r="A154" t="s">
        <v>1693</v>
      </c>
      <c r="B154">
        <v>6.22</v>
      </c>
      <c r="C154" t="s">
        <v>387</v>
      </c>
      <c r="D154" t="s">
        <v>1694</v>
      </c>
      <c r="E154">
        <f t="shared" si="32"/>
        <v>8.24</v>
      </c>
      <c r="F154">
        <f t="shared" si="33"/>
        <v>24.72</v>
      </c>
      <c r="G154">
        <f t="shared" si="34"/>
        <v>11.948</v>
      </c>
      <c r="M154" s="8" t="s">
        <v>1519</v>
      </c>
      <c r="N154" s="110">
        <f t="shared" si="35"/>
        <v>34.828038075092543</v>
      </c>
      <c r="V154" s="314" t="s">
        <v>330</v>
      </c>
      <c r="W154" s="314"/>
      <c r="X154" s="313"/>
    </row>
    <row r="155" spans="1:24">
      <c r="A155" t="s">
        <v>1695</v>
      </c>
      <c r="B155">
        <v>6.22</v>
      </c>
      <c r="C155" t="s">
        <v>387</v>
      </c>
      <c r="D155" t="s">
        <v>1696</v>
      </c>
      <c r="E155">
        <f t="shared" si="32"/>
        <v>8.24</v>
      </c>
      <c r="F155">
        <f t="shared" si="33"/>
        <v>24.72</v>
      </c>
      <c r="G155">
        <f t="shared" si="34"/>
        <v>11.948</v>
      </c>
      <c r="M155" s="8" t="s">
        <v>1318</v>
      </c>
      <c r="N155" s="110">
        <f t="shared" si="35"/>
        <v>44.048256333830103</v>
      </c>
      <c r="V155" s="313" t="s">
        <v>320</v>
      </c>
      <c r="W155" s="318">
        <f>(N139+1.01)*1.45</f>
        <v>71.094840730466942</v>
      </c>
      <c r="X155" s="313"/>
    </row>
    <row r="156" spans="1:24">
      <c r="A156" t="s">
        <v>1697</v>
      </c>
      <c r="B156">
        <v>6.22</v>
      </c>
      <c r="C156" t="s">
        <v>387</v>
      </c>
      <c r="D156" t="s">
        <v>1698</v>
      </c>
      <c r="E156">
        <f t="shared" si="32"/>
        <v>8.24</v>
      </c>
      <c r="F156">
        <f t="shared" si="33"/>
        <v>24.72</v>
      </c>
      <c r="G156">
        <f t="shared" si="34"/>
        <v>11.948</v>
      </c>
      <c r="M156" s="8" t="s">
        <v>1313</v>
      </c>
      <c r="N156" s="110">
        <f t="shared" si="35"/>
        <v>26.275131964809383</v>
      </c>
      <c r="V156" s="313" t="s">
        <v>339</v>
      </c>
      <c r="W156" s="318">
        <f>(N140+1.01)*1.45</f>
        <v>62.393500000000003</v>
      </c>
      <c r="X156" s="313"/>
    </row>
    <row r="157" spans="1:24">
      <c r="A157" t="s">
        <v>1699</v>
      </c>
      <c r="B157">
        <v>6.22</v>
      </c>
      <c r="C157" t="s">
        <v>387</v>
      </c>
      <c r="D157" t="s">
        <v>1700</v>
      </c>
      <c r="E157">
        <f t="shared" si="32"/>
        <v>8.24</v>
      </c>
      <c r="F157">
        <f t="shared" si="33"/>
        <v>24.72</v>
      </c>
      <c r="G157">
        <f t="shared" si="34"/>
        <v>11.948</v>
      </c>
      <c r="M157" s="8" t="s">
        <v>1520</v>
      </c>
      <c r="N157" s="110">
        <f t="shared" si="35"/>
        <v>41.841162444113266</v>
      </c>
      <c r="V157" s="313" t="s">
        <v>331</v>
      </c>
      <c r="W157" s="318">
        <f>(N141+1.01)*1.45</f>
        <v>50.431457124842375</v>
      </c>
      <c r="X157" s="313"/>
    </row>
    <row r="158" spans="1:24">
      <c r="A158" t="s">
        <v>1701</v>
      </c>
      <c r="B158">
        <v>7.09</v>
      </c>
      <c r="C158" t="s">
        <v>105</v>
      </c>
      <c r="D158" t="s">
        <v>1702</v>
      </c>
      <c r="E158">
        <f t="shared" ref="E158:E177" si="36">IF(B158&gt;0, B158+2.02, "")</f>
        <v>9.11</v>
      </c>
      <c r="F158">
        <f t="shared" ref="F158:F177" si="37">IF(E158&lt;&gt;"", E158 * (1 + $H$3), "")</f>
        <v>27.33</v>
      </c>
      <c r="G158">
        <f t="shared" ref="G158:G177" si="38">IF(E158&lt;&gt;"", E158 * (1 + $H$2), "")</f>
        <v>13.209499999999998</v>
      </c>
      <c r="M158" s="8" t="s">
        <v>1575</v>
      </c>
      <c r="N158" s="110">
        <f t="shared" si="35"/>
        <v>6.7899999999999991</v>
      </c>
      <c r="V158" s="313" t="s">
        <v>343</v>
      </c>
      <c r="W158" s="318">
        <f>(N142+1.01)*1.45</f>
        <v>34.843546761623223</v>
      </c>
      <c r="X158" s="313"/>
    </row>
    <row r="159" spans="1:24">
      <c r="A159" t="s">
        <v>1703</v>
      </c>
      <c r="B159">
        <v>7.09</v>
      </c>
      <c r="C159" t="s">
        <v>105</v>
      </c>
      <c r="D159" t="s">
        <v>1704</v>
      </c>
      <c r="E159">
        <f t="shared" si="36"/>
        <v>9.11</v>
      </c>
      <c r="F159">
        <f t="shared" si="37"/>
        <v>27.33</v>
      </c>
      <c r="G159">
        <f t="shared" si="38"/>
        <v>13.209499999999998</v>
      </c>
      <c r="M159" s="407" t="s">
        <v>1580</v>
      </c>
      <c r="N159" s="110">
        <f t="shared" si="35"/>
        <v>15.727729468599033</v>
      </c>
      <c r="V159" s="313" t="s">
        <v>393</v>
      </c>
      <c r="W159" s="318">
        <f>(N143+1.01)*1.45</f>
        <v>62.393500000000003</v>
      </c>
      <c r="X159" s="313"/>
    </row>
    <row r="160" spans="1:24">
      <c r="A160" t="s">
        <v>1705</v>
      </c>
      <c r="B160">
        <v>7.09</v>
      </c>
      <c r="C160" t="s">
        <v>105</v>
      </c>
      <c r="D160" t="s">
        <v>1706</v>
      </c>
      <c r="E160">
        <f t="shared" si="36"/>
        <v>9.11</v>
      </c>
      <c r="F160">
        <f t="shared" si="37"/>
        <v>27.33</v>
      </c>
      <c r="G160">
        <f t="shared" si="38"/>
        <v>13.209499999999998</v>
      </c>
      <c r="M160" s="407" t="s">
        <v>1582</v>
      </c>
      <c r="N160" s="110">
        <f t="shared" si="35"/>
        <v>15.727729468599033</v>
      </c>
      <c r="V160" s="314" t="s">
        <v>335</v>
      </c>
      <c r="W160" s="314"/>
      <c r="X160" s="313"/>
    </row>
    <row r="161" spans="1:24">
      <c r="A161" t="s">
        <v>1707</v>
      </c>
      <c r="B161">
        <v>7.09</v>
      </c>
      <c r="C161" t="s">
        <v>105</v>
      </c>
      <c r="D161" t="s">
        <v>1708</v>
      </c>
      <c r="E161">
        <f t="shared" si="36"/>
        <v>9.11</v>
      </c>
      <c r="F161">
        <f t="shared" si="37"/>
        <v>27.33</v>
      </c>
      <c r="G161">
        <f t="shared" si="38"/>
        <v>13.209499999999998</v>
      </c>
      <c r="M161" s="407" t="s">
        <v>1589</v>
      </c>
      <c r="N161" s="110">
        <f t="shared" si="35"/>
        <v>15.179075224292614</v>
      </c>
      <c r="V161" s="313" t="s">
        <v>336</v>
      </c>
      <c r="W161" s="318">
        <f>(N144+1.01)*1.45</f>
        <v>62.393500000000003</v>
      </c>
      <c r="X161" s="313"/>
    </row>
    <row r="162" spans="1:24">
      <c r="A162" t="s">
        <v>1709</v>
      </c>
      <c r="B162">
        <v>7.09</v>
      </c>
      <c r="C162" t="s">
        <v>105</v>
      </c>
      <c r="D162" t="s">
        <v>1711</v>
      </c>
      <c r="E162">
        <f t="shared" si="36"/>
        <v>9.11</v>
      </c>
      <c r="F162">
        <f t="shared" si="37"/>
        <v>27.33</v>
      </c>
      <c r="G162">
        <f t="shared" si="38"/>
        <v>13.209499999999998</v>
      </c>
      <c r="M162" s="407" t="s">
        <v>1590</v>
      </c>
      <c r="N162" s="110">
        <f t="shared" si="35"/>
        <v>14.749468599033815</v>
      </c>
      <c r="V162" s="314" t="s">
        <v>340</v>
      </c>
      <c r="W162" s="314"/>
      <c r="X162" s="313"/>
    </row>
    <row r="163" spans="1:24">
      <c r="A163" t="s">
        <v>1712</v>
      </c>
      <c r="B163">
        <v>7.09</v>
      </c>
      <c r="C163" t="s">
        <v>105</v>
      </c>
      <c r="D163" t="s">
        <v>1713</v>
      </c>
      <c r="E163">
        <f t="shared" si="36"/>
        <v>9.11</v>
      </c>
      <c r="F163">
        <f t="shared" si="37"/>
        <v>27.33</v>
      </c>
      <c r="G163">
        <f t="shared" si="38"/>
        <v>13.209499999999998</v>
      </c>
      <c r="M163" s="407" t="s">
        <v>1587</v>
      </c>
      <c r="N163" s="110">
        <f t="shared" si="35"/>
        <v>20.401642512077295</v>
      </c>
      <c r="V163" s="313" t="s">
        <v>341</v>
      </c>
      <c r="W163" s="318">
        <f>(N145+1.01)*1.45</f>
        <v>43.833515235893664</v>
      </c>
      <c r="X163" s="313"/>
    </row>
    <row r="164" spans="1:24">
      <c r="A164" t="s">
        <v>1714</v>
      </c>
      <c r="B164">
        <v>7.09</v>
      </c>
      <c r="C164" t="s">
        <v>105</v>
      </c>
      <c r="D164" t="s">
        <v>1715</v>
      </c>
      <c r="E164">
        <f t="shared" si="36"/>
        <v>9.11</v>
      </c>
      <c r="F164">
        <f t="shared" si="37"/>
        <v>27.33</v>
      </c>
      <c r="G164">
        <f t="shared" si="38"/>
        <v>13.209499999999998</v>
      </c>
      <c r="M164" s="407" t="s">
        <v>1591</v>
      </c>
      <c r="N164" s="110">
        <f t="shared" si="35"/>
        <v>12.739461697722568</v>
      </c>
      <c r="V164" s="314" t="s">
        <v>353</v>
      </c>
      <c r="W164" s="314"/>
      <c r="X164" s="313"/>
    </row>
    <row r="165" spans="1:24">
      <c r="A165" t="s">
        <v>1716</v>
      </c>
      <c r="B165">
        <v>7.09</v>
      </c>
      <c r="C165" t="s">
        <v>105</v>
      </c>
      <c r="D165" t="s">
        <v>1717</v>
      </c>
      <c r="E165">
        <f t="shared" si="36"/>
        <v>9.11</v>
      </c>
      <c r="F165">
        <f t="shared" si="37"/>
        <v>27.33</v>
      </c>
      <c r="G165">
        <f t="shared" si="38"/>
        <v>13.209499999999998</v>
      </c>
      <c r="N165" s="110">
        <f t="shared" ref="N165" si="39">E100</f>
        <v>46.860000000000007</v>
      </c>
      <c r="V165" s="313" t="s">
        <v>365</v>
      </c>
      <c r="W165" s="318">
        <f>(N146+1.01)*1.45</f>
        <v>22.953682849936946</v>
      </c>
      <c r="X165" s="313"/>
    </row>
    <row r="166" spans="1:24">
      <c r="A166" t="s">
        <v>1718</v>
      </c>
      <c r="B166">
        <v>7.09</v>
      </c>
      <c r="C166" t="s">
        <v>105</v>
      </c>
      <c r="D166" t="s">
        <v>1719</v>
      </c>
      <c r="E166">
        <f t="shared" si="36"/>
        <v>9.11</v>
      </c>
      <c r="F166">
        <f t="shared" si="37"/>
        <v>27.33</v>
      </c>
      <c r="G166">
        <f t="shared" si="38"/>
        <v>13.209499999999998</v>
      </c>
    </row>
    <row r="167" spans="1:24">
      <c r="A167" t="s">
        <v>1720</v>
      </c>
      <c r="B167">
        <v>7.09</v>
      </c>
      <c r="C167" t="s">
        <v>105</v>
      </c>
      <c r="D167" t="s">
        <v>1722</v>
      </c>
      <c r="E167">
        <f t="shared" si="36"/>
        <v>9.11</v>
      </c>
      <c r="F167">
        <f t="shared" si="37"/>
        <v>27.33</v>
      </c>
      <c r="G167">
        <f t="shared" si="38"/>
        <v>13.209499999999998</v>
      </c>
    </row>
    <row r="168" spans="1:24">
      <c r="A168" t="s">
        <v>1723</v>
      </c>
      <c r="B168">
        <v>7.09</v>
      </c>
      <c r="C168" t="s">
        <v>105</v>
      </c>
      <c r="D168" t="s">
        <v>1724</v>
      </c>
      <c r="E168">
        <f t="shared" si="36"/>
        <v>9.11</v>
      </c>
      <c r="F168">
        <f t="shared" si="37"/>
        <v>27.33</v>
      </c>
      <c r="G168">
        <f t="shared" si="38"/>
        <v>13.209499999999998</v>
      </c>
    </row>
    <row r="169" spans="1:24">
      <c r="A169" t="s">
        <v>1725</v>
      </c>
      <c r="B169">
        <v>7.09</v>
      </c>
      <c r="C169" t="s">
        <v>105</v>
      </c>
      <c r="D169" t="s">
        <v>1726</v>
      </c>
      <c r="E169">
        <f t="shared" si="36"/>
        <v>9.11</v>
      </c>
      <c r="F169">
        <f t="shared" si="37"/>
        <v>27.33</v>
      </c>
      <c r="G169">
        <f t="shared" si="38"/>
        <v>13.209499999999998</v>
      </c>
    </row>
    <row r="170" spans="1:24">
      <c r="A170" t="s">
        <v>1727</v>
      </c>
      <c r="B170">
        <v>7.09</v>
      </c>
      <c r="C170" t="s">
        <v>105</v>
      </c>
      <c r="D170" t="s">
        <v>1728</v>
      </c>
      <c r="E170">
        <f t="shared" si="36"/>
        <v>9.11</v>
      </c>
      <c r="F170">
        <f t="shared" si="37"/>
        <v>27.33</v>
      </c>
      <c r="G170">
        <f t="shared" si="38"/>
        <v>13.209499999999998</v>
      </c>
    </row>
    <row r="171" spans="1:24">
      <c r="A171" t="s">
        <v>1729</v>
      </c>
      <c r="B171">
        <v>7.09</v>
      </c>
      <c r="C171" t="s">
        <v>105</v>
      </c>
      <c r="D171" t="s">
        <v>1730</v>
      </c>
      <c r="E171">
        <f t="shared" si="36"/>
        <v>9.11</v>
      </c>
      <c r="F171">
        <f t="shared" si="37"/>
        <v>27.33</v>
      </c>
      <c r="G171">
        <f t="shared" si="38"/>
        <v>13.209499999999998</v>
      </c>
    </row>
    <row r="172" spans="1:24" ht="18.75">
      <c r="A172" t="s">
        <v>1731</v>
      </c>
      <c r="B172">
        <v>7.09</v>
      </c>
      <c r="C172" t="s">
        <v>105</v>
      </c>
      <c r="D172" t="s">
        <v>1732</v>
      </c>
      <c r="E172">
        <f t="shared" si="36"/>
        <v>9.11</v>
      </c>
      <c r="F172">
        <f t="shared" si="37"/>
        <v>27.33</v>
      </c>
      <c r="G172">
        <f t="shared" si="38"/>
        <v>13.209499999999998</v>
      </c>
      <c r="M172" s="304" t="s">
        <v>694</v>
      </c>
      <c r="N172" s="304"/>
    </row>
    <row r="173" spans="1:24">
      <c r="A173" t="s">
        <v>1733</v>
      </c>
      <c r="B173">
        <v>7.09</v>
      </c>
      <c r="C173" t="s">
        <v>105</v>
      </c>
      <c r="D173" t="s">
        <v>129</v>
      </c>
      <c r="E173">
        <f t="shared" si="36"/>
        <v>9.11</v>
      </c>
      <c r="F173">
        <f t="shared" si="37"/>
        <v>27.33</v>
      </c>
      <c r="G173">
        <f t="shared" si="38"/>
        <v>13.209499999999998</v>
      </c>
      <c r="M173" s="58" t="s">
        <v>1430</v>
      </c>
      <c r="N173" s="20">
        <f>F7</f>
        <v>21.299999999999997</v>
      </c>
    </row>
    <row r="174" spans="1:24" ht="18.75">
      <c r="A174" t="s">
        <v>1735</v>
      </c>
      <c r="B174">
        <v>7.09</v>
      </c>
      <c r="C174" t="s">
        <v>105</v>
      </c>
      <c r="D174" t="s">
        <v>1736</v>
      </c>
      <c r="E174">
        <f t="shared" si="36"/>
        <v>9.11</v>
      </c>
      <c r="F174">
        <f t="shared" si="37"/>
        <v>27.33</v>
      </c>
      <c r="G174" s="310">
        <f t="shared" si="38"/>
        <v>13.209499999999998</v>
      </c>
      <c r="H174" s="310"/>
      <c r="M174" s="58" t="s">
        <v>1431</v>
      </c>
      <c r="N174" s="20">
        <f t="shared" ref="N174:N237" si="40">F8</f>
        <v>28.44</v>
      </c>
    </row>
    <row r="175" spans="1:24">
      <c r="A175" t="s">
        <v>1737</v>
      </c>
      <c r="B175">
        <v>7.09</v>
      </c>
      <c r="C175" t="s">
        <v>105</v>
      </c>
      <c r="D175" t="s">
        <v>1738</v>
      </c>
      <c r="E175">
        <f t="shared" si="36"/>
        <v>9.11</v>
      </c>
      <c r="F175">
        <f t="shared" si="37"/>
        <v>27.33</v>
      </c>
      <c r="G175" s="84">
        <f t="shared" si="38"/>
        <v>13.209499999999998</v>
      </c>
      <c r="H175" s="84"/>
      <c r="M175" s="58" t="s">
        <v>1432</v>
      </c>
      <c r="N175" s="20">
        <f t="shared" si="40"/>
        <v>33.57</v>
      </c>
    </row>
    <row r="176" spans="1:24">
      <c r="A176" t="s">
        <v>1739</v>
      </c>
      <c r="B176">
        <v>7.09</v>
      </c>
      <c r="C176" t="s">
        <v>105</v>
      </c>
      <c r="D176" t="s">
        <v>1740</v>
      </c>
      <c r="E176">
        <f t="shared" si="36"/>
        <v>9.11</v>
      </c>
      <c r="F176">
        <f t="shared" si="37"/>
        <v>27.33</v>
      </c>
      <c r="G176" s="84">
        <f t="shared" si="38"/>
        <v>13.209499999999998</v>
      </c>
      <c r="H176" s="84"/>
      <c r="M176" s="111" t="s">
        <v>1433</v>
      </c>
      <c r="N176" s="20">
        <f t="shared" si="40"/>
        <v>37.47</v>
      </c>
    </row>
    <row r="177" spans="1:14">
      <c r="A177" t="s">
        <v>1741</v>
      </c>
      <c r="B177">
        <v>7.09</v>
      </c>
      <c r="C177" t="s">
        <v>105</v>
      </c>
      <c r="D177" t="s">
        <v>1742</v>
      </c>
      <c r="E177">
        <f t="shared" si="36"/>
        <v>9.11</v>
      </c>
      <c r="F177">
        <f t="shared" si="37"/>
        <v>27.33</v>
      </c>
      <c r="G177" s="84">
        <f t="shared" si="38"/>
        <v>13.209499999999998</v>
      </c>
      <c r="H177" s="84"/>
      <c r="M177" s="111" t="s">
        <v>1434</v>
      </c>
      <c r="N177" s="20">
        <f t="shared" si="40"/>
        <v>80.489999999999995</v>
      </c>
    </row>
    <row r="178" spans="1:14">
      <c r="A178" t="s">
        <v>1743</v>
      </c>
      <c r="B178">
        <v>7.09</v>
      </c>
      <c r="C178" t="s">
        <v>105</v>
      </c>
      <c r="D178" t="s">
        <v>1744</v>
      </c>
      <c r="E178">
        <f t="shared" ref="E178:E192" si="41">IF(B178&gt;0, B178+2.02, "")</f>
        <v>9.11</v>
      </c>
      <c r="F178">
        <f t="shared" ref="F178:F192" si="42">IF(E178&lt;&gt;"", E178 * (1 + $H$3), "")</f>
        <v>27.33</v>
      </c>
      <c r="G178" s="84">
        <f t="shared" ref="G178:G192" si="43">IF(E178&lt;&gt;"", E178 * (1 + $H$2), "")</f>
        <v>13.209499999999998</v>
      </c>
      <c r="H178" s="84"/>
      <c r="M178" s="111" t="s">
        <v>1435</v>
      </c>
      <c r="N178" s="20">
        <f t="shared" si="40"/>
        <v>25.44</v>
      </c>
    </row>
    <row r="179" spans="1:14">
      <c r="A179" t="s">
        <v>1745</v>
      </c>
      <c r="B179">
        <v>7.09</v>
      </c>
      <c r="C179" t="s">
        <v>105</v>
      </c>
      <c r="D179" t="s">
        <v>1746</v>
      </c>
      <c r="E179">
        <f t="shared" si="41"/>
        <v>9.11</v>
      </c>
      <c r="F179">
        <f t="shared" si="42"/>
        <v>27.33</v>
      </c>
      <c r="G179" s="84">
        <f t="shared" si="43"/>
        <v>13.209499999999998</v>
      </c>
      <c r="H179" s="84"/>
      <c r="M179" s="111" t="s">
        <v>1436</v>
      </c>
      <c r="N179" s="20">
        <f t="shared" si="40"/>
        <v>26.46</v>
      </c>
    </row>
    <row r="180" spans="1:14">
      <c r="A180" t="s">
        <v>1747</v>
      </c>
      <c r="B180">
        <v>7.09</v>
      </c>
      <c r="C180" t="s">
        <v>105</v>
      </c>
      <c r="D180" t="s">
        <v>1748</v>
      </c>
      <c r="E180">
        <f t="shared" si="41"/>
        <v>9.11</v>
      </c>
      <c r="F180">
        <f t="shared" si="42"/>
        <v>27.33</v>
      </c>
      <c r="G180" s="84">
        <f t="shared" si="43"/>
        <v>13.209499999999998</v>
      </c>
      <c r="H180" s="84"/>
      <c r="M180" s="111" t="s">
        <v>1437</v>
      </c>
      <c r="N180" s="20">
        <f t="shared" si="40"/>
        <v>26.46</v>
      </c>
    </row>
    <row r="181" spans="1:14">
      <c r="A181" t="s">
        <v>1749</v>
      </c>
      <c r="B181">
        <v>7.09</v>
      </c>
      <c r="C181" t="s">
        <v>105</v>
      </c>
      <c r="D181" t="s">
        <v>1750</v>
      </c>
      <c r="E181">
        <f t="shared" si="41"/>
        <v>9.11</v>
      </c>
      <c r="F181">
        <f t="shared" si="42"/>
        <v>27.33</v>
      </c>
      <c r="G181" s="84">
        <f t="shared" si="43"/>
        <v>13.209499999999998</v>
      </c>
      <c r="H181" s="84"/>
      <c r="M181" s="111" t="s">
        <v>1438</v>
      </c>
      <c r="N181" s="20">
        <f t="shared" si="40"/>
        <v>20.369999999999997</v>
      </c>
    </row>
    <row r="182" spans="1:14">
      <c r="A182" t="s">
        <v>1751</v>
      </c>
      <c r="B182">
        <v>7.09</v>
      </c>
      <c r="C182" t="s">
        <v>105</v>
      </c>
      <c r="D182" t="s">
        <v>1753</v>
      </c>
      <c r="E182">
        <f t="shared" si="41"/>
        <v>9.11</v>
      </c>
      <c r="F182">
        <f t="shared" si="42"/>
        <v>27.33</v>
      </c>
      <c r="G182" s="84">
        <f t="shared" si="43"/>
        <v>13.209499999999998</v>
      </c>
      <c r="H182" s="84"/>
      <c r="M182" s="58" t="s">
        <v>1439</v>
      </c>
      <c r="N182" s="20">
        <f t="shared" si="40"/>
        <v>20.42421670117324</v>
      </c>
    </row>
    <row r="183" spans="1:14">
      <c r="A183" t="s">
        <v>1754</v>
      </c>
      <c r="B183">
        <v>7.09</v>
      </c>
      <c r="C183" t="s">
        <v>105</v>
      </c>
      <c r="D183" t="s">
        <v>1755</v>
      </c>
      <c r="E183">
        <f t="shared" si="41"/>
        <v>9.11</v>
      </c>
      <c r="F183">
        <f t="shared" si="42"/>
        <v>27.33</v>
      </c>
      <c r="G183" s="84">
        <f t="shared" si="43"/>
        <v>13.209499999999998</v>
      </c>
      <c r="H183" s="84"/>
      <c r="M183" s="58" t="s">
        <v>1440</v>
      </c>
      <c r="N183" s="20">
        <f t="shared" si="40"/>
        <v>22.08</v>
      </c>
    </row>
    <row r="184" spans="1:14">
      <c r="A184" t="s">
        <v>1756</v>
      </c>
      <c r="B184">
        <v>7.09</v>
      </c>
      <c r="C184" t="s">
        <v>105</v>
      </c>
      <c r="D184" t="s">
        <v>1757</v>
      </c>
      <c r="E184">
        <f t="shared" si="41"/>
        <v>9.11</v>
      </c>
      <c r="F184">
        <f t="shared" si="42"/>
        <v>27.33</v>
      </c>
      <c r="G184" s="84">
        <f t="shared" si="43"/>
        <v>13.209499999999998</v>
      </c>
      <c r="H184" s="84"/>
      <c r="M184" s="8" t="s">
        <v>1441</v>
      </c>
      <c r="N184" s="20">
        <f t="shared" si="40"/>
        <v>20.657135955831606</v>
      </c>
    </row>
    <row r="185" spans="1:14">
      <c r="A185" t="s">
        <v>1758</v>
      </c>
      <c r="B185">
        <v>7.09</v>
      </c>
      <c r="C185" t="s">
        <v>105</v>
      </c>
      <c r="D185" t="s">
        <v>1759</v>
      </c>
      <c r="E185">
        <f t="shared" si="41"/>
        <v>9.11</v>
      </c>
      <c r="F185">
        <f t="shared" si="42"/>
        <v>27.33</v>
      </c>
      <c r="G185" s="84">
        <f t="shared" si="43"/>
        <v>13.209499999999998</v>
      </c>
      <c r="H185" s="84"/>
      <c r="M185" s="58" t="s">
        <v>1442</v>
      </c>
      <c r="N185" s="20">
        <f t="shared" si="40"/>
        <v>21.952857142857141</v>
      </c>
    </row>
    <row r="186" spans="1:14">
      <c r="A186" t="s">
        <v>1760</v>
      </c>
      <c r="B186">
        <v>7.09</v>
      </c>
      <c r="C186" t="s">
        <v>105</v>
      </c>
      <c r="D186" t="s">
        <v>1761</v>
      </c>
      <c r="E186">
        <f t="shared" si="41"/>
        <v>9.11</v>
      </c>
      <c r="F186">
        <f t="shared" si="42"/>
        <v>27.33</v>
      </c>
      <c r="G186" s="84">
        <f t="shared" si="43"/>
        <v>13.209499999999998</v>
      </c>
      <c r="H186" s="84"/>
      <c r="M186" s="58" t="s">
        <v>1443</v>
      </c>
      <c r="N186" s="20">
        <f t="shared" si="40"/>
        <v>47.598002980625935</v>
      </c>
    </row>
    <row r="187" spans="1:14">
      <c r="A187" t="s">
        <v>1762</v>
      </c>
      <c r="B187">
        <v>7.09</v>
      </c>
      <c r="C187" t="s">
        <v>105</v>
      </c>
      <c r="D187" t="s">
        <v>1764</v>
      </c>
      <c r="E187">
        <f t="shared" si="41"/>
        <v>9.11</v>
      </c>
      <c r="F187">
        <f t="shared" si="42"/>
        <v>27.33</v>
      </c>
      <c r="G187" s="84">
        <f t="shared" si="43"/>
        <v>13.209499999999998</v>
      </c>
      <c r="H187" s="84"/>
      <c r="M187" s="58" t="s">
        <v>1444</v>
      </c>
      <c r="N187" s="20">
        <f t="shared" si="40"/>
        <v>50.358062593144567</v>
      </c>
    </row>
    <row r="188" spans="1:14">
      <c r="A188" t="s">
        <v>1765</v>
      </c>
      <c r="B188">
        <v>7.09</v>
      </c>
      <c r="C188" t="s">
        <v>105</v>
      </c>
      <c r="D188" t="s">
        <v>1766</v>
      </c>
      <c r="E188">
        <f t="shared" si="41"/>
        <v>9.11</v>
      </c>
      <c r="F188">
        <f t="shared" si="42"/>
        <v>27.33</v>
      </c>
      <c r="G188" s="84">
        <f t="shared" si="43"/>
        <v>13.209499999999998</v>
      </c>
      <c r="H188" s="84"/>
      <c r="M188" s="58" t="s">
        <v>1445</v>
      </c>
      <c r="N188" s="20">
        <f t="shared" si="40"/>
        <v>19.47</v>
      </c>
    </row>
    <row r="189" spans="1:14">
      <c r="A189" t="s">
        <v>1767</v>
      </c>
      <c r="B189">
        <v>7.09</v>
      </c>
      <c r="C189" t="s">
        <v>105</v>
      </c>
      <c r="D189" t="s">
        <v>1768</v>
      </c>
      <c r="E189">
        <f t="shared" si="41"/>
        <v>9.11</v>
      </c>
      <c r="F189">
        <f t="shared" si="42"/>
        <v>27.33</v>
      </c>
      <c r="G189" s="84">
        <f t="shared" si="43"/>
        <v>13.209499999999998</v>
      </c>
      <c r="H189" s="84"/>
      <c r="M189" s="58" t="s">
        <v>1446</v>
      </c>
      <c r="N189" s="20">
        <f t="shared" si="40"/>
        <v>24.72</v>
      </c>
    </row>
    <row r="190" spans="1:14">
      <c r="A190" t="s">
        <v>1769</v>
      </c>
      <c r="B190">
        <v>7.09</v>
      </c>
      <c r="C190" t="s">
        <v>105</v>
      </c>
      <c r="D190" t="s">
        <v>1770</v>
      </c>
      <c r="E190">
        <f t="shared" si="41"/>
        <v>9.11</v>
      </c>
      <c r="F190">
        <f t="shared" si="42"/>
        <v>27.33</v>
      </c>
      <c r="G190" s="84">
        <f t="shared" si="43"/>
        <v>13.209499999999998</v>
      </c>
      <c r="H190" s="84"/>
      <c r="M190" s="58" t="s">
        <v>1447</v>
      </c>
      <c r="N190" s="20">
        <f t="shared" si="40"/>
        <v>25.275676759834369</v>
      </c>
    </row>
    <row r="191" spans="1:14">
      <c r="A191" t="s">
        <v>1771</v>
      </c>
      <c r="B191">
        <v>7.09</v>
      </c>
      <c r="C191" t="s">
        <v>105</v>
      </c>
      <c r="D191" t="s">
        <v>1772</v>
      </c>
      <c r="E191">
        <f t="shared" si="41"/>
        <v>9.11</v>
      </c>
      <c r="F191">
        <f t="shared" si="42"/>
        <v>27.33</v>
      </c>
      <c r="G191" s="84">
        <f t="shared" si="43"/>
        <v>13.209499999999998</v>
      </c>
      <c r="H191" s="84"/>
      <c r="M191" s="8" t="s">
        <v>1448</v>
      </c>
      <c r="N191" s="20">
        <f t="shared" si="40"/>
        <v>25.415751811594205</v>
      </c>
    </row>
    <row r="192" spans="1:14">
      <c r="A192" t="s">
        <v>1773</v>
      </c>
      <c r="B192">
        <v>7.09</v>
      </c>
      <c r="C192" t="s">
        <v>105</v>
      </c>
      <c r="D192" t="s">
        <v>1774</v>
      </c>
      <c r="E192">
        <f t="shared" si="41"/>
        <v>9.11</v>
      </c>
      <c r="F192">
        <f t="shared" si="42"/>
        <v>27.33</v>
      </c>
      <c r="G192" s="84">
        <f t="shared" si="43"/>
        <v>13.209499999999998</v>
      </c>
      <c r="H192" s="84"/>
      <c r="M192" s="8" t="s">
        <v>1449</v>
      </c>
      <c r="N192" s="20">
        <f t="shared" si="40"/>
        <v>21.54</v>
      </c>
    </row>
    <row r="193" spans="1:14">
      <c r="A193" t="s">
        <v>1775</v>
      </c>
      <c r="B193">
        <v>9.16</v>
      </c>
      <c r="C193" t="s">
        <v>387</v>
      </c>
      <c r="D193" t="s">
        <v>1817</v>
      </c>
      <c r="E193">
        <f t="shared" ref="E193:E214" si="44">IF(B193&gt;0, B193+2.02, "")</f>
        <v>11.18</v>
      </c>
      <c r="F193">
        <f t="shared" ref="F193:F214" si="45">IF(E193&lt;&gt;"", E193 * (1 + $H$3), "")</f>
        <v>33.54</v>
      </c>
      <c r="G193" s="84">
        <f t="shared" ref="G193:G214" si="46">IF(E193&lt;&gt;"", E193 * (1 + $H$2), "")</f>
        <v>16.210999999999999</v>
      </c>
      <c r="H193" s="84"/>
      <c r="M193" s="8" t="s">
        <v>1450</v>
      </c>
      <c r="N193" s="20">
        <f t="shared" si="40"/>
        <v>35.849999999999994</v>
      </c>
    </row>
    <row r="194" spans="1:14">
      <c r="A194" t="s">
        <v>1803</v>
      </c>
      <c r="B194">
        <v>9.93</v>
      </c>
      <c r="C194" t="s">
        <v>387</v>
      </c>
      <c r="D194" t="s">
        <v>1818</v>
      </c>
      <c r="E194">
        <f t="shared" si="44"/>
        <v>11.95</v>
      </c>
      <c r="F194">
        <f t="shared" si="45"/>
        <v>35.849999999999994</v>
      </c>
      <c r="G194" s="84">
        <f t="shared" si="46"/>
        <v>17.327499999999997</v>
      </c>
      <c r="H194" s="84"/>
      <c r="M194" s="8" t="s">
        <v>1451</v>
      </c>
      <c r="N194" s="20">
        <f t="shared" si="40"/>
        <v>33.54</v>
      </c>
    </row>
    <row r="195" spans="1:14">
      <c r="A195" t="s">
        <v>1819</v>
      </c>
      <c r="B195">
        <v>27.2</v>
      </c>
      <c r="C195" t="s">
        <v>99</v>
      </c>
      <c r="D195" t="s">
        <v>1886</v>
      </c>
      <c r="E195">
        <f t="shared" si="44"/>
        <v>29.22</v>
      </c>
      <c r="F195">
        <f t="shared" si="45"/>
        <v>87.66</v>
      </c>
      <c r="G195" s="84">
        <f t="shared" si="46"/>
        <v>42.369</v>
      </c>
      <c r="H195" s="84"/>
      <c r="M195" s="8" t="s">
        <v>1452</v>
      </c>
      <c r="N195" s="20">
        <f t="shared" si="40"/>
        <v>25.529785196687371</v>
      </c>
    </row>
    <row r="196" spans="1:14">
      <c r="A196" t="s">
        <v>1824</v>
      </c>
      <c r="B196">
        <v>27.2</v>
      </c>
      <c r="C196" t="s">
        <v>99</v>
      </c>
      <c r="D196" t="s">
        <v>1829</v>
      </c>
      <c r="E196">
        <f t="shared" si="44"/>
        <v>29.22</v>
      </c>
      <c r="F196">
        <f t="shared" si="45"/>
        <v>87.66</v>
      </c>
      <c r="G196" s="84">
        <f t="shared" si="46"/>
        <v>42.369</v>
      </c>
      <c r="H196" s="84"/>
      <c r="M196" s="8" t="s">
        <v>1453</v>
      </c>
      <c r="N196" s="20">
        <f t="shared" si="40"/>
        <v>24.177667356797794</v>
      </c>
    </row>
    <row r="197" spans="1:14">
      <c r="A197" t="s">
        <v>1826</v>
      </c>
      <c r="B197">
        <v>27.2</v>
      </c>
      <c r="C197" t="s">
        <v>99</v>
      </c>
      <c r="D197" t="s">
        <v>1871</v>
      </c>
      <c r="E197">
        <f t="shared" si="44"/>
        <v>29.22</v>
      </c>
      <c r="F197">
        <f t="shared" si="45"/>
        <v>87.66</v>
      </c>
      <c r="G197" s="84">
        <f t="shared" si="46"/>
        <v>42.369</v>
      </c>
      <c r="H197" s="84"/>
      <c r="M197" s="8" t="s">
        <v>1454</v>
      </c>
      <c r="N197" s="20">
        <f t="shared" si="40"/>
        <v>25.950000000000003</v>
      </c>
    </row>
    <row r="198" spans="1:14">
      <c r="A198" t="s">
        <v>1828</v>
      </c>
      <c r="B198">
        <v>27.2</v>
      </c>
      <c r="C198" t="s">
        <v>99</v>
      </c>
      <c r="D198" t="s">
        <v>1830</v>
      </c>
      <c r="E198">
        <f t="shared" si="44"/>
        <v>29.22</v>
      </c>
      <c r="F198">
        <f t="shared" si="45"/>
        <v>87.66</v>
      </c>
      <c r="G198" s="84">
        <f t="shared" si="46"/>
        <v>42.369</v>
      </c>
      <c r="H198" s="84"/>
      <c r="M198" s="8" t="s">
        <v>1455</v>
      </c>
      <c r="N198" s="20">
        <f t="shared" si="40"/>
        <v>25.77</v>
      </c>
    </row>
    <row r="199" spans="1:14">
      <c r="A199" t="s">
        <v>1831</v>
      </c>
      <c r="B199">
        <v>27.2</v>
      </c>
      <c r="C199" t="s">
        <v>99</v>
      </c>
      <c r="D199" t="s">
        <v>1832</v>
      </c>
      <c r="E199">
        <f t="shared" si="44"/>
        <v>29.22</v>
      </c>
      <c r="F199">
        <f t="shared" si="45"/>
        <v>87.66</v>
      </c>
      <c r="G199" s="84">
        <f t="shared" si="46"/>
        <v>42.369</v>
      </c>
      <c r="H199" s="84"/>
      <c r="M199" s="8" t="s">
        <v>1462</v>
      </c>
      <c r="N199" s="20">
        <f t="shared" si="40"/>
        <v>27.33</v>
      </c>
    </row>
    <row r="200" spans="1:14">
      <c r="A200" t="s">
        <v>1833</v>
      </c>
      <c r="B200">
        <v>27.2</v>
      </c>
      <c r="C200" t="s">
        <v>99</v>
      </c>
      <c r="D200" t="s">
        <v>1834</v>
      </c>
      <c r="E200">
        <f t="shared" si="44"/>
        <v>29.22</v>
      </c>
      <c r="F200">
        <f t="shared" si="45"/>
        <v>87.66</v>
      </c>
      <c r="G200" s="84">
        <f t="shared" si="46"/>
        <v>42.369</v>
      </c>
      <c r="H200" s="84"/>
      <c r="M200" s="8" t="s">
        <v>1463</v>
      </c>
      <c r="N200" s="20">
        <f t="shared" si="40"/>
        <v>91.02</v>
      </c>
    </row>
    <row r="201" spans="1:14">
      <c r="A201" t="s">
        <v>1835</v>
      </c>
      <c r="B201">
        <v>27.2</v>
      </c>
      <c r="C201" t="s">
        <v>99</v>
      </c>
      <c r="D201" t="s">
        <v>1836</v>
      </c>
      <c r="E201">
        <f t="shared" si="44"/>
        <v>29.22</v>
      </c>
      <c r="F201">
        <f t="shared" si="45"/>
        <v>87.66</v>
      </c>
      <c r="G201" s="84">
        <f t="shared" si="46"/>
        <v>42.369</v>
      </c>
      <c r="H201" s="84"/>
      <c r="M201" s="8" t="s">
        <v>1464</v>
      </c>
      <c r="N201" s="20">
        <f t="shared" si="40"/>
        <v>81.112800000000007</v>
      </c>
    </row>
    <row r="202" spans="1:14">
      <c r="A202" t="s">
        <v>1837</v>
      </c>
      <c r="B202">
        <v>27.2</v>
      </c>
      <c r="C202" t="s">
        <v>99</v>
      </c>
      <c r="D202" t="s">
        <v>1838</v>
      </c>
      <c r="E202">
        <f t="shared" si="44"/>
        <v>29.22</v>
      </c>
      <c r="F202">
        <f t="shared" si="45"/>
        <v>87.66</v>
      </c>
      <c r="G202" s="84">
        <f t="shared" si="46"/>
        <v>42.369</v>
      </c>
      <c r="H202" s="84"/>
      <c r="M202" s="8" t="s">
        <v>1465</v>
      </c>
      <c r="N202" s="20">
        <f t="shared" si="40"/>
        <v>85.232265520021485</v>
      </c>
    </row>
    <row r="203" spans="1:14">
      <c r="A203" t="s">
        <v>1839</v>
      </c>
      <c r="B203">
        <v>27.2</v>
      </c>
      <c r="C203" t="s">
        <v>99</v>
      </c>
      <c r="D203" t="s">
        <v>1841</v>
      </c>
      <c r="E203">
        <f t="shared" si="44"/>
        <v>29.22</v>
      </c>
      <c r="F203">
        <f t="shared" si="45"/>
        <v>87.66</v>
      </c>
      <c r="G203" s="84">
        <f t="shared" si="46"/>
        <v>42.369</v>
      </c>
      <c r="H203" s="84"/>
      <c r="M203" s="8" t="s">
        <v>1466</v>
      </c>
      <c r="N203" s="20">
        <f t="shared" si="40"/>
        <v>108.91714285714286</v>
      </c>
    </row>
    <row r="204" spans="1:14">
      <c r="A204" t="s">
        <v>1842</v>
      </c>
      <c r="B204">
        <v>27.2</v>
      </c>
      <c r="C204" t="s">
        <v>99</v>
      </c>
      <c r="D204" t="s">
        <v>1843</v>
      </c>
      <c r="E204">
        <f t="shared" si="44"/>
        <v>29.22</v>
      </c>
      <c r="F204">
        <f t="shared" si="45"/>
        <v>87.66</v>
      </c>
      <c r="G204" s="84">
        <f t="shared" si="46"/>
        <v>42.369</v>
      </c>
      <c r="H204" s="84"/>
      <c r="M204" s="8" t="s">
        <v>1467</v>
      </c>
      <c r="N204" s="20">
        <f t="shared" si="40"/>
        <v>43.019039999999997</v>
      </c>
    </row>
    <row r="205" spans="1:14">
      <c r="A205" t="s">
        <v>1844</v>
      </c>
      <c r="B205">
        <v>27.2</v>
      </c>
      <c r="C205" t="s">
        <v>99</v>
      </c>
      <c r="D205" t="s">
        <v>1845</v>
      </c>
      <c r="E205">
        <f t="shared" si="44"/>
        <v>29.22</v>
      </c>
      <c r="F205">
        <f t="shared" si="45"/>
        <v>87.66</v>
      </c>
      <c r="G205" s="84">
        <f t="shared" si="46"/>
        <v>42.369</v>
      </c>
      <c r="H205" s="84"/>
      <c r="M205" s="8" t="s">
        <v>1468</v>
      </c>
      <c r="N205" s="20">
        <f t="shared" si="40"/>
        <v>52.408733233979135</v>
      </c>
    </row>
    <row r="206" spans="1:14">
      <c r="A206" t="s">
        <v>1846</v>
      </c>
      <c r="B206">
        <v>27.2</v>
      </c>
      <c r="C206" t="s">
        <v>99</v>
      </c>
      <c r="D206" t="s">
        <v>1847</v>
      </c>
      <c r="E206">
        <f t="shared" si="44"/>
        <v>29.22</v>
      </c>
      <c r="F206">
        <f t="shared" si="45"/>
        <v>87.66</v>
      </c>
      <c r="G206" s="84">
        <f t="shared" si="46"/>
        <v>42.369</v>
      </c>
      <c r="H206" s="84"/>
      <c r="M206" s="8" t="s">
        <v>1469</v>
      </c>
      <c r="N206" s="20">
        <f t="shared" si="40"/>
        <v>85.655121951219513</v>
      </c>
    </row>
    <row r="207" spans="1:14">
      <c r="A207" t="s">
        <v>1848</v>
      </c>
      <c r="B207">
        <v>27.2</v>
      </c>
      <c r="C207" t="s">
        <v>99</v>
      </c>
      <c r="D207" t="s">
        <v>1849</v>
      </c>
      <c r="E207">
        <f t="shared" si="44"/>
        <v>29.22</v>
      </c>
      <c r="F207">
        <f t="shared" si="45"/>
        <v>87.66</v>
      </c>
      <c r="G207" s="84">
        <f t="shared" si="46"/>
        <v>42.369</v>
      </c>
      <c r="H207" s="84"/>
      <c r="M207" s="8" t="s">
        <v>1470</v>
      </c>
      <c r="N207" s="20">
        <f t="shared" si="40"/>
        <v>21.36</v>
      </c>
    </row>
    <row r="208" spans="1:14">
      <c r="A208" t="s">
        <v>1850</v>
      </c>
      <c r="B208">
        <v>27.2</v>
      </c>
      <c r="C208" t="s">
        <v>99</v>
      </c>
      <c r="D208" t="s">
        <v>1851</v>
      </c>
      <c r="E208">
        <f t="shared" si="44"/>
        <v>29.22</v>
      </c>
      <c r="F208">
        <f t="shared" si="45"/>
        <v>87.66</v>
      </c>
      <c r="G208" s="84">
        <f t="shared" si="46"/>
        <v>42.369</v>
      </c>
      <c r="H208" s="84"/>
      <c r="M208" s="58" t="s">
        <v>1471</v>
      </c>
      <c r="N208" s="20">
        <f t="shared" si="40"/>
        <v>104.27760000000002</v>
      </c>
    </row>
    <row r="209" spans="1:14">
      <c r="A209" t="s">
        <v>1852</v>
      </c>
      <c r="B209">
        <v>27.2</v>
      </c>
      <c r="C209" t="s">
        <v>99</v>
      </c>
      <c r="D209" t="s">
        <v>1853</v>
      </c>
      <c r="E209">
        <f t="shared" si="44"/>
        <v>29.22</v>
      </c>
      <c r="F209">
        <f t="shared" si="45"/>
        <v>87.66</v>
      </c>
      <c r="G209" s="84">
        <f t="shared" si="46"/>
        <v>42.369</v>
      </c>
      <c r="H209" s="84"/>
      <c r="M209" s="8" t="s">
        <v>1472</v>
      </c>
      <c r="N209" s="20">
        <f t="shared" si="40"/>
        <v>60.569862940069882</v>
      </c>
    </row>
    <row r="210" spans="1:14">
      <c r="A210" t="s">
        <v>1854</v>
      </c>
      <c r="B210">
        <v>27.2</v>
      </c>
      <c r="C210" t="s">
        <v>99</v>
      </c>
      <c r="D210" t="s">
        <v>1855</v>
      </c>
      <c r="E210">
        <f t="shared" si="44"/>
        <v>29.22</v>
      </c>
      <c r="F210">
        <f t="shared" si="45"/>
        <v>87.66</v>
      </c>
      <c r="G210" s="84">
        <f t="shared" si="46"/>
        <v>42.369</v>
      </c>
      <c r="H210" s="84"/>
      <c r="M210" s="8" t="s">
        <v>1473</v>
      </c>
      <c r="N210" s="20">
        <f t="shared" si="40"/>
        <v>76.802400000000006</v>
      </c>
    </row>
    <row r="211" spans="1:14">
      <c r="A211" t="s">
        <v>1856</v>
      </c>
      <c r="B211">
        <v>27.2</v>
      </c>
      <c r="C211" t="s">
        <v>99</v>
      </c>
      <c r="D211" t="s">
        <v>1857</v>
      </c>
      <c r="E211">
        <f t="shared" si="44"/>
        <v>29.22</v>
      </c>
      <c r="F211">
        <f t="shared" si="45"/>
        <v>87.66</v>
      </c>
      <c r="G211" s="84">
        <f t="shared" si="46"/>
        <v>42.369</v>
      </c>
      <c r="H211" s="84"/>
      <c r="M211" s="8" t="s">
        <v>1474</v>
      </c>
      <c r="N211" s="20">
        <f t="shared" si="40"/>
        <v>53.83347242921014</v>
      </c>
    </row>
    <row r="212" spans="1:14">
      <c r="A212" t="s">
        <v>1858</v>
      </c>
      <c r="B212">
        <v>46</v>
      </c>
      <c r="C212" t="s">
        <v>99</v>
      </c>
      <c r="D212" t="s">
        <v>1866</v>
      </c>
      <c r="E212">
        <f t="shared" si="44"/>
        <v>48.02</v>
      </c>
      <c r="F212">
        <f t="shared" si="45"/>
        <v>144.06</v>
      </c>
      <c r="G212" s="84">
        <f t="shared" si="46"/>
        <v>69.629000000000005</v>
      </c>
      <c r="H212" s="84"/>
      <c r="M212" s="8" t="s">
        <v>1475</v>
      </c>
      <c r="N212" s="20">
        <f t="shared" si="40"/>
        <v>40.200000000000003</v>
      </c>
    </row>
    <row r="213" spans="1:14">
      <c r="A213" t="s">
        <v>1867</v>
      </c>
      <c r="B213">
        <v>15.89</v>
      </c>
      <c r="C213" t="s">
        <v>387</v>
      </c>
      <c r="D213" t="s">
        <v>1868</v>
      </c>
      <c r="E213">
        <f t="shared" si="44"/>
        <v>17.91</v>
      </c>
      <c r="F213">
        <f t="shared" si="45"/>
        <v>53.730000000000004</v>
      </c>
      <c r="G213" s="84">
        <f t="shared" si="46"/>
        <v>25.9695</v>
      </c>
      <c r="H213" s="84"/>
      <c r="M213" s="8" t="s">
        <v>1476</v>
      </c>
      <c r="N213" s="20">
        <f t="shared" si="40"/>
        <v>67.648673621460517</v>
      </c>
    </row>
    <row r="214" spans="1:14">
      <c r="A214" t="s">
        <v>1869</v>
      </c>
      <c r="B214">
        <v>15.89</v>
      </c>
      <c r="C214" t="s">
        <v>387</v>
      </c>
      <c r="D214" t="s">
        <v>1870</v>
      </c>
      <c r="E214">
        <f t="shared" si="44"/>
        <v>17.91</v>
      </c>
      <c r="F214">
        <f t="shared" si="45"/>
        <v>53.730000000000004</v>
      </c>
      <c r="G214" s="84">
        <f t="shared" si="46"/>
        <v>25.9695</v>
      </c>
      <c r="H214" s="84"/>
      <c r="M214" s="8" t="s">
        <v>338</v>
      </c>
      <c r="N214" s="20">
        <f t="shared" si="40"/>
        <v>42.480000000000004</v>
      </c>
    </row>
    <row r="215" spans="1:14">
      <c r="A215" t="s">
        <v>1878</v>
      </c>
      <c r="B215">
        <v>27.2</v>
      </c>
      <c r="C215" t="s">
        <v>99</v>
      </c>
      <c r="D215" t="s">
        <v>1885</v>
      </c>
      <c r="E215">
        <f>IF(B215&gt;0, B215+2.02, "")</f>
        <v>29.22</v>
      </c>
      <c r="F215">
        <f>IF(E215&lt;&gt;"", E215 * (1 + $H$3), "")</f>
        <v>87.66</v>
      </c>
      <c r="G215" s="84">
        <f>IF(E215&lt;&gt;"", E215 * (1 + $H$2), "")</f>
        <v>42.369</v>
      </c>
      <c r="H215" s="84"/>
      <c r="M215" s="8" t="s">
        <v>1477</v>
      </c>
      <c r="N215" s="20">
        <f t="shared" si="40"/>
        <v>50.62131147540984</v>
      </c>
    </row>
    <row r="216" spans="1:14">
      <c r="A216" t="s">
        <v>1887</v>
      </c>
      <c r="B216">
        <v>27.2</v>
      </c>
      <c r="C216" t="s">
        <v>99</v>
      </c>
      <c r="D216" t="s">
        <v>1885</v>
      </c>
      <c r="E216">
        <f>IF(B216&gt;0, B216+2.02, "")</f>
        <v>29.22</v>
      </c>
      <c r="F216">
        <f>IF(E216&lt;&gt;"", E216 * (1 + $H$3), "")</f>
        <v>87.66</v>
      </c>
      <c r="G216" s="84">
        <f>IF(E216&lt;&gt;"", E216 * (1 + $H$2), "")</f>
        <v>42.369</v>
      </c>
      <c r="H216" s="84"/>
      <c r="M216" s="8" t="s">
        <v>1478</v>
      </c>
      <c r="N216" s="20">
        <f t="shared" si="40"/>
        <v>110.6102070393375</v>
      </c>
    </row>
    <row r="217" spans="1:14">
      <c r="A217" t="s">
        <v>1888</v>
      </c>
      <c r="B217">
        <v>6.91</v>
      </c>
      <c r="C217" t="s">
        <v>105</v>
      </c>
      <c r="D217" t="s">
        <v>374</v>
      </c>
      <c r="E217">
        <f>IF(B217&gt;0, B217+2.02, "")</f>
        <v>8.93</v>
      </c>
      <c r="F217">
        <f>IF(E217&lt;&gt;"", E217 * (1 + $H$3), "")</f>
        <v>26.79</v>
      </c>
      <c r="G217" s="84">
        <f>IF(E217&lt;&gt;"", E217 * (1 + $H$2), "")</f>
        <v>12.948499999999999</v>
      </c>
      <c r="H217" s="84"/>
      <c r="M217" s="8" t="s">
        <v>342</v>
      </c>
      <c r="N217" s="20">
        <f t="shared" si="40"/>
        <v>49.740124223602479</v>
      </c>
    </row>
    <row r="218" spans="1:14">
      <c r="A218" t="s">
        <v>1891</v>
      </c>
      <c r="B218">
        <v>41.862295081967218</v>
      </c>
      <c r="C218" t="s">
        <v>1309</v>
      </c>
      <c r="D218" t="s">
        <v>1891</v>
      </c>
      <c r="E218">
        <f>IF(B218&gt;0, B218+2.02, "")</f>
        <v>43.882295081967222</v>
      </c>
      <c r="F218">
        <f>IF(E218&lt;&gt;"", E218 * (1 + $H$3), "")</f>
        <v>131.64688524590167</v>
      </c>
      <c r="G218" s="84">
        <f>IF(E218&lt;&gt;"", E218 * (1 + $H$2), "")</f>
        <v>63.629327868852471</v>
      </c>
      <c r="H218" s="84"/>
      <c r="M218" s="8" t="s">
        <v>1479</v>
      </c>
      <c r="N218" s="20">
        <f t="shared" si="40"/>
        <v>64.218559527008864</v>
      </c>
    </row>
    <row r="219" spans="1:14">
      <c r="A219" t="s">
        <v>1892</v>
      </c>
      <c r="B219">
        <v>36.569987389659516</v>
      </c>
      <c r="C219" t="s">
        <v>1309</v>
      </c>
      <c r="D219" t="s">
        <v>1892</v>
      </c>
      <c r="E219">
        <f>IF(B219&gt;0, B219+2.02, "")</f>
        <v>38.58998738965952</v>
      </c>
      <c r="F219">
        <f>IF(E219&lt;&gt;"", E219 * (1 + $H$3), "")</f>
        <v>115.76996216897857</v>
      </c>
      <c r="G219" s="84">
        <f>IF(E219&lt;&gt;"", E219 * (1 + $H$2), "")</f>
        <v>55.9554817150063</v>
      </c>
      <c r="H219" s="84"/>
      <c r="M219" s="8" t="s">
        <v>1480</v>
      </c>
      <c r="N219" s="20">
        <f t="shared" si="40"/>
        <v>13.692454264670943</v>
      </c>
    </row>
    <row r="220" spans="1:14">
      <c r="G220" s="84"/>
      <c r="H220" s="84"/>
      <c r="M220" s="8" t="s">
        <v>1481</v>
      </c>
      <c r="N220" s="20">
        <f t="shared" si="40"/>
        <v>23.52</v>
      </c>
    </row>
    <row r="221" spans="1:14">
      <c r="G221" s="84"/>
      <c r="H221" s="84"/>
      <c r="M221" s="8" t="s">
        <v>1482</v>
      </c>
      <c r="N221" s="20">
        <f t="shared" si="40"/>
        <v>81.976542473919523</v>
      </c>
    </row>
    <row r="222" spans="1:14">
      <c r="G222" s="84"/>
      <c r="H222" s="84"/>
      <c r="M222" s="8" t="s">
        <v>1483</v>
      </c>
      <c r="N222" s="20">
        <f t="shared" si="40"/>
        <v>70.744799999999998</v>
      </c>
    </row>
    <row r="223" spans="1:14">
      <c r="G223" s="84"/>
      <c r="H223" s="84"/>
      <c r="M223" s="8" t="s">
        <v>1484</v>
      </c>
      <c r="N223" s="20">
        <f t="shared" si="40"/>
        <v>44.249699792960662</v>
      </c>
    </row>
    <row r="224" spans="1:14">
      <c r="G224" s="84"/>
      <c r="H224" s="84"/>
      <c r="M224" s="8" t="s">
        <v>1485</v>
      </c>
      <c r="N224" s="20">
        <f t="shared" si="40"/>
        <v>71.950269151138713</v>
      </c>
    </row>
    <row r="225" spans="1:14">
      <c r="G225" s="84"/>
      <c r="H225" s="84"/>
      <c r="M225" s="8" t="s">
        <v>1486</v>
      </c>
      <c r="N225" s="20">
        <f t="shared" si="40"/>
        <v>39.766004140786748</v>
      </c>
    </row>
    <row r="226" spans="1:14" ht="21">
      <c r="G226" s="84"/>
      <c r="H226" s="84"/>
      <c r="I226" s="167"/>
      <c r="J226" s="167"/>
      <c r="M226" s="8" t="s">
        <v>1487</v>
      </c>
      <c r="N226" s="20">
        <f t="shared" si="40"/>
        <v>44.507204968944095</v>
      </c>
    </row>
    <row r="227" spans="1:14" ht="21">
      <c r="A227" s="167"/>
      <c r="B227" s="167"/>
      <c r="C227" s="167"/>
      <c r="D227" s="167"/>
      <c r="G227" s="84"/>
      <c r="H227" s="84"/>
      <c r="M227" s="8" t="s">
        <v>1488</v>
      </c>
      <c r="N227" s="20">
        <f t="shared" si="40"/>
        <v>40.61486542443064</v>
      </c>
    </row>
    <row r="228" spans="1:14" ht="15.75">
      <c r="G228" s="84"/>
      <c r="H228" s="84"/>
      <c r="I228" s="168"/>
      <c r="J228" s="37"/>
      <c r="M228" s="8" t="s">
        <v>1489</v>
      </c>
      <c r="N228" s="20">
        <f t="shared" si="40"/>
        <v>41.348095238095233</v>
      </c>
    </row>
    <row r="229" spans="1:14" ht="15.75">
      <c r="A229" s="37"/>
      <c r="B229" s="483"/>
      <c r="C229" s="483"/>
      <c r="D229" s="483"/>
      <c r="G229" s="84"/>
      <c r="H229" s="84"/>
      <c r="I229" s="168"/>
      <c r="J229" s="168"/>
      <c r="M229" s="8" t="s">
        <v>1490</v>
      </c>
      <c r="N229" s="20">
        <f t="shared" si="40"/>
        <v>41.347267080745347</v>
      </c>
    </row>
    <row r="230" spans="1:14" ht="15.75">
      <c r="A230" s="169"/>
      <c r="B230" s="169"/>
      <c r="C230" s="168"/>
      <c r="D230" s="168"/>
      <c r="G230" s="84"/>
      <c r="H230" s="84"/>
      <c r="I230" s="5"/>
      <c r="J230" s="166"/>
      <c r="M230" s="8" t="s">
        <v>1491</v>
      </c>
      <c r="N230" s="20">
        <f t="shared" si="40"/>
        <v>42.799130434782612</v>
      </c>
    </row>
    <row r="231" spans="1:14">
      <c r="A231" s="81"/>
      <c r="B231" s="5"/>
      <c r="C231" s="5"/>
      <c r="D231" s="5"/>
      <c r="G231" s="84"/>
      <c r="H231" s="84"/>
      <c r="I231" s="5"/>
      <c r="J231" s="5"/>
      <c r="M231" s="8" t="s">
        <v>1495</v>
      </c>
      <c r="N231" s="20">
        <f t="shared" si="40"/>
        <v>140.57863354037266</v>
      </c>
    </row>
    <row r="232" spans="1:14">
      <c r="A232" s="81"/>
      <c r="B232" s="5"/>
      <c r="C232" s="5"/>
      <c r="D232" s="5"/>
      <c r="G232" s="84"/>
      <c r="H232" s="84"/>
      <c r="I232" s="5"/>
      <c r="J232" s="5"/>
      <c r="M232" s="8" t="s">
        <v>1496</v>
      </c>
      <c r="N232" s="20">
        <f t="shared" si="40"/>
        <v>92.975519596511518</v>
      </c>
    </row>
    <row r="233" spans="1:14">
      <c r="A233" s="81"/>
      <c r="B233" s="5"/>
      <c r="C233" s="5"/>
      <c r="D233" s="5"/>
      <c r="G233" s="84"/>
      <c r="H233" s="84"/>
      <c r="I233" s="5"/>
      <c r="J233" s="5"/>
      <c r="M233" s="8" t="s">
        <v>1497</v>
      </c>
      <c r="N233" s="20">
        <f t="shared" si="40"/>
        <v>41.501252587991708</v>
      </c>
    </row>
    <row r="234" spans="1:14">
      <c r="A234" s="81"/>
      <c r="B234" s="5"/>
      <c r="C234" s="5"/>
      <c r="D234" s="5"/>
      <c r="G234" s="84"/>
      <c r="H234" s="84"/>
      <c r="I234" s="5"/>
      <c r="J234" s="5"/>
      <c r="M234" s="98" t="s">
        <v>1498</v>
      </c>
      <c r="N234" s="20">
        <f t="shared" si="40"/>
        <v>25.275676759834369</v>
      </c>
    </row>
    <row r="235" spans="1:14">
      <c r="A235" s="81"/>
      <c r="B235" s="5"/>
      <c r="C235" s="5"/>
      <c r="D235" s="5"/>
      <c r="G235" s="84"/>
      <c r="H235" s="84"/>
      <c r="I235" s="5"/>
      <c r="J235" s="5"/>
      <c r="M235" s="8" t="s">
        <v>1499</v>
      </c>
      <c r="N235" s="20">
        <f t="shared" si="40"/>
        <v>33.465353445729193</v>
      </c>
    </row>
    <row r="236" spans="1:14">
      <c r="A236" s="81"/>
      <c r="B236" s="5"/>
      <c r="C236" s="5"/>
      <c r="D236" s="5"/>
      <c r="G236" s="84"/>
      <c r="H236" s="84"/>
      <c r="I236" s="5"/>
      <c r="J236" s="5"/>
      <c r="M236" s="8" t="s">
        <v>1500</v>
      </c>
      <c r="N236" s="20">
        <f t="shared" si="40"/>
        <v>55.325010351966881</v>
      </c>
    </row>
    <row r="237" spans="1:14">
      <c r="A237" s="81"/>
      <c r="B237" s="5"/>
      <c r="C237" s="5"/>
      <c r="D237" s="5"/>
      <c r="G237" s="84"/>
      <c r="H237" s="84"/>
      <c r="I237" s="5"/>
      <c r="J237" s="5"/>
      <c r="M237" s="8" t="s">
        <v>1501</v>
      </c>
      <c r="N237" s="20">
        <f t="shared" si="40"/>
        <v>53.727087011349312</v>
      </c>
    </row>
    <row r="238" spans="1:14">
      <c r="A238" s="81"/>
      <c r="B238" s="5"/>
      <c r="C238" s="5"/>
      <c r="D238" s="5"/>
      <c r="G238" s="84"/>
      <c r="H238" s="84"/>
      <c r="I238" s="5"/>
      <c r="J238" s="5"/>
      <c r="M238" s="8" t="s">
        <v>1502</v>
      </c>
      <c r="N238" s="20">
        <f t="shared" ref="N238:N267" si="47">F72</f>
        <v>147.05968426868736</v>
      </c>
    </row>
    <row r="239" spans="1:14">
      <c r="A239" s="81"/>
      <c r="B239" s="5"/>
      <c r="C239" s="5"/>
      <c r="D239" s="5"/>
      <c r="G239" s="84"/>
      <c r="H239" s="84"/>
      <c r="I239" s="5"/>
      <c r="J239" s="5"/>
      <c r="M239" s="8" t="s">
        <v>1503</v>
      </c>
      <c r="N239" s="20">
        <f t="shared" si="47"/>
        <v>144.06277392510401</v>
      </c>
    </row>
    <row r="240" spans="1:14">
      <c r="A240" s="81"/>
      <c r="B240" s="5"/>
      <c r="C240" s="5"/>
      <c r="D240" s="5"/>
      <c r="G240" s="84"/>
      <c r="H240" s="84"/>
      <c r="M240" s="8" t="s">
        <v>1504</v>
      </c>
      <c r="N240" s="20">
        <f t="shared" si="47"/>
        <v>126.06</v>
      </c>
    </row>
    <row r="241" spans="7:14">
      <c r="G241" s="84"/>
      <c r="H241" s="84"/>
      <c r="M241" s="8" t="s">
        <v>1505</v>
      </c>
      <c r="N241" s="20">
        <f t="shared" si="47"/>
        <v>101.31094577553596</v>
      </c>
    </row>
    <row r="242" spans="7:14">
      <c r="G242" s="84"/>
      <c r="H242" s="84"/>
      <c r="M242" s="8" t="s">
        <v>1506</v>
      </c>
      <c r="N242" s="20">
        <f t="shared" si="47"/>
        <v>69.06009674818597</v>
      </c>
    </row>
    <row r="243" spans="7:14">
      <c r="G243" s="84"/>
      <c r="H243" s="84"/>
      <c r="M243" s="8" t="s">
        <v>1507</v>
      </c>
      <c r="N243" s="20">
        <f t="shared" si="47"/>
        <v>126.06</v>
      </c>
    </row>
    <row r="244" spans="7:14">
      <c r="G244" s="84"/>
      <c r="H244" s="84"/>
      <c r="M244" s="8" t="s">
        <v>1508</v>
      </c>
      <c r="N244" s="20">
        <f t="shared" si="47"/>
        <v>126.06</v>
      </c>
    </row>
    <row r="245" spans="7:14">
      <c r="G245" s="84"/>
      <c r="H245" s="84"/>
      <c r="M245" s="8" t="s">
        <v>1509</v>
      </c>
      <c r="N245" s="20">
        <f t="shared" si="47"/>
        <v>87.660031522538617</v>
      </c>
    </row>
    <row r="246" spans="7:14">
      <c r="G246" s="84"/>
      <c r="H246" s="84"/>
      <c r="M246" s="8" t="s">
        <v>1510</v>
      </c>
      <c r="N246" s="20">
        <f t="shared" si="47"/>
        <v>44.460378310214381</v>
      </c>
    </row>
    <row r="247" spans="7:14">
      <c r="G247" s="84"/>
      <c r="H247" s="84"/>
      <c r="M247" s="58" t="s">
        <v>1511</v>
      </c>
      <c r="N247" s="20">
        <f t="shared" si="47"/>
        <v>105.06042034468602</v>
      </c>
    </row>
    <row r="248" spans="7:14">
      <c r="G248" s="84"/>
      <c r="H248" s="84"/>
      <c r="M248" s="58" t="s">
        <v>1512</v>
      </c>
      <c r="N248" s="20">
        <f t="shared" si="47"/>
        <v>85.709210724129278</v>
      </c>
    </row>
    <row r="249" spans="7:14">
      <c r="G249" s="84"/>
      <c r="H249" s="84"/>
      <c r="M249" s="8" t="s">
        <v>1513</v>
      </c>
      <c r="N249" s="20">
        <f t="shared" si="47"/>
        <v>123.06019911140982</v>
      </c>
    </row>
    <row r="250" spans="7:14">
      <c r="G250" s="84"/>
      <c r="H250" s="84"/>
      <c r="M250" s="8" t="s">
        <v>1514</v>
      </c>
      <c r="N250" s="20">
        <f t="shared" si="47"/>
        <v>77.159085846380151</v>
      </c>
    </row>
    <row r="251" spans="7:14">
      <c r="G251" s="84"/>
      <c r="H251" s="84"/>
      <c r="M251" s="58" t="s">
        <v>1515</v>
      </c>
      <c r="N251" s="20">
        <f t="shared" si="47"/>
        <v>252.06092464170132</v>
      </c>
    </row>
    <row r="252" spans="7:14">
      <c r="G252" s="84"/>
      <c r="H252" s="84"/>
      <c r="M252" s="8" t="s">
        <v>1516</v>
      </c>
      <c r="N252" s="20">
        <f t="shared" si="47"/>
        <v>84.062521803089211</v>
      </c>
    </row>
    <row r="253" spans="7:14">
      <c r="G253" s="84"/>
      <c r="H253" s="84"/>
      <c r="M253" s="8" t="s">
        <v>1517</v>
      </c>
      <c r="N253" s="20">
        <f t="shared" si="47"/>
        <v>22.440046583850933</v>
      </c>
    </row>
    <row r="254" spans="7:14">
      <c r="G254" s="84"/>
      <c r="H254" s="84"/>
      <c r="M254" s="8" t="s">
        <v>1519</v>
      </c>
      <c r="N254" s="20">
        <f t="shared" si="47"/>
        <v>104.48411422527764</v>
      </c>
    </row>
    <row r="255" spans="7:14">
      <c r="M255" s="8" t="s">
        <v>1318</v>
      </c>
      <c r="N255" s="20">
        <f t="shared" si="47"/>
        <v>132.14476900149032</v>
      </c>
    </row>
    <row r="256" spans="7:14">
      <c r="M256" s="8" t="s">
        <v>1313</v>
      </c>
      <c r="N256" s="20">
        <f t="shared" si="47"/>
        <v>78.825395894428141</v>
      </c>
    </row>
    <row r="257" spans="3:14">
      <c r="M257" s="8" t="s">
        <v>1520</v>
      </c>
      <c r="N257" s="20">
        <f t="shared" si="47"/>
        <v>125.5234873323398</v>
      </c>
    </row>
    <row r="258" spans="3:14">
      <c r="M258" s="8" t="s">
        <v>1575</v>
      </c>
      <c r="N258" s="20">
        <f t="shared" si="47"/>
        <v>20.369999999999997</v>
      </c>
    </row>
    <row r="259" spans="3:14">
      <c r="C259" t="s">
        <v>1315</v>
      </c>
      <c r="M259" s="407" t="s">
        <v>1580</v>
      </c>
      <c r="N259" s="20">
        <f t="shared" si="47"/>
        <v>47.183188405797097</v>
      </c>
    </row>
    <row r="260" spans="3:14">
      <c r="M260" s="407" t="s">
        <v>1582</v>
      </c>
      <c r="N260" s="20">
        <f t="shared" si="47"/>
        <v>47.183188405797097</v>
      </c>
    </row>
    <row r="261" spans="3:14">
      <c r="M261" s="407" t="s">
        <v>1589</v>
      </c>
      <c r="N261" s="20">
        <f t="shared" si="47"/>
        <v>45.537225672877838</v>
      </c>
    </row>
    <row r="262" spans="3:14">
      <c r="M262" s="407" t="s">
        <v>1590</v>
      </c>
      <c r="N262" s="20">
        <f t="shared" si="47"/>
        <v>44.248405797101441</v>
      </c>
    </row>
    <row r="263" spans="3:14">
      <c r="M263" s="407" t="s">
        <v>1587</v>
      </c>
      <c r="N263" s="20">
        <f t="shared" si="47"/>
        <v>61.204927536231885</v>
      </c>
    </row>
    <row r="264" spans="3:14">
      <c r="M264" s="407" t="s">
        <v>1591</v>
      </c>
      <c r="N264" s="20">
        <f t="shared" si="47"/>
        <v>38.218385093167704</v>
      </c>
    </row>
    <row r="265" spans="3:14">
      <c r="N265" s="20">
        <f t="shared" si="47"/>
        <v>92.97</v>
      </c>
    </row>
    <row r="266" spans="3:14">
      <c r="N266" s="20">
        <f t="shared" si="47"/>
        <v>140.58000000000001</v>
      </c>
    </row>
    <row r="267" spans="3:14">
      <c r="N267" s="20">
        <f t="shared" si="47"/>
        <v>47.19</v>
      </c>
    </row>
  </sheetData>
  <sheetProtection selectLockedCells="1"/>
  <mergeCells count="3">
    <mergeCell ref="B229:D229"/>
    <mergeCell ref="I58:J58"/>
    <mergeCell ref="A2:F2"/>
  </mergeCells>
  <phoneticPr fontId="4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3591C-B745-4AE1-AD2E-075312092ED5}">
  <sheetPr codeName="Folha5">
    <tabColor theme="0"/>
  </sheetPr>
  <dimension ref="A3:G62"/>
  <sheetViews>
    <sheetView showGridLines="0" tabSelected="1" zoomScale="90" zoomScaleNormal="90" workbookViewId="0">
      <selection activeCell="F12" sqref="F12"/>
    </sheetView>
  </sheetViews>
  <sheetFormatPr defaultRowHeight="15"/>
  <cols>
    <col min="1" max="1" width="41" customWidth="1"/>
    <col min="2" max="2" width="46" customWidth="1"/>
    <col min="3" max="4" width="23.140625" customWidth="1"/>
    <col min="5" max="5" width="30.140625" customWidth="1"/>
    <col min="6" max="6" width="45.7109375" customWidth="1"/>
  </cols>
  <sheetData>
    <row r="3" spans="1:6">
      <c r="A3" s="27" t="s">
        <v>1</v>
      </c>
      <c r="B3" s="28" t="s">
        <v>1607</v>
      </c>
      <c r="C3" s="28" t="s">
        <v>89</v>
      </c>
      <c r="D3" s="28" t="s">
        <v>1606</v>
      </c>
      <c r="E3" s="27" t="s">
        <v>88</v>
      </c>
      <c r="F3" s="28" t="s">
        <v>108</v>
      </c>
    </row>
    <row r="4" spans="1:6">
      <c r="A4" s="31" t="s">
        <v>56</v>
      </c>
      <c r="B4" s="29">
        <v>0</v>
      </c>
      <c r="C4" s="30">
        <f>B4/1000</f>
        <v>0</v>
      </c>
      <c r="D4" s="30"/>
      <c r="E4" s="25">
        <f>C4+0.32</f>
        <v>0.32</v>
      </c>
      <c r="F4" s="20">
        <f>E4*3.5</f>
        <v>1.1200000000000001</v>
      </c>
    </row>
    <row r="5" spans="1:6">
      <c r="A5" s="31" t="s">
        <v>57</v>
      </c>
      <c r="B5" s="125">
        <v>528.9</v>
      </c>
      <c r="C5" s="30">
        <f>B5/1000</f>
        <v>0.52889999999999993</v>
      </c>
      <c r="D5" s="30" t="s">
        <v>1609</v>
      </c>
      <c r="E5" s="25">
        <f t="shared" ref="E5:E11" si="0">C5+0.32</f>
        <v>0.84889999999999999</v>
      </c>
      <c r="F5" s="20">
        <f>E5*3.5</f>
        <v>2.9711499999999997</v>
      </c>
    </row>
    <row r="6" spans="1:6">
      <c r="A6" s="31" t="s">
        <v>58</v>
      </c>
      <c r="B6" s="125">
        <v>294.14</v>
      </c>
      <c r="C6" s="30">
        <f t="shared" ref="C6:C10" si="1">B6/1000</f>
        <v>0.29414000000000001</v>
      </c>
      <c r="D6" s="30" t="s">
        <v>1609</v>
      </c>
      <c r="E6" s="25">
        <f t="shared" si="0"/>
        <v>0.61414000000000002</v>
      </c>
      <c r="F6" s="20">
        <f t="shared" ref="F6:F10" si="2">E6*3.5</f>
        <v>2.1494900000000001</v>
      </c>
    </row>
    <row r="7" spans="1:6">
      <c r="A7" s="31" t="s">
        <v>59</v>
      </c>
      <c r="B7" s="125">
        <v>380</v>
      </c>
      <c r="C7" s="30">
        <f t="shared" si="1"/>
        <v>0.38</v>
      </c>
      <c r="D7" s="30" t="s">
        <v>1609</v>
      </c>
      <c r="E7" s="25">
        <f t="shared" si="0"/>
        <v>0.7</v>
      </c>
      <c r="F7" s="20">
        <f>E7*3.5</f>
        <v>2.4499999999999997</v>
      </c>
    </row>
    <row r="8" spans="1:6">
      <c r="A8" s="31" t="s">
        <v>60</v>
      </c>
      <c r="B8" s="125">
        <v>478.2</v>
      </c>
      <c r="C8" s="30">
        <f t="shared" si="1"/>
        <v>0.47820000000000001</v>
      </c>
      <c r="D8" s="30" t="s">
        <v>1609</v>
      </c>
      <c r="E8" s="25">
        <f t="shared" si="0"/>
        <v>0.79820000000000002</v>
      </c>
      <c r="F8" s="20">
        <f t="shared" si="2"/>
        <v>2.7937000000000003</v>
      </c>
    </row>
    <row r="9" spans="1:6">
      <c r="A9" s="31" t="s">
        <v>61</v>
      </c>
      <c r="B9" s="125">
        <v>300</v>
      </c>
      <c r="C9" s="30">
        <f t="shared" si="1"/>
        <v>0.3</v>
      </c>
      <c r="D9" s="30" t="s">
        <v>1609</v>
      </c>
      <c r="E9" s="25">
        <f t="shared" si="0"/>
        <v>0.62</v>
      </c>
      <c r="F9" s="20">
        <f t="shared" si="2"/>
        <v>2.17</v>
      </c>
    </row>
    <row r="10" spans="1:6">
      <c r="A10" s="31" t="s">
        <v>62</v>
      </c>
      <c r="B10" s="125">
        <v>150</v>
      </c>
      <c r="C10" s="30">
        <f t="shared" si="1"/>
        <v>0.15</v>
      </c>
      <c r="D10" s="30" t="s">
        <v>1609</v>
      </c>
      <c r="E10" s="25">
        <f t="shared" si="0"/>
        <v>0.47</v>
      </c>
      <c r="F10" s="20">
        <f t="shared" si="2"/>
        <v>1.645</v>
      </c>
    </row>
    <row r="11" spans="1:6">
      <c r="A11" s="31" t="s">
        <v>1608</v>
      </c>
      <c r="B11" s="125">
        <v>67.12</v>
      </c>
      <c r="C11" s="30">
        <f>B11/158</f>
        <v>0.42481012658227851</v>
      </c>
      <c r="D11" s="30" t="s">
        <v>1609</v>
      </c>
      <c r="E11" s="25">
        <f t="shared" si="0"/>
        <v>0.74481012658227852</v>
      </c>
      <c r="F11" s="130">
        <f>E11*2.53</f>
        <v>1.8843696202531646</v>
      </c>
    </row>
    <row r="12" spans="1:6">
      <c r="A12" s="163"/>
      <c r="B12" s="164"/>
      <c r="C12" s="165"/>
      <c r="D12" s="165"/>
      <c r="E12" s="84"/>
      <c r="F12" s="84"/>
    </row>
    <row r="13" spans="1:6">
      <c r="A13" s="163"/>
      <c r="B13" s="164"/>
      <c r="C13" s="165"/>
      <c r="D13" s="165"/>
      <c r="E13" s="84"/>
      <c r="F13" s="84"/>
    </row>
    <row r="14" spans="1:6">
      <c r="A14" s="163"/>
      <c r="B14" s="164"/>
      <c r="C14" s="165"/>
      <c r="D14" s="165"/>
      <c r="E14" s="84"/>
      <c r="F14" s="84"/>
    </row>
    <row r="15" spans="1:6">
      <c r="A15" s="163"/>
      <c r="B15" s="164"/>
      <c r="C15" s="165"/>
      <c r="D15" s="165"/>
      <c r="E15" s="84"/>
      <c r="F15" s="84"/>
    </row>
    <row r="17" spans="1:7">
      <c r="A17" s="27" t="s">
        <v>1</v>
      </c>
      <c r="B17" s="28" t="s">
        <v>110</v>
      </c>
      <c r="E17" s="27" t="s">
        <v>1</v>
      </c>
      <c r="F17" s="36" t="s">
        <v>88</v>
      </c>
    </row>
    <row r="18" spans="1:7">
      <c r="A18" s="31" t="str">
        <f t="shared" ref="A18:A25" si="3">A4</f>
        <v>Serviço Sem Orla</v>
      </c>
      <c r="B18" s="32">
        <v>1.6</v>
      </c>
      <c r="E18" s="31" t="str">
        <f t="shared" ref="E18:E25" si="4">A4</f>
        <v>Serviço Sem Orla</v>
      </c>
      <c r="F18" s="48">
        <f t="shared" ref="F18:F25" si="5">E4</f>
        <v>0.32</v>
      </c>
    </row>
    <row r="19" spans="1:7">
      <c r="A19" s="31" t="str">
        <f t="shared" si="3"/>
        <v>Orla - Bicolor</v>
      </c>
      <c r="B19" s="33">
        <f t="shared" ref="B19:B25" si="6">F5</f>
        <v>2.9711499999999997</v>
      </c>
      <c r="E19" s="31" t="str">
        <f t="shared" si="4"/>
        <v>Orla - Bicolor</v>
      </c>
      <c r="F19" s="48">
        <f t="shared" si="5"/>
        <v>0.84889999999999999</v>
      </c>
    </row>
    <row r="20" spans="1:7">
      <c r="A20" s="31" t="str">
        <f t="shared" si="3"/>
        <v>Orla - À Cor</v>
      </c>
      <c r="B20" s="33">
        <f t="shared" si="6"/>
        <v>2.1494900000000001</v>
      </c>
      <c r="E20" s="31" t="str">
        <f t="shared" si="4"/>
        <v>Orla - À Cor</v>
      </c>
      <c r="F20" s="48">
        <f t="shared" si="5"/>
        <v>0.61414000000000002</v>
      </c>
    </row>
    <row r="21" spans="1:7">
      <c r="A21" s="31" t="str">
        <f t="shared" si="3"/>
        <v>Orla - À Cor Touch</v>
      </c>
      <c r="B21" s="33">
        <f t="shared" si="6"/>
        <v>2.4499999999999997</v>
      </c>
      <c r="E21" s="31" t="str">
        <f t="shared" si="4"/>
        <v>Orla - À Cor Touch</v>
      </c>
      <c r="F21" s="48">
        <f t="shared" si="5"/>
        <v>0.7</v>
      </c>
    </row>
    <row r="22" spans="1:7">
      <c r="A22" s="31" t="str">
        <f t="shared" si="3"/>
        <v>Orla - À Cor Madeira PVC</v>
      </c>
      <c r="B22" s="33">
        <f t="shared" si="6"/>
        <v>2.7937000000000003</v>
      </c>
      <c r="E22" s="31" t="str">
        <f t="shared" si="4"/>
        <v>Orla - À Cor Madeira PVC</v>
      </c>
      <c r="F22" s="48">
        <f t="shared" si="5"/>
        <v>0.79820000000000002</v>
      </c>
    </row>
    <row r="23" spans="1:7">
      <c r="A23" s="31" t="str">
        <f t="shared" si="3"/>
        <v>Orla - Standard 1mm</v>
      </c>
      <c r="B23" s="33">
        <f t="shared" si="6"/>
        <v>2.17</v>
      </c>
      <c r="E23" s="31" t="str">
        <f t="shared" si="4"/>
        <v>Orla - Standard 1mm</v>
      </c>
      <c r="F23" s="48">
        <f t="shared" si="5"/>
        <v>0.62</v>
      </c>
    </row>
    <row r="24" spans="1:7">
      <c r="A24" s="31" t="str">
        <f t="shared" si="3"/>
        <v>Orla - Standard 0,4mm</v>
      </c>
      <c r="B24" s="33">
        <f t="shared" si="6"/>
        <v>1.645</v>
      </c>
      <c r="E24" s="31" t="str">
        <f t="shared" si="4"/>
        <v>Orla - Standard 0,4mm</v>
      </c>
      <c r="F24" s="48">
        <f t="shared" si="5"/>
        <v>0.47</v>
      </c>
    </row>
    <row r="25" spans="1:7">
      <c r="A25" s="31" t="str">
        <f t="shared" si="3"/>
        <v>Orla - Madeira Carvalho 0,5mm</v>
      </c>
      <c r="B25" s="33">
        <f t="shared" si="6"/>
        <v>1.8843696202531646</v>
      </c>
      <c r="E25" s="31" t="str">
        <f t="shared" si="4"/>
        <v>Orla - Madeira Carvalho 0,5mm</v>
      </c>
      <c r="F25" s="48">
        <f t="shared" si="5"/>
        <v>0.74481012658227852</v>
      </c>
    </row>
    <row r="28" spans="1:7">
      <c r="A28" s="424" t="s">
        <v>77</v>
      </c>
      <c r="B28" s="424"/>
      <c r="C28" s="424"/>
      <c r="D28" s="424"/>
      <c r="E28" s="424"/>
      <c r="F28" s="424"/>
      <c r="G28" s="424"/>
    </row>
    <row r="45" spans="1:7">
      <c r="A45" s="426" t="s">
        <v>78</v>
      </c>
      <c r="B45" s="426"/>
      <c r="C45" s="426"/>
      <c r="D45" s="426"/>
      <c r="E45" s="426"/>
      <c r="F45" s="426"/>
      <c r="G45" s="426"/>
    </row>
    <row r="46" spans="1:7">
      <c r="A46" t="s">
        <v>90</v>
      </c>
      <c r="E46" s="23">
        <v>23</v>
      </c>
    </row>
    <row r="48" spans="1:7">
      <c r="A48" s="427" t="s">
        <v>79</v>
      </c>
      <c r="B48" s="427"/>
      <c r="C48" s="427"/>
      <c r="D48" s="427"/>
      <c r="E48" s="427"/>
      <c r="F48" s="427"/>
      <c r="G48" s="427"/>
    </row>
    <row r="49" spans="1:7">
      <c r="A49" s="425" t="s">
        <v>80</v>
      </c>
      <c r="B49" s="425"/>
      <c r="C49" s="425"/>
      <c r="D49" s="425"/>
      <c r="E49" s="425"/>
      <c r="F49" s="425"/>
      <c r="G49" s="425"/>
    </row>
    <row r="50" spans="1:7">
      <c r="A50" t="s">
        <v>91</v>
      </c>
    </row>
    <row r="52" spans="1:7">
      <c r="A52" s="425" t="s">
        <v>85</v>
      </c>
      <c r="B52" s="425"/>
      <c r="C52" s="425"/>
      <c r="D52" s="425"/>
      <c r="E52" s="425"/>
      <c r="F52" s="425"/>
      <c r="G52" s="425"/>
    </row>
    <row r="53" spans="1:7">
      <c r="A53" t="s">
        <v>92</v>
      </c>
      <c r="B53" s="5" t="s">
        <v>81</v>
      </c>
      <c r="C53" t="s">
        <v>82</v>
      </c>
    </row>
    <row r="54" spans="1:7">
      <c r="A54" t="s">
        <v>83</v>
      </c>
      <c r="B54" s="5" t="s">
        <v>81</v>
      </c>
      <c r="C54" t="s">
        <v>84</v>
      </c>
    </row>
    <row r="56" spans="1:7">
      <c r="A56" s="34"/>
      <c r="B56" s="34"/>
      <c r="C56" s="34"/>
      <c r="D56" s="34"/>
      <c r="E56" s="34"/>
      <c r="F56" s="34"/>
      <c r="G56" s="34"/>
    </row>
    <row r="58" spans="1:7">
      <c r="A58" s="425" t="s">
        <v>86</v>
      </c>
      <c r="B58" s="425"/>
      <c r="C58" s="425"/>
      <c r="D58" s="425"/>
      <c r="E58" s="425"/>
      <c r="F58" s="425"/>
      <c r="G58" s="425"/>
    </row>
    <row r="59" spans="1:7">
      <c r="A59" t="s">
        <v>93</v>
      </c>
    </row>
    <row r="61" spans="1:7">
      <c r="A61" s="425" t="s">
        <v>87</v>
      </c>
      <c r="B61" s="425"/>
      <c r="C61" s="425"/>
      <c r="D61" s="425"/>
      <c r="E61" s="425"/>
      <c r="F61" s="425"/>
      <c r="G61" s="425"/>
    </row>
    <row r="62" spans="1:7">
      <c r="A62" t="s">
        <v>94</v>
      </c>
    </row>
  </sheetData>
  <mergeCells count="7">
    <mergeCell ref="A28:G28"/>
    <mergeCell ref="A61:G61"/>
    <mergeCell ref="A45:G45"/>
    <mergeCell ref="A48:G48"/>
    <mergeCell ref="A49:G49"/>
    <mergeCell ref="A52:G52"/>
    <mergeCell ref="A58:G58"/>
  </mergeCells>
  <phoneticPr fontId="4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386DB-DBA6-4E0B-8401-8D21B37C525D}">
  <sheetPr codeName="Folha7">
    <tabColor theme="0"/>
  </sheetPr>
  <dimension ref="A1:AH73"/>
  <sheetViews>
    <sheetView showGridLines="0" topLeftCell="I1" zoomScale="80" zoomScaleNormal="80" workbookViewId="0">
      <selection activeCell="K38" sqref="K38"/>
    </sheetView>
  </sheetViews>
  <sheetFormatPr defaultRowHeight="15"/>
  <cols>
    <col min="2" max="2" width="41.5703125" customWidth="1"/>
    <col min="3" max="3" width="22.140625" customWidth="1"/>
    <col min="4" max="4" width="14.5703125" customWidth="1"/>
    <col min="5" max="5" width="26" customWidth="1"/>
    <col min="6" max="6" width="16.85546875" customWidth="1"/>
    <col min="8" max="8" width="40.140625" customWidth="1"/>
    <col min="10" max="10" width="37.42578125" customWidth="1"/>
    <col min="11" max="12" width="34" customWidth="1"/>
    <col min="13" max="13" width="15.28515625" customWidth="1"/>
    <col min="14" max="14" width="16.5703125" customWidth="1"/>
    <col min="15" max="15" width="26.5703125" customWidth="1"/>
    <col min="16" max="16" width="18.5703125" customWidth="1"/>
    <col min="17" max="17" width="47.5703125" customWidth="1"/>
    <col min="18" max="18" width="38.7109375" customWidth="1"/>
    <col min="19" max="19" width="22.5703125" customWidth="1"/>
  </cols>
  <sheetData>
    <row r="1" spans="2:34">
      <c r="B1" s="4" t="s">
        <v>65</v>
      </c>
      <c r="C1" s="4" t="s">
        <v>67</v>
      </c>
    </row>
    <row r="2" spans="2:34">
      <c r="B2" s="1" t="s">
        <v>66</v>
      </c>
      <c r="C2" s="22">
        <v>60</v>
      </c>
    </row>
    <row r="3" spans="2:34">
      <c r="B3" s="1" t="s">
        <v>68</v>
      </c>
      <c r="C3" s="22">
        <f>C2*1.06</f>
        <v>63.6</v>
      </c>
      <c r="M3" t="s">
        <v>616</v>
      </c>
    </row>
    <row r="4" spans="2:34">
      <c r="B4" s="1" t="s">
        <v>69</v>
      </c>
      <c r="C4" s="22">
        <f>C2*1.1</f>
        <v>66</v>
      </c>
      <c r="M4" t="s">
        <v>617</v>
      </c>
      <c r="N4" t="s">
        <v>81</v>
      </c>
      <c r="O4" t="s">
        <v>618</v>
      </c>
    </row>
    <row r="5" spans="2:34">
      <c r="B5" s="1" t="s">
        <v>70</v>
      </c>
      <c r="C5" s="22">
        <f>C2*1.35</f>
        <v>81</v>
      </c>
      <c r="M5" t="s">
        <v>619</v>
      </c>
      <c r="N5" t="s">
        <v>81</v>
      </c>
      <c r="O5" t="s">
        <v>83</v>
      </c>
    </row>
    <row r="6" spans="2:34">
      <c r="B6" s="1" t="s">
        <v>71</v>
      </c>
      <c r="C6" s="22">
        <f>C2*1.15</f>
        <v>69</v>
      </c>
      <c r="M6" t="s">
        <v>620</v>
      </c>
    </row>
    <row r="7" spans="2:34">
      <c r="B7" s="1" t="s">
        <v>72</v>
      </c>
      <c r="C7" s="22">
        <f>C2*1.25</f>
        <v>75</v>
      </c>
    </row>
    <row r="8" spans="2:34">
      <c r="B8" s="1" t="s">
        <v>73</v>
      </c>
      <c r="C8" s="22">
        <v>80</v>
      </c>
    </row>
    <row r="9" spans="2:34">
      <c r="B9" s="1" t="s">
        <v>74</v>
      </c>
      <c r="C9" s="22">
        <f>C8*1.03</f>
        <v>82.4</v>
      </c>
    </row>
    <row r="10" spans="2:34">
      <c r="B10" s="1" t="s">
        <v>75</v>
      </c>
      <c r="C10" s="22">
        <f>C8*1.1</f>
        <v>88</v>
      </c>
    </row>
    <row r="11" spans="2:34">
      <c r="B11" s="1" t="s">
        <v>76</v>
      </c>
      <c r="C11" s="22">
        <f>C8*1.375</f>
        <v>110</v>
      </c>
    </row>
    <row r="16" spans="2:34">
      <c r="E16" s="140" t="s">
        <v>221</v>
      </c>
      <c r="J16" s="6"/>
      <c r="K16" s="6"/>
      <c r="L16" s="6"/>
      <c r="M16" s="6"/>
      <c r="N16" s="6"/>
      <c r="O16" s="141" t="s">
        <v>643</v>
      </c>
      <c r="P16" s="141" t="s">
        <v>228</v>
      </c>
      <c r="Q16" s="141" t="s">
        <v>649</v>
      </c>
      <c r="R16" s="141" t="s">
        <v>650</v>
      </c>
      <c r="S16" s="9"/>
      <c r="U16" s="424" t="s">
        <v>229</v>
      </c>
      <c r="V16" s="424"/>
      <c r="W16" s="424"/>
      <c r="X16" s="424"/>
      <c r="Y16" s="424"/>
      <c r="Z16" s="424"/>
      <c r="AA16" s="424"/>
      <c r="AB16" s="424"/>
      <c r="AD16" s="424" t="s">
        <v>230</v>
      </c>
      <c r="AE16" s="424"/>
      <c r="AF16" s="424"/>
      <c r="AG16" s="424"/>
      <c r="AH16" s="424"/>
    </row>
    <row r="17" spans="1:34">
      <c r="B17" s="139" t="s">
        <v>216</v>
      </c>
      <c r="C17" s="139" t="s">
        <v>217</v>
      </c>
      <c r="D17" s="139" t="s">
        <v>223</v>
      </c>
      <c r="E17" s="139" t="s">
        <v>220</v>
      </c>
      <c r="F17" s="139" t="s">
        <v>224</v>
      </c>
      <c r="H17" s="139" t="s">
        <v>305</v>
      </c>
      <c r="J17" s="139" t="s">
        <v>218</v>
      </c>
      <c r="K17" s="139" t="s">
        <v>225</v>
      </c>
      <c r="L17" s="139" t="s">
        <v>306</v>
      </c>
      <c r="M17" s="139" t="s">
        <v>222</v>
      </c>
      <c r="N17" s="139" t="s">
        <v>219</v>
      </c>
      <c r="O17" s="139" t="s">
        <v>234</v>
      </c>
      <c r="P17" s="141" t="s">
        <v>226</v>
      </c>
      <c r="Q17" s="141" t="s">
        <v>227</v>
      </c>
      <c r="R17" s="141" t="s">
        <v>658</v>
      </c>
      <c r="S17" s="9"/>
      <c r="AD17" t="s">
        <v>231</v>
      </c>
    </row>
    <row r="18" spans="1:34">
      <c r="A18" s="34"/>
      <c r="B18" s="8" t="s">
        <v>235</v>
      </c>
      <c r="C18" s="95">
        <v>5</v>
      </c>
      <c r="D18" s="126">
        <v>59.72</v>
      </c>
      <c r="E18" s="127">
        <f>D18+(D18*0.08)</f>
        <v>64.497600000000006</v>
      </c>
      <c r="F18" s="20">
        <f>E18/C18</f>
        <v>12.899520000000001</v>
      </c>
      <c r="H18" s="84">
        <f>MEDIAN(F44,F64)</f>
        <v>3.437856</v>
      </c>
      <c r="J18" s="8" t="s">
        <v>296</v>
      </c>
      <c r="K18" s="8">
        <v>37.5</v>
      </c>
      <c r="L18" s="20">
        <f>(H18*25)+(H20*12.5)</f>
        <v>194.32574999999997</v>
      </c>
      <c r="M18" s="20">
        <f>L18/K18</f>
        <v>5.1820199999999996</v>
      </c>
      <c r="N18" s="8">
        <v>1</v>
      </c>
      <c r="O18" s="8">
        <v>2.11</v>
      </c>
      <c r="P18" s="20">
        <f>(M18/4)*N18</f>
        <v>1.2955049999999999</v>
      </c>
      <c r="Q18" s="20">
        <f>(8*P18)+(36.09*2)</f>
        <v>82.54404000000001</v>
      </c>
      <c r="R18" s="20">
        <f>Q18/8</f>
        <v>10.318005000000001</v>
      </c>
      <c r="S18" s="84"/>
      <c r="AD18" s="94" t="s">
        <v>232</v>
      </c>
      <c r="AE18" s="94"/>
      <c r="AF18" s="94"/>
      <c r="AG18" s="94"/>
      <c r="AH18" s="94"/>
    </row>
    <row r="19" spans="1:34">
      <c r="A19" s="34"/>
      <c r="B19" s="8" t="s">
        <v>236</v>
      </c>
      <c r="C19" s="95">
        <v>10</v>
      </c>
      <c r="D19" s="126">
        <v>62.77</v>
      </c>
      <c r="E19" s="127">
        <f t="shared" ref="E19:E73" si="0">D19+(D19*0.08)</f>
        <v>67.791600000000003</v>
      </c>
      <c r="F19" s="20">
        <f t="shared" ref="F19:F73" si="1">E19/C19</f>
        <v>6.7791600000000001</v>
      </c>
      <c r="H19" s="139" t="s">
        <v>302</v>
      </c>
      <c r="J19" s="8" t="s">
        <v>655</v>
      </c>
      <c r="K19" s="8">
        <v>37.5</v>
      </c>
      <c r="L19" s="20">
        <f>(H22*25)+(H44*12.5)</f>
        <v>412.83540000000005</v>
      </c>
      <c r="M19" s="20">
        <f>L19/K19</f>
        <v>11.008944000000001</v>
      </c>
      <c r="N19" s="8">
        <v>1</v>
      </c>
      <c r="O19" s="8">
        <v>2.11</v>
      </c>
      <c r="P19" s="20">
        <f>(M19/4)*N19</f>
        <v>2.7522360000000003</v>
      </c>
      <c r="Q19" s="20">
        <f>(8*P19)+(36.09*2)</f>
        <v>94.197888000000006</v>
      </c>
      <c r="R19" s="20">
        <f>Q19/8</f>
        <v>11.774736000000001</v>
      </c>
      <c r="S19" s="84"/>
      <c r="AD19" t="s">
        <v>233</v>
      </c>
    </row>
    <row r="20" spans="1:34">
      <c r="A20" s="34"/>
      <c r="B20" s="8" t="s">
        <v>237</v>
      </c>
      <c r="C20" s="95">
        <v>20</v>
      </c>
      <c r="D20" s="126">
        <v>197.92</v>
      </c>
      <c r="E20" s="127">
        <f t="shared" si="0"/>
        <v>213.75359999999998</v>
      </c>
      <c r="F20" s="20">
        <f t="shared" si="1"/>
        <v>10.687679999999999</v>
      </c>
      <c r="H20" s="84">
        <f>MEDIAN(F19,F21,F30,F32,F45,F47,F58,F65)</f>
        <v>8.6703479999999988</v>
      </c>
      <c r="J20" s="8" t="s">
        <v>656</v>
      </c>
      <c r="K20" s="8">
        <v>37.5</v>
      </c>
      <c r="L20" s="20">
        <f>(H24*25)+(H44*12.5)</f>
        <v>415.69470000000001</v>
      </c>
      <c r="M20" s="20">
        <f t="shared" ref="M20:M21" si="2">L20/K20</f>
        <v>11.085192000000001</v>
      </c>
      <c r="N20" s="8">
        <v>1</v>
      </c>
      <c r="O20" s="8">
        <v>2.11</v>
      </c>
      <c r="P20" s="20">
        <f t="shared" ref="P20:P21" si="3">(M20/4)*N20</f>
        <v>2.7712980000000003</v>
      </c>
      <c r="Q20" s="20">
        <f>(8*P20)+(36.09*2)</f>
        <v>94.350384000000005</v>
      </c>
      <c r="R20" s="20">
        <f t="shared" ref="R20:R21" si="4">Q20/8</f>
        <v>11.793798000000001</v>
      </c>
      <c r="S20" s="84"/>
    </row>
    <row r="21" spans="1:34">
      <c r="A21" s="34"/>
      <c r="B21" s="8" t="s">
        <v>238</v>
      </c>
      <c r="C21" s="95">
        <v>2</v>
      </c>
      <c r="D21" s="126">
        <v>31.48</v>
      </c>
      <c r="E21" s="127">
        <f t="shared" si="0"/>
        <v>33.998400000000004</v>
      </c>
      <c r="F21" s="20">
        <f t="shared" si="1"/>
        <v>16.999200000000002</v>
      </c>
      <c r="H21" s="139" t="s">
        <v>652</v>
      </c>
      <c r="J21" s="8" t="s">
        <v>657</v>
      </c>
      <c r="K21" s="8">
        <v>37.5</v>
      </c>
      <c r="L21" s="20">
        <f>(H26*25)+(H44*12.5)</f>
        <v>418.55399999999997</v>
      </c>
      <c r="M21" s="20">
        <f t="shared" si="2"/>
        <v>11.161439999999999</v>
      </c>
      <c r="N21" s="8">
        <v>1</v>
      </c>
      <c r="O21" s="8">
        <v>2.11</v>
      </c>
      <c r="P21" s="20">
        <f t="shared" si="3"/>
        <v>2.7903599999999997</v>
      </c>
      <c r="Q21" s="20">
        <f t="shared" ref="Q21:Q30" si="5">(8*P21)+(36.09*2)</f>
        <v>94.502880000000005</v>
      </c>
      <c r="R21" s="20">
        <f t="shared" si="4"/>
        <v>11.812860000000001</v>
      </c>
      <c r="S21" s="84"/>
    </row>
    <row r="22" spans="1:34">
      <c r="A22" s="34"/>
      <c r="B22" s="8" t="s">
        <v>239</v>
      </c>
      <c r="C22" s="95">
        <v>1</v>
      </c>
      <c r="D22" s="126">
        <v>12.63</v>
      </c>
      <c r="E22" s="127">
        <f t="shared" si="0"/>
        <v>13.640400000000001</v>
      </c>
      <c r="F22" s="20">
        <f t="shared" si="1"/>
        <v>13.640400000000001</v>
      </c>
      <c r="H22" s="84">
        <f>MEDIAN(F46,F67)</f>
        <v>11.113416000000001</v>
      </c>
      <c r="J22" s="8" t="s">
        <v>298</v>
      </c>
      <c r="K22" s="8">
        <v>24</v>
      </c>
      <c r="L22" s="20">
        <f>(H28*20)+(H20*4)</f>
        <v>161.548992</v>
      </c>
      <c r="M22" s="20">
        <f>L22/K22</f>
        <v>6.7312079999999996</v>
      </c>
      <c r="N22" s="8">
        <v>1</v>
      </c>
      <c r="O22" s="8">
        <v>2.11</v>
      </c>
      <c r="P22" s="20">
        <f t="shared" ref="P22" si="6">(M22/4)*N22</f>
        <v>1.6828019999999999</v>
      </c>
      <c r="Q22" s="20">
        <f t="shared" si="5"/>
        <v>85.642416000000011</v>
      </c>
      <c r="R22" s="20">
        <f t="shared" ref="R22:R30" si="7">Q22/8</f>
        <v>10.705302000000001</v>
      </c>
      <c r="S22" s="84"/>
    </row>
    <row r="23" spans="1:34">
      <c r="A23" s="34"/>
      <c r="B23" s="8" t="s">
        <v>240</v>
      </c>
      <c r="C23" s="95">
        <v>20</v>
      </c>
      <c r="D23" s="126">
        <v>128.46</v>
      </c>
      <c r="E23" s="127">
        <f t="shared" si="0"/>
        <v>138.73680000000002</v>
      </c>
      <c r="F23" s="20">
        <f t="shared" si="1"/>
        <v>6.936840000000001</v>
      </c>
      <c r="H23" s="139" t="s">
        <v>653</v>
      </c>
      <c r="J23" s="8" t="s">
        <v>299</v>
      </c>
      <c r="K23" s="8">
        <v>22</v>
      </c>
      <c r="L23" s="20">
        <f>(H30*20)+(H20*2)</f>
        <v>193.58589600000002</v>
      </c>
      <c r="M23" s="20">
        <f>L23/K23</f>
        <v>8.7993589090909108</v>
      </c>
      <c r="N23" s="8">
        <v>1</v>
      </c>
      <c r="O23" s="8">
        <v>2.11</v>
      </c>
      <c r="P23" s="20">
        <f t="shared" ref="P23:P30" si="8">(M23/4)*N23</f>
        <v>2.1998397272727277</v>
      </c>
      <c r="Q23" s="20">
        <f t="shared" si="5"/>
        <v>89.778717818181832</v>
      </c>
      <c r="R23" s="20">
        <f t="shared" si="7"/>
        <v>11.222339727272729</v>
      </c>
      <c r="S23" s="84"/>
    </row>
    <row r="24" spans="1:34">
      <c r="A24" s="34"/>
      <c r="B24" s="8" t="s">
        <v>241</v>
      </c>
      <c r="C24" s="95">
        <v>2</v>
      </c>
      <c r="D24" s="126">
        <v>28.04</v>
      </c>
      <c r="E24" s="127">
        <f t="shared" si="0"/>
        <v>30.283200000000001</v>
      </c>
      <c r="F24" s="20">
        <f t="shared" si="1"/>
        <v>15.1416</v>
      </c>
      <c r="H24" s="84">
        <f>(0.5*H22)+(H26*0.5)</f>
        <v>11.227788</v>
      </c>
      <c r="J24" s="8" t="s">
        <v>677</v>
      </c>
      <c r="K24" s="8">
        <v>30</v>
      </c>
      <c r="L24" s="20">
        <f>(H32*20)+(H44*10)</f>
        <v>291.40560000000005</v>
      </c>
      <c r="M24" s="20">
        <f>L24/K24</f>
        <v>9.7135200000000008</v>
      </c>
      <c r="N24" s="8">
        <v>2</v>
      </c>
      <c r="O24" s="8">
        <v>2.11</v>
      </c>
      <c r="P24" s="20">
        <f t="shared" si="8"/>
        <v>4.8567600000000004</v>
      </c>
      <c r="Q24" s="20">
        <f t="shared" si="5"/>
        <v>111.03408000000002</v>
      </c>
      <c r="R24" s="20">
        <f t="shared" si="7"/>
        <v>13.879260000000002</v>
      </c>
    </row>
    <row r="25" spans="1:34">
      <c r="A25" s="34"/>
      <c r="B25" s="8" t="s">
        <v>242</v>
      </c>
      <c r="C25" s="95">
        <v>5</v>
      </c>
      <c r="D25" s="126">
        <v>63.96</v>
      </c>
      <c r="E25" s="127">
        <f t="shared" si="0"/>
        <v>69.076800000000006</v>
      </c>
      <c r="F25" s="20">
        <f t="shared" si="1"/>
        <v>13.815360000000002</v>
      </c>
      <c r="H25" s="139" t="s">
        <v>654</v>
      </c>
      <c r="J25" s="8" t="s">
        <v>678</v>
      </c>
      <c r="K25" s="8">
        <v>30</v>
      </c>
      <c r="L25" s="20">
        <f>(H34*20)+(H44*10)</f>
        <v>224.91</v>
      </c>
      <c r="M25" s="20">
        <f>L25/K25</f>
        <v>7.4969999999999999</v>
      </c>
      <c r="N25" s="8">
        <v>2</v>
      </c>
      <c r="O25" s="8">
        <v>2.11</v>
      </c>
      <c r="P25" s="20">
        <f t="shared" si="8"/>
        <v>3.7484999999999999</v>
      </c>
      <c r="Q25" s="20">
        <f t="shared" si="5"/>
        <v>102.16800000000001</v>
      </c>
      <c r="R25" s="20">
        <f t="shared" si="7"/>
        <v>12.771000000000001</v>
      </c>
    </row>
    <row r="26" spans="1:34">
      <c r="A26" s="34"/>
      <c r="B26" s="8" t="s">
        <v>243</v>
      </c>
      <c r="C26" s="95">
        <v>1000</v>
      </c>
      <c r="D26" s="126">
        <v>1900</v>
      </c>
      <c r="E26" s="127">
        <f t="shared" si="0"/>
        <v>2052</v>
      </c>
      <c r="F26" s="20">
        <f t="shared" si="1"/>
        <v>2.052</v>
      </c>
      <c r="H26" s="84">
        <f>F29</f>
        <v>11.34216</v>
      </c>
      <c r="J26" s="8" t="s">
        <v>674</v>
      </c>
      <c r="K26" s="8">
        <v>30</v>
      </c>
      <c r="L26" s="20">
        <f>(H36*20)+(H44*10)</f>
        <v>287.48519999999996</v>
      </c>
      <c r="M26" s="20">
        <f>L26/K26</f>
        <v>9.5828399999999991</v>
      </c>
      <c r="N26" s="8">
        <v>2</v>
      </c>
      <c r="O26" s="8">
        <v>2.11</v>
      </c>
      <c r="P26" s="20">
        <f t="shared" si="8"/>
        <v>4.7914199999999996</v>
      </c>
      <c r="Q26" s="20">
        <f t="shared" si="5"/>
        <v>110.51136</v>
      </c>
      <c r="R26" s="20">
        <f t="shared" si="7"/>
        <v>13.81392</v>
      </c>
    </row>
    <row r="27" spans="1:34">
      <c r="A27" s="34"/>
      <c r="B27" s="8" t="s">
        <v>244</v>
      </c>
      <c r="C27" s="95">
        <v>25</v>
      </c>
      <c r="D27" s="126">
        <v>94.09</v>
      </c>
      <c r="E27" s="127">
        <f t="shared" si="0"/>
        <v>101.6172</v>
      </c>
      <c r="F27" s="20">
        <f t="shared" si="1"/>
        <v>4.0646880000000003</v>
      </c>
      <c r="H27" s="139" t="s">
        <v>303</v>
      </c>
      <c r="J27" s="8" t="s">
        <v>675</v>
      </c>
      <c r="K27" s="8">
        <v>30</v>
      </c>
      <c r="L27" s="20">
        <f>(H38*20)+(H44*10)</f>
        <v>380.80800000000005</v>
      </c>
      <c r="M27" s="20">
        <f t="shared" ref="M27:M29" si="9">L27/K27</f>
        <v>12.693600000000002</v>
      </c>
      <c r="N27" s="8">
        <v>2</v>
      </c>
      <c r="O27" s="8">
        <v>2.11</v>
      </c>
      <c r="P27" s="19">
        <f t="shared" si="8"/>
        <v>6.3468000000000009</v>
      </c>
      <c r="Q27" s="20">
        <f t="shared" si="5"/>
        <v>122.95440000000002</v>
      </c>
      <c r="R27" s="19">
        <f t="shared" si="7"/>
        <v>15.369300000000003</v>
      </c>
    </row>
    <row r="28" spans="1:34">
      <c r="A28" s="34"/>
      <c r="B28" s="8" t="s">
        <v>245</v>
      </c>
      <c r="C28" s="95">
        <v>20</v>
      </c>
      <c r="D28" s="126">
        <v>157.97</v>
      </c>
      <c r="E28" s="127">
        <f t="shared" si="0"/>
        <v>170.60759999999999</v>
      </c>
      <c r="F28" s="20">
        <f t="shared" si="1"/>
        <v>8.5303799999999992</v>
      </c>
      <c r="H28" s="84">
        <f>MEDIAN(F31)</f>
        <v>6.3433799999999998</v>
      </c>
      <c r="J28" s="8" t="s">
        <v>676</v>
      </c>
      <c r="K28" s="8">
        <v>30</v>
      </c>
      <c r="L28" s="20">
        <f>(H40*20)+(H44*10)</f>
        <v>421.54559999999998</v>
      </c>
      <c r="M28" s="20">
        <f t="shared" si="9"/>
        <v>14.05152</v>
      </c>
      <c r="N28" s="8">
        <v>2</v>
      </c>
      <c r="O28" s="8">
        <v>2.11</v>
      </c>
      <c r="P28" s="19">
        <f t="shared" si="8"/>
        <v>7.02576</v>
      </c>
      <c r="Q28" s="20">
        <f t="shared" si="5"/>
        <v>128.38607999999999</v>
      </c>
      <c r="R28" s="19">
        <f t="shared" si="7"/>
        <v>16.048259999999999</v>
      </c>
    </row>
    <row r="29" spans="1:34">
      <c r="A29" s="34"/>
      <c r="B29" s="8" t="s">
        <v>246</v>
      </c>
      <c r="C29" s="95">
        <v>10</v>
      </c>
      <c r="D29" s="126">
        <v>105.02</v>
      </c>
      <c r="E29" s="127">
        <f t="shared" si="0"/>
        <v>113.4216</v>
      </c>
      <c r="F29" s="20">
        <f t="shared" si="1"/>
        <v>11.34216</v>
      </c>
      <c r="H29" s="139" t="s">
        <v>304</v>
      </c>
      <c r="J29" s="8" t="s">
        <v>683</v>
      </c>
      <c r="K29" s="8">
        <v>30</v>
      </c>
      <c r="L29" s="84">
        <f>(H42*20)+(H44*10)</f>
        <v>420.94079999999997</v>
      </c>
      <c r="M29" s="20">
        <f t="shared" si="9"/>
        <v>14.031359999999999</v>
      </c>
      <c r="N29" s="8">
        <v>2</v>
      </c>
      <c r="O29" s="8">
        <v>2.11</v>
      </c>
      <c r="P29" s="19">
        <f t="shared" si="8"/>
        <v>7.0156799999999997</v>
      </c>
      <c r="Q29" s="20">
        <f t="shared" si="5"/>
        <v>128.30544</v>
      </c>
      <c r="R29" s="19">
        <f t="shared" si="7"/>
        <v>16.038180000000001</v>
      </c>
    </row>
    <row r="30" spans="1:34">
      <c r="A30" s="34"/>
      <c r="B30" s="8" t="s">
        <v>273</v>
      </c>
      <c r="C30" s="95">
        <v>12.5</v>
      </c>
      <c r="D30" s="126">
        <v>122.24</v>
      </c>
      <c r="E30" s="127">
        <f t="shared" si="0"/>
        <v>132.01919999999998</v>
      </c>
      <c r="F30" s="20">
        <f t="shared" si="1"/>
        <v>10.561535999999998</v>
      </c>
      <c r="H30" s="84">
        <f>MEDIAN(F20,F23)</f>
        <v>8.8122600000000002</v>
      </c>
      <c r="J30" s="8" t="s">
        <v>663</v>
      </c>
      <c r="K30" s="8" t="s">
        <v>81</v>
      </c>
      <c r="L30" s="8" t="s">
        <v>81</v>
      </c>
      <c r="M30" s="20">
        <f>H46</f>
        <v>4.1234400000000004</v>
      </c>
      <c r="N30" s="8">
        <v>1</v>
      </c>
      <c r="O30" s="8">
        <v>2.11</v>
      </c>
      <c r="P30" s="20">
        <f t="shared" si="8"/>
        <v>1.0308600000000001</v>
      </c>
      <c r="Q30" s="20">
        <f t="shared" si="5"/>
        <v>80.426880000000011</v>
      </c>
      <c r="R30" s="20">
        <f t="shared" si="7"/>
        <v>10.053360000000001</v>
      </c>
    </row>
    <row r="31" spans="1:34">
      <c r="A31" s="34"/>
      <c r="B31" s="8" t="s">
        <v>247</v>
      </c>
      <c r="C31" s="95">
        <v>20</v>
      </c>
      <c r="D31" s="126">
        <v>117.47</v>
      </c>
      <c r="E31" s="127">
        <f t="shared" si="0"/>
        <v>126.8676</v>
      </c>
      <c r="F31" s="20">
        <f t="shared" si="1"/>
        <v>6.3433799999999998</v>
      </c>
      <c r="H31" s="139" t="s">
        <v>668</v>
      </c>
      <c r="J31" s="120" t="s">
        <v>647</v>
      </c>
    </row>
    <row r="32" spans="1:34">
      <c r="A32" s="34"/>
      <c r="B32" s="8" t="s">
        <v>248</v>
      </c>
      <c r="C32" s="95">
        <v>4</v>
      </c>
      <c r="D32" s="126">
        <v>47.49</v>
      </c>
      <c r="E32" s="127">
        <f t="shared" si="0"/>
        <v>51.289200000000001</v>
      </c>
      <c r="F32" s="20">
        <f t="shared" si="1"/>
        <v>12.8223</v>
      </c>
      <c r="H32" s="84">
        <f>MEDIAN(F25,F40)</f>
        <v>9.1702800000000018</v>
      </c>
      <c r="J32" t="s">
        <v>644</v>
      </c>
      <c r="P32" s="424" t="s">
        <v>308</v>
      </c>
      <c r="Q32" s="424"/>
      <c r="R32" s="424"/>
    </row>
    <row r="33" spans="1:18">
      <c r="A33" s="34"/>
      <c r="B33" s="8" t="s">
        <v>249</v>
      </c>
      <c r="C33" s="95">
        <v>5</v>
      </c>
      <c r="D33" s="126">
        <v>65.819999999999993</v>
      </c>
      <c r="E33" s="127">
        <f t="shared" si="0"/>
        <v>71.085599999999999</v>
      </c>
      <c r="F33" s="20">
        <f t="shared" si="1"/>
        <v>14.21712</v>
      </c>
      <c r="H33" s="139" t="s">
        <v>669</v>
      </c>
      <c r="J33" t="s">
        <v>645</v>
      </c>
      <c r="P33" s="96">
        <v>5.18</v>
      </c>
      <c r="Q33" s="5" t="s">
        <v>81</v>
      </c>
      <c r="R33" t="s">
        <v>309</v>
      </c>
    </row>
    <row r="34" spans="1:18">
      <c r="A34" s="34"/>
      <c r="B34" s="8" t="s">
        <v>250</v>
      </c>
      <c r="C34" s="95">
        <v>5</v>
      </c>
      <c r="D34" s="126">
        <v>65.819999999999993</v>
      </c>
      <c r="E34" s="127">
        <f t="shared" si="0"/>
        <v>71.085599999999999</v>
      </c>
      <c r="F34" s="20">
        <f t="shared" si="1"/>
        <v>14.21712</v>
      </c>
      <c r="H34" s="84">
        <f>F66</f>
        <v>5.8454999999999995</v>
      </c>
      <c r="J34" t="s">
        <v>646</v>
      </c>
      <c r="P34" s="7" t="s">
        <v>83</v>
      </c>
      <c r="Q34" s="5" t="s">
        <v>81</v>
      </c>
      <c r="R34" t="s">
        <v>310</v>
      </c>
    </row>
    <row r="35" spans="1:18">
      <c r="A35" s="34"/>
      <c r="B35" s="8" t="s">
        <v>251</v>
      </c>
      <c r="C35" s="95">
        <v>5</v>
      </c>
      <c r="D35" s="126">
        <v>59.72</v>
      </c>
      <c r="E35" s="127">
        <f t="shared" si="0"/>
        <v>64.497600000000006</v>
      </c>
      <c r="F35" s="20">
        <f t="shared" si="1"/>
        <v>12.899520000000001</v>
      </c>
      <c r="H35" s="139" t="s">
        <v>671</v>
      </c>
      <c r="P35" t="s">
        <v>311</v>
      </c>
    </row>
    <row r="36" spans="1:18">
      <c r="A36" s="34"/>
      <c r="B36" s="8" t="s">
        <v>252</v>
      </c>
      <c r="C36" s="95">
        <v>1</v>
      </c>
      <c r="D36" s="126">
        <v>12.63</v>
      </c>
      <c r="E36" s="127">
        <f t="shared" si="0"/>
        <v>13.640400000000001</v>
      </c>
      <c r="F36" s="20">
        <f t="shared" si="1"/>
        <v>13.640400000000001</v>
      </c>
      <c r="H36" s="84">
        <f>MEDIAN(F37,F52,F53,F55,F56,F63)</f>
        <v>8.9742599999999992</v>
      </c>
      <c r="J36" s="139" t="s">
        <v>648</v>
      </c>
      <c r="K36" s="139" t="s">
        <v>667</v>
      </c>
      <c r="L36" s="139" t="s">
        <v>685</v>
      </c>
      <c r="M36" s="139" t="s">
        <v>684</v>
      </c>
      <c r="N36" s="139" t="s">
        <v>686</v>
      </c>
    </row>
    <row r="37" spans="1:18">
      <c r="A37" s="34"/>
      <c r="B37" s="8" t="s">
        <v>253</v>
      </c>
      <c r="C37" s="95">
        <v>20</v>
      </c>
      <c r="D37" s="126">
        <v>157.97</v>
      </c>
      <c r="E37" s="127">
        <f t="shared" si="0"/>
        <v>170.60759999999999</v>
      </c>
      <c r="F37" s="20">
        <f t="shared" si="1"/>
        <v>8.5303799999999992</v>
      </c>
      <c r="H37" s="139" t="s">
        <v>672</v>
      </c>
      <c r="J37" s="8" t="s">
        <v>651</v>
      </c>
      <c r="K37" s="25">
        <f>($R$18*2)+R19</f>
        <v>32.410746000000003</v>
      </c>
      <c r="L37" s="26">
        <v>80</v>
      </c>
      <c r="M37" s="121">
        <f t="shared" ref="M37:M46" si="10">((L37-K37)/L37)</f>
        <v>0.59486567499999998</v>
      </c>
      <c r="N37" s="20">
        <f t="shared" ref="N37:N46" si="11">L37-K37</f>
        <v>47.589253999999997</v>
      </c>
    </row>
    <row r="38" spans="1:18">
      <c r="A38" s="34"/>
      <c r="B38" s="8" t="s">
        <v>254</v>
      </c>
      <c r="C38" s="95">
        <v>25</v>
      </c>
      <c r="D38" s="126">
        <v>94.09</v>
      </c>
      <c r="E38" s="127">
        <f t="shared" si="0"/>
        <v>101.6172</v>
      </c>
      <c r="F38" s="20">
        <f t="shared" si="1"/>
        <v>4.0646880000000003</v>
      </c>
      <c r="H38" s="84">
        <f>MEDIAN(F18,F22,F28,F33,F34,F35,F36,F39,F70,F71,F72)</f>
        <v>13.640400000000001</v>
      </c>
      <c r="J38" s="8" t="s">
        <v>659</v>
      </c>
      <c r="K38" s="25">
        <f>($R$18*2)+R20</f>
        <v>32.429808000000001</v>
      </c>
      <c r="L38" s="26">
        <v>85</v>
      </c>
      <c r="M38" s="121">
        <f t="shared" si="10"/>
        <v>0.61847284705882355</v>
      </c>
      <c r="N38" s="20">
        <f t="shared" si="11"/>
        <v>52.570191999999999</v>
      </c>
    </row>
    <row r="39" spans="1:18">
      <c r="A39" s="34"/>
      <c r="B39" s="8" t="s">
        <v>255</v>
      </c>
      <c r="C39" s="95">
        <v>3</v>
      </c>
      <c r="D39" s="126">
        <v>37.01</v>
      </c>
      <c r="E39" s="127">
        <f t="shared" si="0"/>
        <v>39.970799999999997</v>
      </c>
      <c r="F39" s="20">
        <f t="shared" si="1"/>
        <v>13.323599999999999</v>
      </c>
      <c r="H39" s="139" t="s">
        <v>673</v>
      </c>
      <c r="J39" s="8" t="s">
        <v>660</v>
      </c>
      <c r="K39" s="25">
        <f>($R$18*3)+(R21*2)</f>
        <v>54.579735000000007</v>
      </c>
      <c r="L39" s="26">
        <v>110</v>
      </c>
      <c r="M39" s="121">
        <f t="shared" si="10"/>
        <v>0.50382059090909082</v>
      </c>
      <c r="N39" s="20">
        <f t="shared" si="11"/>
        <v>55.420264999999993</v>
      </c>
    </row>
    <row r="40" spans="1:18">
      <c r="A40" s="34"/>
      <c r="B40" s="8" t="s">
        <v>670</v>
      </c>
      <c r="C40" s="95">
        <v>20</v>
      </c>
      <c r="D40" s="126">
        <v>83.8</v>
      </c>
      <c r="E40" s="127">
        <f t="shared" si="0"/>
        <v>90.503999999999991</v>
      </c>
      <c r="F40" s="20">
        <f t="shared" si="1"/>
        <v>4.5251999999999999</v>
      </c>
      <c r="H40" s="84">
        <f>MEDIAN(F42,F54,F57,F59,F69,)</f>
        <v>15.67728</v>
      </c>
      <c r="J40" s="8" t="s">
        <v>661</v>
      </c>
      <c r="K40" s="25">
        <f>R23*2</f>
        <v>22.444679454545458</v>
      </c>
      <c r="L40" s="26">
        <v>85</v>
      </c>
      <c r="M40" s="121">
        <f t="shared" si="10"/>
        <v>0.73594494759358287</v>
      </c>
      <c r="N40" s="20">
        <f t="shared" si="11"/>
        <v>62.555320545454542</v>
      </c>
    </row>
    <row r="41" spans="1:18">
      <c r="A41" s="34"/>
      <c r="B41" s="8" t="s">
        <v>256</v>
      </c>
      <c r="C41" s="95">
        <v>10</v>
      </c>
      <c r="D41" s="126">
        <v>45.19</v>
      </c>
      <c r="E41" s="127">
        <f t="shared" si="0"/>
        <v>48.805199999999999</v>
      </c>
      <c r="F41" s="20">
        <f t="shared" si="1"/>
        <v>4.8805199999999997</v>
      </c>
      <c r="H41" s="139" t="s">
        <v>682</v>
      </c>
      <c r="J41" s="8" t="s">
        <v>664</v>
      </c>
      <c r="K41" s="25">
        <f>R30+R22+R23</f>
        <v>31.98100172727273</v>
      </c>
      <c r="L41" s="26">
        <v>85</v>
      </c>
      <c r="M41" s="121">
        <f t="shared" si="10"/>
        <v>0.62375292085561496</v>
      </c>
      <c r="N41" s="20">
        <f t="shared" si="11"/>
        <v>53.018998272727274</v>
      </c>
    </row>
    <row r="42" spans="1:18">
      <c r="A42" s="34"/>
      <c r="B42" s="8" t="s">
        <v>257</v>
      </c>
      <c r="C42" s="95">
        <v>25</v>
      </c>
      <c r="D42" s="126">
        <v>228.06</v>
      </c>
      <c r="E42" s="127">
        <f t="shared" si="0"/>
        <v>246.3048</v>
      </c>
      <c r="F42" s="20">
        <f t="shared" si="1"/>
        <v>9.8521920000000005</v>
      </c>
      <c r="H42" s="84">
        <f>F57</f>
        <v>15.647039999999999</v>
      </c>
      <c r="J42" s="8" t="s">
        <v>665</v>
      </c>
      <c r="K42" s="25">
        <f>R30+(2*R18)+MEDIAN(R19,R20,R21)</f>
        <v>42.483168000000006</v>
      </c>
      <c r="L42" s="26">
        <v>95</v>
      </c>
      <c r="M42" s="121">
        <f t="shared" si="10"/>
        <v>0.55280875789473682</v>
      </c>
      <c r="N42" s="20">
        <f t="shared" si="11"/>
        <v>52.516831999999994</v>
      </c>
    </row>
    <row r="43" spans="1:18">
      <c r="A43" s="34"/>
      <c r="B43" s="8" t="s">
        <v>258</v>
      </c>
      <c r="C43" s="95">
        <v>10</v>
      </c>
      <c r="D43" s="126">
        <v>47.8</v>
      </c>
      <c r="E43" s="127">
        <f t="shared" si="0"/>
        <v>51.623999999999995</v>
      </c>
      <c r="F43" s="20">
        <f t="shared" si="1"/>
        <v>5.1623999999999999</v>
      </c>
      <c r="H43" s="139" t="s">
        <v>307</v>
      </c>
      <c r="J43" s="8" t="s">
        <v>666</v>
      </c>
      <c r="K43" s="25">
        <f>R24+R26</f>
        <v>27.693180000000002</v>
      </c>
      <c r="L43" s="26">
        <v>100</v>
      </c>
      <c r="M43" s="121">
        <f t="shared" si="10"/>
        <v>0.72306820000000005</v>
      </c>
      <c r="N43" s="20">
        <f t="shared" si="11"/>
        <v>72.306820000000002</v>
      </c>
    </row>
    <row r="44" spans="1:18">
      <c r="A44" s="34"/>
      <c r="B44" s="8" t="s">
        <v>259</v>
      </c>
      <c r="C44" s="95">
        <v>25</v>
      </c>
      <c r="D44" s="126">
        <v>85.63</v>
      </c>
      <c r="E44" s="127">
        <f t="shared" si="0"/>
        <v>92.480399999999989</v>
      </c>
      <c r="F44" s="20">
        <f t="shared" si="1"/>
        <v>3.6992159999999994</v>
      </c>
      <c r="H44" s="84">
        <f>MEDIAN(F24,F41,F62,F68,F61)</f>
        <v>10.8</v>
      </c>
      <c r="J44" s="8" t="s">
        <v>679</v>
      </c>
      <c r="K44" s="25">
        <f>R24+R27</f>
        <v>29.248560000000005</v>
      </c>
      <c r="L44" s="26">
        <v>110</v>
      </c>
      <c r="M44" s="121">
        <f t="shared" si="10"/>
        <v>0.73410399999999998</v>
      </c>
      <c r="N44" s="20">
        <f t="shared" si="11"/>
        <v>80.751440000000002</v>
      </c>
    </row>
    <row r="45" spans="1:18">
      <c r="A45" s="34"/>
      <c r="B45" s="8" t="s">
        <v>260</v>
      </c>
      <c r="C45" s="95">
        <v>12.5</v>
      </c>
      <c r="D45" s="126">
        <v>56.33</v>
      </c>
      <c r="E45" s="127">
        <f t="shared" si="0"/>
        <v>60.836399999999998</v>
      </c>
      <c r="F45" s="20">
        <f t="shared" si="1"/>
        <v>4.8669120000000001</v>
      </c>
      <c r="H45" s="139" t="s">
        <v>662</v>
      </c>
      <c r="J45" s="8" t="s">
        <v>680</v>
      </c>
      <c r="K45" s="25">
        <f>R25+R28</f>
        <v>28.81926</v>
      </c>
      <c r="L45" s="26">
        <v>120</v>
      </c>
      <c r="M45" s="121">
        <f t="shared" si="10"/>
        <v>0.7598395</v>
      </c>
      <c r="N45" s="20">
        <f t="shared" si="11"/>
        <v>91.18074</v>
      </c>
    </row>
    <row r="46" spans="1:18">
      <c r="A46" s="34"/>
      <c r="B46" s="8" t="s">
        <v>261</v>
      </c>
      <c r="C46" s="95">
        <v>25</v>
      </c>
      <c r="D46" s="126">
        <v>97.91</v>
      </c>
      <c r="E46" s="127">
        <f t="shared" si="0"/>
        <v>105.7428</v>
      </c>
      <c r="F46" s="20">
        <f t="shared" si="1"/>
        <v>4.2297120000000001</v>
      </c>
      <c r="H46" s="84">
        <f>MEDIAN(F27,F38,F43,F48,F73)</f>
        <v>4.1234400000000004</v>
      </c>
      <c r="J46" s="8" t="s">
        <v>681</v>
      </c>
      <c r="K46" s="25">
        <f>MEDIAN(R24,R25)+(R29*2)</f>
        <v>45.401490000000003</v>
      </c>
      <c r="L46" s="26">
        <v>150</v>
      </c>
      <c r="M46" s="121">
        <f t="shared" si="10"/>
        <v>0.69732340000000004</v>
      </c>
      <c r="N46" s="20">
        <f t="shared" si="11"/>
        <v>104.59851</v>
      </c>
    </row>
    <row r="47" spans="1:18">
      <c r="A47" s="34"/>
      <c r="B47" s="8" t="s">
        <v>262</v>
      </c>
      <c r="C47" s="95">
        <v>12.5</v>
      </c>
      <c r="D47" s="126">
        <v>57.32</v>
      </c>
      <c r="E47" s="127">
        <f t="shared" si="0"/>
        <v>61.9056</v>
      </c>
      <c r="F47" s="20">
        <f t="shared" si="1"/>
        <v>4.9524480000000004</v>
      </c>
    </row>
    <row r="48" spans="1:18">
      <c r="A48" s="34"/>
      <c r="B48" s="8" t="s">
        <v>263</v>
      </c>
      <c r="C48" s="95">
        <v>10</v>
      </c>
      <c r="D48" s="126">
        <v>47.04</v>
      </c>
      <c r="E48" s="127">
        <f t="shared" si="0"/>
        <v>50.803199999999997</v>
      </c>
      <c r="F48" s="20">
        <f t="shared" si="1"/>
        <v>5.0803199999999995</v>
      </c>
    </row>
    <row r="49" spans="1:11">
      <c r="A49" s="34"/>
      <c r="B49" s="8" t="s">
        <v>264</v>
      </c>
      <c r="C49" s="95">
        <v>1</v>
      </c>
      <c r="D49" s="126">
        <v>17.8</v>
      </c>
      <c r="E49" s="127">
        <f t="shared" si="0"/>
        <v>19.224</v>
      </c>
      <c r="F49" s="20">
        <f t="shared" si="1"/>
        <v>19.224</v>
      </c>
      <c r="J49" s="139" t="s">
        <v>648</v>
      </c>
      <c r="K49" s="139" t="s">
        <v>687</v>
      </c>
    </row>
    <row r="50" spans="1:11">
      <c r="A50" s="34"/>
      <c r="B50" s="8" t="s">
        <v>265</v>
      </c>
      <c r="C50" s="95">
        <v>1</v>
      </c>
      <c r="D50" s="126">
        <v>9.64</v>
      </c>
      <c r="E50" s="127">
        <f t="shared" si="0"/>
        <v>10.411200000000001</v>
      </c>
      <c r="F50" s="20">
        <f t="shared" si="1"/>
        <v>10.411200000000001</v>
      </c>
      <c r="J50" s="8" t="s">
        <v>651</v>
      </c>
      <c r="K50" s="26">
        <f t="shared" ref="K50:K59" si="12">L37</f>
        <v>80</v>
      </c>
    </row>
    <row r="51" spans="1:11">
      <c r="A51" s="34"/>
      <c r="B51" s="8" t="s">
        <v>266</v>
      </c>
      <c r="C51" s="95">
        <v>25</v>
      </c>
      <c r="D51" s="126">
        <v>101.63</v>
      </c>
      <c r="E51" s="127">
        <f t="shared" si="0"/>
        <v>109.76039999999999</v>
      </c>
      <c r="F51" s="20">
        <f t="shared" si="1"/>
        <v>4.3904159999999992</v>
      </c>
      <c r="J51" s="8" t="s">
        <v>659</v>
      </c>
      <c r="K51" s="26">
        <f t="shared" si="12"/>
        <v>85</v>
      </c>
    </row>
    <row r="52" spans="1:11">
      <c r="A52" s="34"/>
      <c r="B52" s="8" t="s">
        <v>267</v>
      </c>
      <c r="C52" s="95">
        <v>20</v>
      </c>
      <c r="D52" s="126">
        <v>149.1</v>
      </c>
      <c r="E52" s="127">
        <f t="shared" si="0"/>
        <v>161.02799999999999</v>
      </c>
      <c r="F52" s="20">
        <f t="shared" si="1"/>
        <v>8.0513999999999992</v>
      </c>
      <c r="J52" s="8" t="s">
        <v>660</v>
      </c>
      <c r="K52" s="26">
        <f t="shared" si="12"/>
        <v>110</v>
      </c>
    </row>
    <row r="53" spans="1:11">
      <c r="A53" s="34"/>
      <c r="B53" s="8" t="s">
        <v>268</v>
      </c>
      <c r="C53" s="95">
        <v>3</v>
      </c>
      <c r="D53" s="126">
        <v>38.64</v>
      </c>
      <c r="E53" s="127">
        <f t="shared" si="0"/>
        <v>41.731200000000001</v>
      </c>
      <c r="F53" s="20">
        <f t="shared" si="1"/>
        <v>13.910400000000001</v>
      </c>
      <c r="J53" s="8" t="s">
        <v>661</v>
      </c>
      <c r="K53" s="26">
        <f t="shared" si="12"/>
        <v>85</v>
      </c>
    </row>
    <row r="54" spans="1:11">
      <c r="A54" s="34"/>
      <c r="B54" s="8" t="s">
        <v>269</v>
      </c>
      <c r="C54" s="95">
        <v>5</v>
      </c>
      <c r="D54" s="126">
        <v>72.72</v>
      </c>
      <c r="E54" s="127">
        <f t="shared" si="0"/>
        <v>78.537599999999998</v>
      </c>
      <c r="F54" s="20">
        <f t="shared" si="1"/>
        <v>15.707519999999999</v>
      </c>
      <c r="J54" s="8" t="s">
        <v>664</v>
      </c>
      <c r="K54" s="26">
        <f t="shared" si="12"/>
        <v>85</v>
      </c>
    </row>
    <row r="55" spans="1:11">
      <c r="A55" s="34"/>
      <c r="B55" s="8" t="s">
        <v>270</v>
      </c>
      <c r="C55" s="95">
        <v>10</v>
      </c>
      <c r="D55" s="126">
        <v>119.43</v>
      </c>
      <c r="E55" s="127">
        <f t="shared" si="0"/>
        <v>128.98439999999999</v>
      </c>
      <c r="F55" s="20">
        <f t="shared" si="1"/>
        <v>12.898439999999999</v>
      </c>
      <c r="J55" s="8" t="s">
        <v>665</v>
      </c>
      <c r="K55" s="26">
        <f t="shared" si="12"/>
        <v>95</v>
      </c>
    </row>
    <row r="56" spans="1:11">
      <c r="A56" s="34"/>
      <c r="B56" s="8" t="s">
        <v>271</v>
      </c>
      <c r="C56" s="95">
        <v>20</v>
      </c>
      <c r="D56" s="126">
        <v>174.41</v>
      </c>
      <c r="E56" s="127">
        <f t="shared" si="0"/>
        <v>188.36279999999999</v>
      </c>
      <c r="F56" s="20">
        <f t="shared" si="1"/>
        <v>9.4181399999999993</v>
      </c>
      <c r="J56" s="8" t="s">
        <v>666</v>
      </c>
      <c r="K56" s="26">
        <f t="shared" si="12"/>
        <v>100</v>
      </c>
    </row>
    <row r="57" spans="1:11">
      <c r="A57" s="34"/>
      <c r="B57" s="8" t="s">
        <v>272</v>
      </c>
      <c r="C57" s="95">
        <v>5</v>
      </c>
      <c r="D57" s="126">
        <v>72.44</v>
      </c>
      <c r="E57" s="127">
        <f t="shared" si="0"/>
        <v>78.235199999999992</v>
      </c>
      <c r="F57" s="20">
        <f t="shared" si="1"/>
        <v>15.647039999999999</v>
      </c>
      <c r="J57" s="8" t="s">
        <v>679</v>
      </c>
      <c r="K57" s="26">
        <f t="shared" si="12"/>
        <v>110</v>
      </c>
    </row>
    <row r="58" spans="1:11">
      <c r="A58" s="34"/>
      <c r="B58" s="8" t="s">
        <v>274</v>
      </c>
      <c r="C58" s="95">
        <v>2.5</v>
      </c>
      <c r="D58" s="126">
        <v>35.36</v>
      </c>
      <c r="E58" s="127">
        <f t="shared" si="0"/>
        <v>38.188800000000001</v>
      </c>
      <c r="F58" s="20">
        <f t="shared" si="1"/>
        <v>15.27552</v>
      </c>
      <c r="J58" s="8" t="s">
        <v>680</v>
      </c>
      <c r="K58" s="26">
        <f t="shared" si="12"/>
        <v>120</v>
      </c>
    </row>
    <row r="59" spans="1:11">
      <c r="A59" s="34"/>
      <c r="B59" s="8" t="s">
        <v>275</v>
      </c>
      <c r="C59" s="95">
        <v>5</v>
      </c>
      <c r="D59" s="126">
        <v>78.53</v>
      </c>
      <c r="E59" s="127">
        <f t="shared" si="0"/>
        <v>84.812399999999997</v>
      </c>
      <c r="F59" s="20">
        <f t="shared" si="1"/>
        <v>16.962479999999999</v>
      </c>
      <c r="J59" s="8" t="s">
        <v>681</v>
      </c>
      <c r="K59" s="26">
        <f t="shared" si="12"/>
        <v>150</v>
      </c>
    </row>
    <row r="60" spans="1:11">
      <c r="A60" s="34"/>
      <c r="B60" s="8" t="s">
        <v>276</v>
      </c>
      <c r="C60" s="95">
        <v>20</v>
      </c>
      <c r="D60" s="126">
        <v>100</v>
      </c>
      <c r="E60" s="127">
        <f t="shared" si="0"/>
        <v>108</v>
      </c>
      <c r="F60" s="20">
        <f t="shared" si="1"/>
        <v>5.4</v>
      </c>
      <c r="J60" s="8" t="s">
        <v>1300</v>
      </c>
      <c r="K60" s="122">
        <v>0</v>
      </c>
    </row>
    <row r="61" spans="1:11">
      <c r="A61" s="34"/>
      <c r="B61" s="8" t="s">
        <v>277</v>
      </c>
      <c r="C61" s="95">
        <v>1</v>
      </c>
      <c r="D61" s="126">
        <v>10</v>
      </c>
      <c r="E61" s="127">
        <f t="shared" si="0"/>
        <v>10.8</v>
      </c>
      <c r="F61" s="20">
        <f t="shared" si="1"/>
        <v>10.8</v>
      </c>
    </row>
    <row r="62" spans="1:11">
      <c r="A62" s="34"/>
      <c r="B62" s="8" t="s">
        <v>278</v>
      </c>
      <c r="C62" s="95">
        <v>1</v>
      </c>
      <c r="D62" s="126">
        <v>10</v>
      </c>
      <c r="E62" s="127">
        <f t="shared" si="0"/>
        <v>10.8</v>
      </c>
      <c r="F62" s="20">
        <f t="shared" si="1"/>
        <v>10.8</v>
      </c>
    </row>
    <row r="63" spans="1:11">
      <c r="A63" s="34"/>
      <c r="B63" s="8" t="s">
        <v>279</v>
      </c>
      <c r="C63" s="95">
        <v>20</v>
      </c>
      <c r="D63" s="126">
        <v>157.97</v>
      </c>
      <c r="E63" s="127">
        <f t="shared" si="0"/>
        <v>170.60759999999999</v>
      </c>
      <c r="F63" s="20">
        <f t="shared" si="1"/>
        <v>8.5303799999999992</v>
      </c>
    </row>
    <row r="64" spans="1:11">
      <c r="A64" s="34"/>
      <c r="B64" s="8" t="s">
        <v>280</v>
      </c>
      <c r="C64" s="95">
        <v>25</v>
      </c>
      <c r="D64" s="126">
        <v>73.53</v>
      </c>
      <c r="E64" s="127">
        <f t="shared" si="0"/>
        <v>79.412400000000005</v>
      </c>
      <c r="F64" s="20">
        <f t="shared" si="1"/>
        <v>3.1764960000000002</v>
      </c>
    </row>
    <row r="65" spans="1:6">
      <c r="A65" s="34"/>
      <c r="B65" s="8" t="s">
        <v>287</v>
      </c>
      <c r="C65" s="95">
        <v>12.5</v>
      </c>
      <c r="D65" s="126">
        <v>60.23</v>
      </c>
      <c r="E65" s="127">
        <f t="shared" si="0"/>
        <v>65.048400000000001</v>
      </c>
      <c r="F65" s="20">
        <f t="shared" si="1"/>
        <v>5.2038720000000005</v>
      </c>
    </row>
    <row r="66" spans="1:6">
      <c r="A66" s="34"/>
      <c r="B66" s="8" t="s">
        <v>288</v>
      </c>
      <c r="C66" s="95">
        <v>20</v>
      </c>
      <c r="D66" s="126">
        <v>108.25</v>
      </c>
      <c r="E66" s="127">
        <f t="shared" si="0"/>
        <v>116.91</v>
      </c>
      <c r="F66" s="20">
        <f t="shared" si="1"/>
        <v>5.8454999999999995</v>
      </c>
    </row>
    <row r="67" spans="1:6">
      <c r="A67" s="34"/>
      <c r="B67" s="8" t="s">
        <v>295</v>
      </c>
      <c r="C67" s="95">
        <v>5</v>
      </c>
      <c r="D67" s="126">
        <v>83.32</v>
      </c>
      <c r="E67" s="127">
        <f t="shared" si="0"/>
        <v>89.985599999999991</v>
      </c>
      <c r="F67" s="20">
        <f t="shared" si="1"/>
        <v>17.997119999999999</v>
      </c>
    </row>
    <row r="68" spans="1:6">
      <c r="A68" s="34"/>
      <c r="B68" s="8" t="s">
        <v>289</v>
      </c>
      <c r="C68" s="95">
        <v>0.5</v>
      </c>
      <c r="D68" s="126">
        <v>19.600000000000001</v>
      </c>
      <c r="E68" s="127">
        <f t="shared" si="0"/>
        <v>21.168000000000003</v>
      </c>
      <c r="F68" s="20">
        <f t="shared" si="1"/>
        <v>42.336000000000006</v>
      </c>
    </row>
    <row r="69" spans="1:6">
      <c r="A69" s="34"/>
      <c r="B69" s="8" t="s">
        <v>290</v>
      </c>
      <c r="C69" s="95">
        <v>5</v>
      </c>
      <c r="D69" s="126">
        <v>117.47</v>
      </c>
      <c r="E69" s="127">
        <f t="shared" si="0"/>
        <v>126.8676</v>
      </c>
      <c r="F69" s="20">
        <f t="shared" si="1"/>
        <v>25.373519999999999</v>
      </c>
    </row>
    <row r="70" spans="1:6">
      <c r="A70" s="34"/>
      <c r="B70" s="8" t="s">
        <v>291</v>
      </c>
      <c r="C70" s="95">
        <v>3</v>
      </c>
      <c r="D70" s="126">
        <v>65.16</v>
      </c>
      <c r="E70" s="127">
        <f t="shared" si="0"/>
        <v>70.372799999999998</v>
      </c>
      <c r="F70" s="20">
        <f t="shared" si="1"/>
        <v>23.457599999999999</v>
      </c>
    </row>
    <row r="71" spans="1:6">
      <c r="A71" s="34"/>
      <c r="B71" s="8" t="s">
        <v>292</v>
      </c>
      <c r="C71" s="95">
        <v>5</v>
      </c>
      <c r="D71" s="126">
        <v>59.72</v>
      </c>
      <c r="E71" s="127">
        <f t="shared" si="0"/>
        <v>64.497600000000006</v>
      </c>
      <c r="F71" s="20">
        <f t="shared" si="1"/>
        <v>12.899520000000001</v>
      </c>
    </row>
    <row r="72" spans="1:6">
      <c r="A72" s="34"/>
      <c r="B72" s="8" t="s">
        <v>293</v>
      </c>
      <c r="C72" s="95">
        <v>5</v>
      </c>
      <c r="D72" s="126">
        <v>65</v>
      </c>
      <c r="E72" s="127">
        <f t="shared" si="0"/>
        <v>70.2</v>
      </c>
      <c r="F72" s="20">
        <f t="shared" si="1"/>
        <v>14.040000000000001</v>
      </c>
    </row>
    <row r="73" spans="1:6">
      <c r="A73" s="34"/>
      <c r="B73" s="8" t="s">
        <v>294</v>
      </c>
      <c r="C73" s="95">
        <v>5</v>
      </c>
      <c r="D73" s="126">
        <v>19.09</v>
      </c>
      <c r="E73" s="127">
        <f t="shared" si="0"/>
        <v>20.6172</v>
      </c>
      <c r="F73" s="20">
        <f t="shared" si="1"/>
        <v>4.1234400000000004</v>
      </c>
    </row>
  </sheetData>
  <mergeCells count="3">
    <mergeCell ref="U16:AB16"/>
    <mergeCell ref="AD16:AH16"/>
    <mergeCell ref="P32:R32"/>
  </mergeCells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DC02E-1A36-4FD6-82E2-2B20FF8769D0}">
  <sheetPr codeName="Folha10"/>
  <dimension ref="A1:C12"/>
  <sheetViews>
    <sheetView showGridLines="0" workbookViewId="0">
      <selection activeCell="B2" sqref="B2"/>
    </sheetView>
  </sheetViews>
  <sheetFormatPr defaultRowHeight="15"/>
  <cols>
    <col min="1" max="1" width="15.85546875" customWidth="1"/>
    <col min="2" max="2" width="21.7109375" customWidth="1"/>
    <col min="3" max="3" width="18.42578125" customWidth="1"/>
  </cols>
  <sheetData>
    <row r="1" spans="1:3">
      <c r="A1" s="4" t="s">
        <v>9</v>
      </c>
      <c r="B1" s="4" t="s">
        <v>10</v>
      </c>
      <c r="C1" s="4" t="s">
        <v>48</v>
      </c>
    </row>
    <row r="2" spans="1:3">
      <c r="A2" s="1" t="s">
        <v>11</v>
      </c>
      <c r="B2" s="21">
        <v>75</v>
      </c>
      <c r="C2" s="18"/>
    </row>
    <row r="3" spans="1:3">
      <c r="A3" s="1" t="s">
        <v>12</v>
      </c>
      <c r="B3" s="21">
        <v>140</v>
      </c>
      <c r="C3" s="18"/>
    </row>
    <row r="4" spans="1:3">
      <c r="A4" s="1" t="s">
        <v>63</v>
      </c>
      <c r="B4" s="21">
        <v>100</v>
      </c>
      <c r="C4" s="18"/>
    </row>
    <row r="5" spans="1:3">
      <c r="A5" s="1" t="s">
        <v>13</v>
      </c>
      <c r="B5" s="3">
        <v>45</v>
      </c>
      <c r="C5" s="18"/>
    </row>
    <row r="6" spans="1:3">
      <c r="A6" s="1" t="s">
        <v>14</v>
      </c>
      <c r="B6" s="21">
        <v>40</v>
      </c>
      <c r="C6" s="18"/>
    </row>
    <row r="7" spans="1:3">
      <c r="A7" s="1" t="s">
        <v>15</v>
      </c>
      <c r="B7" s="21">
        <v>30</v>
      </c>
      <c r="C7" s="18"/>
    </row>
    <row r="8" spans="1:3">
      <c r="A8" s="1" t="s">
        <v>64</v>
      </c>
      <c r="B8" s="21">
        <v>35</v>
      </c>
    </row>
    <row r="12" spans="1:3">
      <c r="A12" t="s">
        <v>107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DC93-198F-43C1-B6A9-95AA4FC90350}">
  <sheetPr codeName="Folha8">
    <tabColor theme="0" tint="-0.249977111117893"/>
  </sheetPr>
  <dimension ref="A2:AA497"/>
  <sheetViews>
    <sheetView showGridLines="0" topLeftCell="A175" zoomScale="70" zoomScaleNormal="70" workbookViewId="0">
      <selection activeCell="B202" sqref="B202"/>
    </sheetView>
  </sheetViews>
  <sheetFormatPr defaultRowHeight="15"/>
  <cols>
    <col min="1" max="1" width="69.85546875" customWidth="1"/>
    <col min="2" max="2" width="20.7109375" customWidth="1"/>
    <col min="3" max="3" width="18.28515625" customWidth="1"/>
  </cols>
  <sheetData>
    <row r="2" spans="1:27" ht="21.75" customHeight="1">
      <c r="A2" s="486" t="s">
        <v>1415</v>
      </c>
      <c r="B2" s="486"/>
      <c r="C2" s="486"/>
      <c r="D2" s="486"/>
      <c r="E2" s="486"/>
      <c r="F2" s="486"/>
      <c r="G2" s="486"/>
      <c r="H2" s="486"/>
      <c r="I2" s="486"/>
      <c r="J2" s="486"/>
      <c r="K2" s="486"/>
      <c r="L2" s="486"/>
      <c r="M2" s="486"/>
      <c r="N2" s="486"/>
      <c r="O2" s="486"/>
      <c r="P2" s="486"/>
      <c r="Q2" s="486"/>
      <c r="R2" s="486"/>
      <c r="S2" s="486"/>
      <c r="T2" s="486"/>
      <c r="U2" s="486"/>
      <c r="V2" s="486"/>
      <c r="W2" s="486"/>
      <c r="X2" s="285"/>
      <c r="Y2" s="285"/>
      <c r="Z2" s="285"/>
      <c r="AA2" s="285"/>
    </row>
    <row r="4" spans="1:27" ht="19.5" thickBot="1">
      <c r="A4" s="129" t="s">
        <v>703</v>
      </c>
      <c r="B4" s="129" t="s">
        <v>28</v>
      </c>
      <c r="C4" s="129" t="s">
        <v>188</v>
      </c>
      <c r="E4" s="286" t="s">
        <v>1416</v>
      </c>
      <c r="F4" t="s">
        <v>1522</v>
      </c>
    </row>
    <row r="5" spans="1:27">
      <c r="A5" t="s">
        <v>721</v>
      </c>
      <c r="B5" s="405">
        <v>8.49</v>
      </c>
      <c r="C5" t="s">
        <v>189</v>
      </c>
      <c r="E5" s="283" t="s">
        <v>1527</v>
      </c>
      <c r="F5" s="284"/>
      <c r="G5" s="2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52"/>
    </row>
    <row r="6" spans="1:27">
      <c r="A6" t="s">
        <v>695</v>
      </c>
      <c r="B6" s="405">
        <v>7.8E-2</v>
      </c>
      <c r="C6" t="s">
        <v>189</v>
      </c>
      <c r="E6" s="49"/>
      <c r="AA6" s="53"/>
    </row>
    <row r="7" spans="1:27">
      <c r="A7" t="s">
        <v>696</v>
      </c>
      <c r="B7" s="405">
        <v>0.08</v>
      </c>
      <c r="C7" t="s">
        <v>189</v>
      </c>
      <c r="E7" s="49"/>
      <c r="AA7" s="53"/>
    </row>
    <row r="8" spans="1:27">
      <c r="A8" t="s">
        <v>697</v>
      </c>
      <c r="B8" s="405">
        <v>9.4700000000000006</v>
      </c>
      <c r="C8" t="s">
        <v>189</v>
      </c>
      <c r="E8" s="49"/>
      <c r="AA8" s="53"/>
    </row>
    <row r="9" spans="1:27">
      <c r="A9" t="s">
        <v>698</v>
      </c>
      <c r="B9" s="405">
        <v>9.4700000000000006</v>
      </c>
      <c r="C9" t="s">
        <v>189</v>
      </c>
      <c r="E9" s="49"/>
      <c r="AA9" s="53"/>
    </row>
    <row r="10" spans="1:27">
      <c r="A10" t="s">
        <v>699</v>
      </c>
      <c r="B10" s="405">
        <v>0.39</v>
      </c>
      <c r="C10" t="s">
        <v>189</v>
      </c>
      <c r="E10" s="49"/>
      <c r="AA10" s="53"/>
    </row>
    <row r="11" spans="1:27">
      <c r="A11" t="s">
        <v>700</v>
      </c>
      <c r="B11" s="405">
        <v>42.46</v>
      </c>
      <c r="C11" t="s">
        <v>189</v>
      </c>
      <c r="E11" s="49"/>
      <c r="AA11" s="53"/>
    </row>
    <row r="12" spans="1:27">
      <c r="A12" t="s">
        <v>701</v>
      </c>
      <c r="B12" s="405">
        <v>5.59</v>
      </c>
      <c r="C12" t="s">
        <v>189</v>
      </c>
      <c r="E12" s="49"/>
      <c r="AA12" s="53"/>
    </row>
    <row r="13" spans="1:27">
      <c r="A13" t="s">
        <v>702</v>
      </c>
      <c r="B13" s="405">
        <v>2.2200000000000002</v>
      </c>
      <c r="C13" t="s">
        <v>189</v>
      </c>
      <c r="E13" s="49"/>
      <c r="AA13" s="53"/>
    </row>
    <row r="14" spans="1:27">
      <c r="A14" t="s">
        <v>704</v>
      </c>
      <c r="B14" s="405">
        <v>0.59799999999999998</v>
      </c>
      <c r="C14" t="s">
        <v>189</v>
      </c>
      <c r="E14" s="49" t="s">
        <v>1418</v>
      </c>
      <c r="W14" t="s">
        <v>1417</v>
      </c>
      <c r="AA14" s="53"/>
    </row>
    <row r="15" spans="1:27">
      <c r="A15" t="s">
        <v>705</v>
      </c>
      <c r="B15" s="405">
        <v>10.256</v>
      </c>
      <c r="C15" t="s">
        <v>189</v>
      </c>
      <c r="E15" s="49" t="s">
        <v>1419</v>
      </c>
      <c r="AA15" s="53"/>
    </row>
    <row r="16" spans="1:27">
      <c r="A16" t="s">
        <v>706</v>
      </c>
      <c r="B16" s="405">
        <v>4.8230000000000004</v>
      </c>
      <c r="C16" t="s">
        <v>189</v>
      </c>
      <c r="E16" s="49" t="s">
        <v>1420</v>
      </c>
      <c r="AA16" s="53"/>
    </row>
    <row r="17" spans="1:27" ht="15.75" thickBot="1">
      <c r="A17" t="s">
        <v>707</v>
      </c>
      <c r="B17" s="405">
        <v>5.6909999999999998</v>
      </c>
      <c r="C17" t="s">
        <v>189</v>
      </c>
      <c r="E17" s="51" t="s">
        <v>1528</v>
      </c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8"/>
    </row>
    <row r="18" spans="1:27">
      <c r="A18" t="s">
        <v>190</v>
      </c>
      <c r="B18" s="405">
        <v>0.36099999999999999</v>
      </c>
      <c r="C18" t="s">
        <v>189</v>
      </c>
    </row>
    <row r="19" spans="1:27">
      <c r="A19" t="s">
        <v>708</v>
      </c>
      <c r="B19" s="405">
        <v>2.786</v>
      </c>
      <c r="C19" t="s">
        <v>189</v>
      </c>
    </row>
    <row r="20" spans="1:27">
      <c r="A20" t="s">
        <v>709</v>
      </c>
      <c r="B20" s="405">
        <v>11.547000000000001</v>
      </c>
      <c r="C20" t="s">
        <v>189</v>
      </c>
    </row>
    <row r="21" spans="1:27">
      <c r="A21" t="s">
        <v>711</v>
      </c>
      <c r="B21" s="405">
        <v>11.667999999999999</v>
      </c>
      <c r="C21" t="s">
        <v>189</v>
      </c>
    </row>
    <row r="22" spans="1:27">
      <c r="A22" t="s">
        <v>710</v>
      </c>
      <c r="B22" s="405">
        <v>4.9690000000000003</v>
      </c>
      <c r="C22" t="s">
        <v>189</v>
      </c>
    </row>
    <row r="23" spans="1:27">
      <c r="A23" t="s">
        <v>712</v>
      </c>
      <c r="B23" s="405">
        <v>11.59</v>
      </c>
      <c r="C23" t="s">
        <v>189</v>
      </c>
    </row>
    <row r="24" spans="1:27">
      <c r="A24" t="s">
        <v>1308</v>
      </c>
      <c r="B24" s="405">
        <v>1.01</v>
      </c>
      <c r="C24" t="s">
        <v>189</v>
      </c>
    </row>
    <row r="25" spans="1:27">
      <c r="A25" t="s">
        <v>713</v>
      </c>
      <c r="B25" s="405">
        <v>2.99</v>
      </c>
      <c r="C25" t="s">
        <v>189</v>
      </c>
    </row>
    <row r="26" spans="1:27">
      <c r="A26" t="s">
        <v>714</v>
      </c>
      <c r="B26" s="405">
        <v>2.5960000000000001</v>
      </c>
      <c r="C26" t="s">
        <v>189</v>
      </c>
    </row>
    <row r="27" spans="1:27">
      <c r="A27" t="s">
        <v>715</v>
      </c>
      <c r="B27" s="405">
        <v>13.917</v>
      </c>
      <c r="C27" t="s">
        <v>189</v>
      </c>
    </row>
    <row r="28" spans="1:27">
      <c r="A28" t="s">
        <v>716</v>
      </c>
      <c r="B28" s="405">
        <v>0.30499999999999999</v>
      </c>
      <c r="C28" t="s">
        <v>189</v>
      </c>
    </row>
    <row r="29" spans="1:27">
      <c r="A29" t="s">
        <v>717</v>
      </c>
      <c r="B29" s="405">
        <v>35.131</v>
      </c>
      <c r="C29" t="s">
        <v>189</v>
      </c>
    </row>
    <row r="30" spans="1:27">
      <c r="A30" t="s">
        <v>718</v>
      </c>
      <c r="B30" s="405">
        <v>1.3839999999999999</v>
      </c>
      <c r="C30" t="s">
        <v>189</v>
      </c>
    </row>
    <row r="31" spans="1:27">
      <c r="A31" t="s">
        <v>719</v>
      </c>
      <c r="B31" s="405">
        <v>13.132999999999999</v>
      </c>
      <c r="C31" t="s">
        <v>189</v>
      </c>
    </row>
    <row r="32" spans="1:27">
      <c r="A32" t="s">
        <v>720</v>
      </c>
      <c r="B32" s="405">
        <v>21.347999999999999</v>
      </c>
      <c r="C32" t="s">
        <v>189</v>
      </c>
    </row>
    <row r="33" spans="1:3">
      <c r="A33" t="s">
        <v>722</v>
      </c>
      <c r="B33" s="405">
        <v>3.746</v>
      </c>
      <c r="C33" t="s">
        <v>189</v>
      </c>
    </row>
    <row r="34" spans="1:3">
      <c r="A34" t="s">
        <v>723</v>
      </c>
      <c r="B34" s="405">
        <v>2.7349999999999999</v>
      </c>
      <c r="C34" t="s">
        <v>189</v>
      </c>
    </row>
    <row r="35" spans="1:3">
      <c r="A35" t="s">
        <v>724</v>
      </c>
      <c r="B35" s="405">
        <v>8.6530000000000005</v>
      </c>
      <c r="C35" t="s">
        <v>189</v>
      </c>
    </row>
    <row r="36" spans="1:3">
      <c r="A36" t="s">
        <v>725</v>
      </c>
      <c r="B36" s="405">
        <v>10.565</v>
      </c>
      <c r="C36" t="s">
        <v>189</v>
      </c>
    </row>
    <row r="37" spans="1:3">
      <c r="A37" t="s">
        <v>192</v>
      </c>
      <c r="B37" s="405">
        <v>0.52200000000000002</v>
      </c>
      <c r="C37" t="s">
        <v>189</v>
      </c>
    </row>
    <row r="38" spans="1:3">
      <c r="A38" t="s">
        <v>193</v>
      </c>
      <c r="B38" s="405">
        <v>0.95399999999999996</v>
      </c>
      <c r="C38" t="s">
        <v>189</v>
      </c>
    </row>
    <row r="39" spans="1:3">
      <c r="A39" t="s">
        <v>726</v>
      </c>
      <c r="B39" s="405">
        <v>1.5329999999999999</v>
      </c>
      <c r="C39" t="s">
        <v>189</v>
      </c>
    </row>
    <row r="40" spans="1:3">
      <c r="A40" t="s">
        <v>727</v>
      </c>
      <c r="B40" s="405">
        <v>0.109</v>
      </c>
      <c r="C40" t="s">
        <v>189</v>
      </c>
    </row>
    <row r="41" spans="1:3">
      <c r="A41" t="s">
        <v>728</v>
      </c>
      <c r="B41" s="405">
        <v>0.109</v>
      </c>
      <c r="C41" t="s">
        <v>189</v>
      </c>
    </row>
    <row r="42" spans="1:3">
      <c r="A42" t="s">
        <v>729</v>
      </c>
      <c r="B42" s="405">
        <v>1.631</v>
      </c>
      <c r="C42" t="s">
        <v>189</v>
      </c>
    </row>
    <row r="43" spans="1:3">
      <c r="A43" t="s">
        <v>730</v>
      </c>
      <c r="B43" s="405">
        <v>0.47599999999999998</v>
      </c>
      <c r="C43" t="s">
        <v>189</v>
      </c>
    </row>
    <row r="44" spans="1:3">
      <c r="A44" t="s">
        <v>731</v>
      </c>
      <c r="B44" s="405">
        <v>0.47599999999999998</v>
      </c>
      <c r="C44" t="s">
        <v>189</v>
      </c>
    </row>
    <row r="45" spans="1:3">
      <c r="A45" t="s">
        <v>732</v>
      </c>
      <c r="B45" s="405">
        <v>1.5569999999999999</v>
      </c>
      <c r="C45" t="s">
        <v>189</v>
      </c>
    </row>
    <row r="46" spans="1:3">
      <c r="A46" t="s">
        <v>733</v>
      </c>
      <c r="B46" s="405">
        <v>5.3140000000000001</v>
      </c>
      <c r="C46" t="s">
        <v>189</v>
      </c>
    </row>
    <row r="47" spans="1:3">
      <c r="A47" t="s">
        <v>734</v>
      </c>
      <c r="B47" s="405">
        <v>8.4830000000000005</v>
      </c>
      <c r="C47" t="s">
        <v>189</v>
      </c>
    </row>
    <row r="48" spans="1:3">
      <c r="A48" t="s">
        <v>735</v>
      </c>
      <c r="B48" s="405">
        <v>3.36</v>
      </c>
      <c r="C48" t="s">
        <v>189</v>
      </c>
    </row>
    <row r="49" spans="1:3">
      <c r="A49" t="s">
        <v>736</v>
      </c>
      <c r="B49" s="405">
        <v>0.66900000000000004</v>
      </c>
      <c r="C49" t="s">
        <v>189</v>
      </c>
    </row>
    <row r="50" spans="1:3">
      <c r="A50" t="s">
        <v>1275</v>
      </c>
      <c r="B50" s="405">
        <v>2.6280000000000001</v>
      </c>
      <c r="C50" t="s">
        <v>189</v>
      </c>
    </row>
    <row r="51" spans="1:3">
      <c r="A51" t="s">
        <v>737</v>
      </c>
      <c r="B51" s="405">
        <v>4.9160000000000004</v>
      </c>
      <c r="C51" t="s">
        <v>189</v>
      </c>
    </row>
    <row r="52" spans="1:3">
      <c r="A52" t="s">
        <v>738</v>
      </c>
      <c r="B52" s="405">
        <v>11.843</v>
      </c>
      <c r="C52" t="s">
        <v>189</v>
      </c>
    </row>
    <row r="53" spans="1:3">
      <c r="A53" t="s">
        <v>739</v>
      </c>
      <c r="B53" s="405">
        <v>0.45700000000000002</v>
      </c>
      <c r="C53" t="s">
        <v>189</v>
      </c>
    </row>
    <row r="54" spans="1:3">
      <c r="A54" t="s">
        <v>740</v>
      </c>
      <c r="B54" s="405">
        <v>4.8179999999999996</v>
      </c>
      <c r="C54" t="s">
        <v>189</v>
      </c>
    </row>
    <row r="55" spans="1:3">
      <c r="A55" t="s">
        <v>741</v>
      </c>
      <c r="B55" s="405">
        <v>11.683999999999999</v>
      </c>
      <c r="C55" t="s">
        <v>189</v>
      </c>
    </row>
    <row r="56" spans="1:3">
      <c r="A56" t="s">
        <v>742</v>
      </c>
      <c r="B56" s="405">
        <v>5.234</v>
      </c>
      <c r="C56" t="s">
        <v>189</v>
      </c>
    </row>
    <row r="57" spans="1:3">
      <c r="A57" t="s">
        <v>743</v>
      </c>
      <c r="B57" s="405">
        <v>12.781000000000001</v>
      </c>
      <c r="C57" t="s">
        <v>189</v>
      </c>
    </row>
    <row r="58" spans="1:3">
      <c r="A58" t="s">
        <v>194</v>
      </c>
      <c r="B58" s="405">
        <v>1.06</v>
      </c>
      <c r="C58" t="s">
        <v>189</v>
      </c>
    </row>
    <row r="59" spans="1:3">
      <c r="A59" t="s">
        <v>744</v>
      </c>
      <c r="B59" s="405">
        <v>9.1010000000000009</v>
      </c>
      <c r="C59" t="s">
        <v>189</v>
      </c>
    </row>
    <row r="60" spans="1:3">
      <c r="A60" t="s">
        <v>745</v>
      </c>
      <c r="B60" s="405">
        <v>9.1010000000000009</v>
      </c>
      <c r="C60" t="s">
        <v>189</v>
      </c>
    </row>
    <row r="61" spans="1:3">
      <c r="A61" t="s">
        <v>746</v>
      </c>
      <c r="B61" s="405">
        <v>12.43</v>
      </c>
      <c r="C61" t="s">
        <v>189</v>
      </c>
    </row>
    <row r="62" spans="1:3">
      <c r="A62" t="s">
        <v>747</v>
      </c>
      <c r="B62" s="405">
        <v>0.99399999999999999</v>
      </c>
      <c r="C62" t="s">
        <v>189</v>
      </c>
    </row>
    <row r="63" spans="1:3">
      <c r="A63" t="s">
        <v>748</v>
      </c>
      <c r="B63" s="405">
        <v>21.266999999999999</v>
      </c>
      <c r="C63" t="s">
        <v>189</v>
      </c>
    </row>
    <row r="64" spans="1:3">
      <c r="A64" t="s">
        <v>749</v>
      </c>
      <c r="B64" s="405">
        <v>0.20799999999999999</v>
      </c>
      <c r="C64" t="s">
        <v>189</v>
      </c>
    </row>
    <row r="65" spans="1:3">
      <c r="A65" t="s">
        <v>750</v>
      </c>
      <c r="B65" s="405">
        <v>9.36</v>
      </c>
      <c r="C65" t="s">
        <v>189</v>
      </c>
    </row>
    <row r="66" spans="1:3">
      <c r="A66" t="s">
        <v>751</v>
      </c>
      <c r="B66" s="405">
        <v>9.36</v>
      </c>
      <c r="C66" t="s">
        <v>189</v>
      </c>
    </row>
    <row r="67" spans="1:3">
      <c r="A67" t="s">
        <v>752</v>
      </c>
      <c r="B67" s="405">
        <v>11.548</v>
      </c>
      <c r="C67" t="s">
        <v>189</v>
      </c>
    </row>
    <row r="68" spans="1:3">
      <c r="A68" t="s">
        <v>753</v>
      </c>
      <c r="B68" s="405">
        <v>11.669</v>
      </c>
      <c r="C68" t="s">
        <v>189</v>
      </c>
    </row>
    <row r="69" spans="1:3">
      <c r="A69" t="s">
        <v>754</v>
      </c>
      <c r="B69" s="405">
        <v>0.25800000000000001</v>
      </c>
      <c r="C69" t="s">
        <v>189</v>
      </c>
    </row>
    <row r="70" spans="1:3">
      <c r="A70" t="s">
        <v>755</v>
      </c>
      <c r="B70" s="405">
        <v>0.45700000000000002</v>
      </c>
      <c r="C70" t="s">
        <v>189</v>
      </c>
    </row>
    <row r="71" spans="1:3">
      <c r="A71" t="s">
        <v>756</v>
      </c>
      <c r="B71" s="405">
        <v>1.956</v>
      </c>
      <c r="C71" t="s">
        <v>189</v>
      </c>
    </row>
    <row r="72" spans="1:3">
      <c r="A72" t="s">
        <v>924</v>
      </c>
      <c r="B72" s="405">
        <v>2.7440000000000002</v>
      </c>
      <c r="C72" t="s">
        <v>189</v>
      </c>
    </row>
    <row r="73" spans="1:3">
      <c r="A73" t="s">
        <v>757</v>
      </c>
      <c r="B73" s="405">
        <v>8.327</v>
      </c>
      <c r="C73" t="s">
        <v>189</v>
      </c>
    </row>
    <row r="74" spans="1:3">
      <c r="A74" t="s">
        <v>758</v>
      </c>
      <c r="B74" s="405">
        <v>36.287999999999997</v>
      </c>
      <c r="C74" t="s">
        <v>189</v>
      </c>
    </row>
    <row r="75" spans="1:3">
      <c r="A75" t="s">
        <v>759</v>
      </c>
      <c r="B75" s="405">
        <v>39.862000000000002</v>
      </c>
      <c r="C75" t="s">
        <v>189</v>
      </c>
    </row>
    <row r="76" spans="1:3">
      <c r="A76" t="s">
        <v>760</v>
      </c>
      <c r="B76" s="405">
        <v>41.521999999999998</v>
      </c>
      <c r="C76" t="s">
        <v>189</v>
      </c>
    </row>
    <row r="77" spans="1:3">
      <c r="A77" t="s">
        <v>761</v>
      </c>
      <c r="B77" s="405">
        <v>9.734</v>
      </c>
      <c r="C77" t="s">
        <v>189</v>
      </c>
    </row>
    <row r="78" spans="1:3">
      <c r="A78" t="s">
        <v>762</v>
      </c>
      <c r="B78" s="405">
        <v>9.734</v>
      </c>
      <c r="C78" t="s">
        <v>189</v>
      </c>
    </row>
    <row r="79" spans="1:3">
      <c r="A79" t="s">
        <v>763</v>
      </c>
      <c r="B79" s="405">
        <v>8.0950000000000006</v>
      </c>
      <c r="C79" t="s">
        <v>189</v>
      </c>
    </row>
    <row r="80" spans="1:3">
      <c r="A80" t="s">
        <v>764</v>
      </c>
      <c r="B80" s="405">
        <v>2.6419999999999999</v>
      </c>
      <c r="C80" t="s">
        <v>189</v>
      </c>
    </row>
    <row r="81" spans="1:3">
      <c r="A81" t="s">
        <v>765</v>
      </c>
      <c r="B81" s="405">
        <v>8.327</v>
      </c>
      <c r="C81" t="s">
        <v>189</v>
      </c>
    </row>
    <row r="82" spans="1:3">
      <c r="A82" t="s">
        <v>766</v>
      </c>
      <c r="B82" s="405">
        <v>8.4350000000000005</v>
      </c>
      <c r="C82" t="s">
        <v>189</v>
      </c>
    </row>
    <row r="83" spans="1:3">
      <c r="A83" t="s">
        <v>767</v>
      </c>
      <c r="B83" s="405">
        <v>2.6320000000000001</v>
      </c>
      <c r="C83" t="s">
        <v>189</v>
      </c>
    </row>
    <row r="84" spans="1:3">
      <c r="A84" t="s">
        <v>768</v>
      </c>
      <c r="B84" s="405">
        <v>0.89600000000000002</v>
      </c>
      <c r="C84" t="s">
        <v>189</v>
      </c>
    </row>
    <row r="85" spans="1:3">
      <c r="A85" t="s">
        <v>769</v>
      </c>
      <c r="B85" s="405">
        <v>2.42</v>
      </c>
      <c r="C85" t="s">
        <v>189</v>
      </c>
    </row>
    <row r="86" spans="1:3">
      <c r="A86" t="s">
        <v>770</v>
      </c>
      <c r="B86" s="405">
        <v>1.651</v>
      </c>
      <c r="C86" t="s">
        <v>189</v>
      </c>
    </row>
    <row r="87" spans="1:3">
      <c r="A87" t="s">
        <v>771</v>
      </c>
      <c r="B87" s="405">
        <v>0.26600000000000001</v>
      </c>
      <c r="C87" t="s">
        <v>189</v>
      </c>
    </row>
    <row r="88" spans="1:3">
      <c r="A88" t="s">
        <v>919</v>
      </c>
      <c r="B88" s="405">
        <v>7.6580000000000004</v>
      </c>
      <c r="C88" t="s">
        <v>189</v>
      </c>
    </row>
    <row r="89" spans="1:3">
      <c r="A89" t="s">
        <v>772</v>
      </c>
      <c r="B89" s="405">
        <v>4.069</v>
      </c>
      <c r="C89" t="s">
        <v>189</v>
      </c>
    </row>
    <row r="90" spans="1:3">
      <c r="A90" t="s">
        <v>773</v>
      </c>
      <c r="B90" s="405">
        <v>0.307</v>
      </c>
      <c r="C90" t="s">
        <v>189</v>
      </c>
    </row>
    <row r="91" spans="1:3">
      <c r="A91" t="s">
        <v>774</v>
      </c>
      <c r="B91" s="405">
        <v>2.738</v>
      </c>
      <c r="C91" t="s">
        <v>189</v>
      </c>
    </row>
    <row r="92" spans="1:3">
      <c r="A92" t="s">
        <v>775</v>
      </c>
      <c r="B92" s="405">
        <v>2.2370000000000001</v>
      </c>
      <c r="C92" t="s">
        <v>189</v>
      </c>
    </row>
    <row r="93" spans="1:3">
      <c r="A93" t="s">
        <v>776</v>
      </c>
      <c r="B93" s="405">
        <v>2.57</v>
      </c>
      <c r="C93" t="s">
        <v>189</v>
      </c>
    </row>
    <row r="94" spans="1:3">
      <c r="A94" t="s">
        <v>777</v>
      </c>
      <c r="B94" s="405">
        <v>2.5379999999999998</v>
      </c>
      <c r="C94" t="s">
        <v>189</v>
      </c>
    </row>
    <row r="95" spans="1:3">
      <c r="A95" t="s">
        <v>778</v>
      </c>
      <c r="B95" s="405">
        <v>4.18</v>
      </c>
      <c r="C95" t="s">
        <v>189</v>
      </c>
    </row>
    <row r="96" spans="1:3">
      <c r="A96" t="s">
        <v>779</v>
      </c>
      <c r="B96" s="405">
        <v>5.0999999999999996</v>
      </c>
      <c r="C96" t="s">
        <v>189</v>
      </c>
    </row>
    <row r="97" spans="1:3">
      <c r="A97" t="s">
        <v>780</v>
      </c>
      <c r="B97" s="405">
        <v>15.257999999999999</v>
      </c>
      <c r="C97" t="s">
        <v>189</v>
      </c>
    </row>
    <row r="98" spans="1:3">
      <c r="A98" t="s">
        <v>781</v>
      </c>
      <c r="B98" s="405">
        <v>15.18</v>
      </c>
      <c r="C98" t="s">
        <v>189</v>
      </c>
    </row>
    <row r="99" spans="1:3">
      <c r="A99" t="s">
        <v>782</v>
      </c>
      <c r="B99" s="405">
        <v>18.5</v>
      </c>
      <c r="C99" t="s">
        <v>189</v>
      </c>
    </row>
    <row r="100" spans="1:3">
      <c r="A100" t="s">
        <v>783</v>
      </c>
      <c r="B100" s="405">
        <v>0.93799999999999994</v>
      </c>
      <c r="C100" t="s">
        <v>189</v>
      </c>
    </row>
    <row r="101" spans="1:3">
      <c r="A101" t="s">
        <v>784</v>
      </c>
      <c r="B101" s="405">
        <v>15.301</v>
      </c>
      <c r="C101" t="s">
        <v>189</v>
      </c>
    </row>
    <row r="102" spans="1:3">
      <c r="A102" t="s">
        <v>785</v>
      </c>
      <c r="B102" s="405">
        <v>15.989000000000001</v>
      </c>
      <c r="C102" t="s">
        <v>189</v>
      </c>
    </row>
    <row r="103" spans="1:3">
      <c r="A103" t="s">
        <v>786</v>
      </c>
      <c r="B103" s="405">
        <v>14.438000000000001</v>
      </c>
      <c r="C103" t="s">
        <v>189</v>
      </c>
    </row>
    <row r="104" spans="1:3">
      <c r="A104" t="s">
        <v>787</v>
      </c>
      <c r="B104" s="405">
        <v>15.134</v>
      </c>
      <c r="C104" t="s">
        <v>189</v>
      </c>
    </row>
    <row r="105" spans="1:3">
      <c r="A105" t="s">
        <v>788</v>
      </c>
      <c r="B105" s="405">
        <v>0.82499999999999996</v>
      </c>
      <c r="C105" t="s">
        <v>189</v>
      </c>
    </row>
    <row r="106" spans="1:3">
      <c r="A106" t="s">
        <v>789</v>
      </c>
      <c r="B106" s="405">
        <v>11.426</v>
      </c>
      <c r="C106" t="s">
        <v>189</v>
      </c>
    </row>
    <row r="107" spans="1:3">
      <c r="A107" t="s">
        <v>790</v>
      </c>
      <c r="B107" s="405">
        <v>4.2830000000000004</v>
      </c>
      <c r="C107" t="s">
        <v>189</v>
      </c>
    </row>
    <row r="108" spans="1:3">
      <c r="A108" t="s">
        <v>791</v>
      </c>
      <c r="B108" s="405">
        <v>8.4390000000000001</v>
      </c>
      <c r="C108" t="s">
        <v>189</v>
      </c>
    </row>
    <row r="109" spans="1:3">
      <c r="A109" t="s">
        <v>792</v>
      </c>
      <c r="B109" s="405">
        <v>11.532</v>
      </c>
      <c r="C109" t="s">
        <v>189</v>
      </c>
    </row>
    <row r="110" spans="1:3">
      <c r="A110" t="s">
        <v>793</v>
      </c>
      <c r="B110" s="405">
        <v>0.34200000000000003</v>
      </c>
      <c r="C110" t="s">
        <v>189</v>
      </c>
    </row>
    <row r="111" spans="1:3">
      <c r="A111" t="s">
        <v>794</v>
      </c>
      <c r="B111" s="405">
        <v>4.1109999999999998</v>
      </c>
      <c r="C111" t="s">
        <v>189</v>
      </c>
    </row>
    <row r="112" spans="1:3">
      <c r="A112" t="s">
        <v>795</v>
      </c>
      <c r="B112" s="405">
        <v>3.5459999999999998</v>
      </c>
      <c r="C112" t="s">
        <v>796</v>
      </c>
    </row>
    <row r="113" spans="1:3">
      <c r="A113" t="s">
        <v>797</v>
      </c>
      <c r="B113" s="405">
        <v>0.38700000000000001</v>
      </c>
      <c r="C113" t="s">
        <v>796</v>
      </c>
    </row>
    <row r="114" spans="1:3">
      <c r="A114" t="s">
        <v>798</v>
      </c>
      <c r="B114" s="405">
        <v>1.008</v>
      </c>
      <c r="C114" t="s">
        <v>796</v>
      </c>
    </row>
    <row r="115" spans="1:3">
      <c r="A115" t="s">
        <v>799</v>
      </c>
      <c r="B115" s="405">
        <v>1.0009999999999999</v>
      </c>
      <c r="C115" t="s">
        <v>796</v>
      </c>
    </row>
    <row r="116" spans="1:3">
      <c r="A116" t="s">
        <v>800</v>
      </c>
      <c r="B116" s="405">
        <v>3.79</v>
      </c>
      <c r="C116" t="s">
        <v>796</v>
      </c>
    </row>
    <row r="117" spans="1:3">
      <c r="A117" t="s">
        <v>801</v>
      </c>
      <c r="B117" s="405">
        <v>10.510999999999999</v>
      </c>
      <c r="C117" t="s">
        <v>796</v>
      </c>
    </row>
    <row r="118" spans="1:3">
      <c r="A118" t="s">
        <v>802</v>
      </c>
      <c r="B118" s="405">
        <v>0.47599999999999998</v>
      </c>
      <c r="C118" t="s">
        <v>796</v>
      </c>
    </row>
    <row r="119" spans="1:3">
      <c r="A119" t="s">
        <v>803</v>
      </c>
      <c r="B119" s="405">
        <v>0.47599999999999998</v>
      </c>
      <c r="C119" t="s">
        <v>796</v>
      </c>
    </row>
    <row r="120" spans="1:3">
      <c r="A120" t="s">
        <v>804</v>
      </c>
      <c r="B120" s="405">
        <v>0.39</v>
      </c>
      <c r="C120" t="s">
        <v>796</v>
      </c>
    </row>
    <row r="121" spans="1:3">
      <c r="A121" t="s">
        <v>805</v>
      </c>
      <c r="B121" s="405">
        <v>7.9000000000000001E-2</v>
      </c>
      <c r="C121" t="s">
        <v>796</v>
      </c>
    </row>
    <row r="122" spans="1:3">
      <c r="A122" t="s">
        <v>806</v>
      </c>
      <c r="B122" s="405">
        <v>11.93</v>
      </c>
      <c r="C122" t="s">
        <v>796</v>
      </c>
    </row>
    <row r="123" spans="1:3">
      <c r="A123" t="s">
        <v>807</v>
      </c>
      <c r="B123" s="405">
        <v>4.96</v>
      </c>
      <c r="C123" t="s">
        <v>796</v>
      </c>
    </row>
    <row r="124" spans="1:3">
      <c r="A124" t="s">
        <v>808</v>
      </c>
      <c r="B124" s="405">
        <v>4.96</v>
      </c>
      <c r="C124" t="s">
        <v>796</v>
      </c>
    </row>
    <row r="125" spans="1:3">
      <c r="A125" t="s">
        <v>809</v>
      </c>
      <c r="B125" s="405">
        <v>0.47599999999999998</v>
      </c>
      <c r="C125" t="s">
        <v>796</v>
      </c>
    </row>
    <row r="126" spans="1:3">
      <c r="A126" t="s">
        <v>810</v>
      </c>
      <c r="B126" s="405">
        <v>0.47599999999999998</v>
      </c>
      <c r="C126" t="s">
        <v>796</v>
      </c>
    </row>
    <row r="127" spans="1:3">
      <c r="A127" t="s">
        <v>811</v>
      </c>
      <c r="B127" s="405">
        <v>0.193</v>
      </c>
      <c r="C127" t="s">
        <v>796</v>
      </c>
    </row>
    <row r="128" spans="1:3">
      <c r="A128" t="s">
        <v>812</v>
      </c>
      <c r="B128" s="405">
        <v>15.994999999999999</v>
      </c>
      <c r="C128" t="s">
        <v>796</v>
      </c>
    </row>
    <row r="129" spans="1:3">
      <c r="A129" t="s">
        <v>813</v>
      </c>
      <c r="B129" s="405">
        <v>1.4159999999999999</v>
      </c>
      <c r="C129" t="s">
        <v>796</v>
      </c>
    </row>
    <row r="130" spans="1:3">
      <c r="A130" t="s">
        <v>814</v>
      </c>
      <c r="B130" s="405">
        <v>12.784000000000001</v>
      </c>
      <c r="C130" t="s">
        <v>796</v>
      </c>
    </row>
    <row r="131" spans="1:3">
      <c r="A131" t="s">
        <v>815</v>
      </c>
      <c r="B131" s="405">
        <v>12.57</v>
      </c>
      <c r="C131" t="s">
        <v>796</v>
      </c>
    </row>
    <row r="132" spans="1:3">
      <c r="A132" t="s">
        <v>816</v>
      </c>
      <c r="B132" s="405">
        <v>5.1479999999999997</v>
      </c>
      <c r="C132" t="s">
        <v>796</v>
      </c>
    </row>
    <row r="133" spans="1:3">
      <c r="A133" t="s">
        <v>817</v>
      </c>
      <c r="B133" s="405">
        <v>5.1479999999999997</v>
      </c>
      <c r="C133" t="s">
        <v>796</v>
      </c>
    </row>
    <row r="134" spans="1:3">
      <c r="A134" t="s">
        <v>818</v>
      </c>
      <c r="B134" s="405">
        <v>5.1980000000000004</v>
      </c>
      <c r="C134" t="s">
        <v>796</v>
      </c>
    </row>
    <row r="135" spans="1:3">
      <c r="A135" t="s">
        <v>819</v>
      </c>
      <c r="B135" s="405">
        <v>5.1980000000000004</v>
      </c>
      <c r="C135" t="s">
        <v>796</v>
      </c>
    </row>
    <row r="136" spans="1:3">
      <c r="A136" t="s">
        <v>820</v>
      </c>
      <c r="B136" s="405">
        <v>4.5759999999999996</v>
      </c>
      <c r="C136" t="s">
        <v>796</v>
      </c>
    </row>
    <row r="137" spans="1:3">
      <c r="A137" t="s">
        <v>821</v>
      </c>
      <c r="B137" s="405">
        <v>16.895</v>
      </c>
      <c r="C137" t="s">
        <v>796</v>
      </c>
    </row>
    <row r="138" spans="1:3">
      <c r="A138" t="s">
        <v>822</v>
      </c>
      <c r="B138" s="405">
        <v>0.24299999999999999</v>
      </c>
      <c r="C138" t="s">
        <v>796</v>
      </c>
    </row>
    <row r="139" spans="1:3">
      <c r="A139" t="s">
        <v>823</v>
      </c>
      <c r="B139" s="405">
        <v>0.27900000000000003</v>
      </c>
      <c r="C139" t="s">
        <v>796</v>
      </c>
    </row>
    <row r="140" spans="1:3">
      <c r="A140" t="s">
        <v>824</v>
      </c>
      <c r="B140" s="405">
        <v>9.0380000000000003</v>
      </c>
      <c r="C140" t="s">
        <v>796</v>
      </c>
    </row>
    <row r="141" spans="1:3">
      <c r="A141" t="s">
        <v>825</v>
      </c>
      <c r="B141" s="405">
        <v>12.92</v>
      </c>
      <c r="C141" t="s">
        <v>796</v>
      </c>
    </row>
    <row r="142" spans="1:3">
      <c r="A142" t="s">
        <v>826</v>
      </c>
      <c r="B142" s="405">
        <v>13.22</v>
      </c>
      <c r="C142" t="s">
        <v>796</v>
      </c>
    </row>
    <row r="143" spans="1:3">
      <c r="A143" t="s">
        <v>827</v>
      </c>
      <c r="B143" s="405">
        <v>2.9239999999999999</v>
      </c>
      <c r="C143" t="s">
        <v>796</v>
      </c>
    </row>
    <row r="144" spans="1:3">
      <c r="A144" t="s">
        <v>828</v>
      </c>
      <c r="B144" s="405">
        <v>14.271000000000001</v>
      </c>
      <c r="C144" t="s">
        <v>796</v>
      </c>
    </row>
    <row r="145" spans="1:3">
      <c r="A145" t="s">
        <v>829</v>
      </c>
      <c r="B145" s="405">
        <v>1.58</v>
      </c>
      <c r="C145" t="s">
        <v>796</v>
      </c>
    </row>
    <row r="146" spans="1:3">
      <c r="A146" t="s">
        <v>830</v>
      </c>
      <c r="B146" s="405">
        <v>15.308</v>
      </c>
      <c r="C146" t="s">
        <v>796</v>
      </c>
    </row>
    <row r="147" spans="1:3">
      <c r="A147" t="s">
        <v>831</v>
      </c>
      <c r="B147" s="405">
        <v>11.519</v>
      </c>
      <c r="C147" t="s">
        <v>796</v>
      </c>
    </row>
    <row r="148" spans="1:3">
      <c r="A148" t="s">
        <v>832</v>
      </c>
      <c r="B148" s="405">
        <v>11.397</v>
      </c>
      <c r="C148" t="s">
        <v>796</v>
      </c>
    </row>
    <row r="149" spans="1:3">
      <c r="A149" t="s">
        <v>833</v>
      </c>
      <c r="B149" s="405">
        <v>4.9189999999999996</v>
      </c>
      <c r="C149" t="s">
        <v>796</v>
      </c>
    </row>
    <row r="150" spans="1:3">
      <c r="A150" t="s">
        <v>834</v>
      </c>
      <c r="B150" s="405">
        <v>17.146000000000001</v>
      </c>
      <c r="C150" t="s">
        <v>796</v>
      </c>
    </row>
    <row r="151" spans="1:3">
      <c r="A151" t="s">
        <v>835</v>
      </c>
      <c r="B151" s="405">
        <v>16.18</v>
      </c>
      <c r="C151" t="s">
        <v>796</v>
      </c>
    </row>
    <row r="152" spans="1:3">
      <c r="A152" t="s">
        <v>836</v>
      </c>
      <c r="B152" s="405">
        <v>1.766</v>
      </c>
      <c r="C152" t="s">
        <v>796</v>
      </c>
    </row>
    <row r="153" spans="1:3">
      <c r="A153" t="s">
        <v>837</v>
      </c>
      <c r="B153" s="405">
        <v>1.073</v>
      </c>
      <c r="C153" t="s">
        <v>796</v>
      </c>
    </row>
    <row r="154" spans="1:3">
      <c r="A154" t="s">
        <v>838</v>
      </c>
      <c r="B154" s="405">
        <v>1.073</v>
      </c>
      <c r="C154" t="s">
        <v>796</v>
      </c>
    </row>
    <row r="155" spans="1:3">
      <c r="A155" t="s">
        <v>839</v>
      </c>
      <c r="B155" s="405">
        <v>6.4029999999999996</v>
      </c>
      <c r="C155" t="s">
        <v>796</v>
      </c>
    </row>
    <row r="156" spans="1:3">
      <c r="A156" t="s">
        <v>840</v>
      </c>
      <c r="B156" s="405">
        <v>3.4780000000000002</v>
      </c>
      <c r="C156" t="s">
        <v>796</v>
      </c>
    </row>
    <row r="157" spans="1:3">
      <c r="A157" t="s">
        <v>841</v>
      </c>
      <c r="B157" s="405">
        <v>3.4780000000000002</v>
      </c>
      <c r="C157" t="s">
        <v>796</v>
      </c>
    </row>
    <row r="158" spans="1:3">
      <c r="A158" t="s">
        <v>842</v>
      </c>
      <c r="B158" s="405">
        <v>2.0089999999999999</v>
      </c>
      <c r="C158" t="s">
        <v>796</v>
      </c>
    </row>
    <row r="159" spans="1:3">
      <c r="A159" t="s">
        <v>843</v>
      </c>
      <c r="B159" s="405">
        <v>0.94399999999999995</v>
      </c>
      <c r="C159" t="s">
        <v>796</v>
      </c>
    </row>
    <row r="160" spans="1:3">
      <c r="A160" t="s">
        <v>844</v>
      </c>
      <c r="B160" s="405">
        <v>0.94399999999999995</v>
      </c>
      <c r="C160" t="s">
        <v>796</v>
      </c>
    </row>
    <row r="161" spans="1:3">
      <c r="A161" t="s">
        <v>845</v>
      </c>
      <c r="B161" s="405">
        <v>51.122999999999998</v>
      </c>
      <c r="C161" t="s">
        <v>796</v>
      </c>
    </row>
    <row r="162" spans="1:3">
      <c r="A162" t="s">
        <v>846</v>
      </c>
      <c r="B162" s="405">
        <v>34.749000000000002</v>
      </c>
      <c r="C162" t="s">
        <v>796</v>
      </c>
    </row>
    <row r="163" spans="1:3">
      <c r="A163" t="s">
        <v>199</v>
      </c>
      <c r="B163" s="405">
        <v>9.0809999999999995</v>
      </c>
      <c r="C163" t="s">
        <v>796</v>
      </c>
    </row>
    <row r="164" spans="1:3">
      <c r="A164" t="s">
        <v>200</v>
      </c>
      <c r="B164" s="405">
        <v>3.79</v>
      </c>
      <c r="C164" t="s">
        <v>796</v>
      </c>
    </row>
    <row r="165" spans="1:3">
      <c r="A165" t="s">
        <v>201</v>
      </c>
      <c r="B165" s="405">
        <v>3.79</v>
      </c>
      <c r="C165" t="s">
        <v>796</v>
      </c>
    </row>
    <row r="166" spans="1:3">
      <c r="A166" t="s">
        <v>202</v>
      </c>
      <c r="B166" s="405">
        <v>1.0649999999999999</v>
      </c>
      <c r="C166" t="s">
        <v>796</v>
      </c>
    </row>
    <row r="167" spans="1:3">
      <c r="A167" t="s">
        <v>847</v>
      </c>
      <c r="B167" s="405">
        <v>1.5089999999999999</v>
      </c>
      <c r="C167" t="s">
        <v>796</v>
      </c>
    </row>
    <row r="168" spans="1:3">
      <c r="A168" t="s">
        <v>848</v>
      </c>
      <c r="B168" s="405">
        <v>107.7</v>
      </c>
      <c r="C168" t="s">
        <v>796</v>
      </c>
    </row>
    <row r="169" spans="1:3">
      <c r="A169" t="s">
        <v>849</v>
      </c>
      <c r="B169" s="405">
        <v>240.24</v>
      </c>
      <c r="C169" t="s">
        <v>796</v>
      </c>
    </row>
    <row r="170" spans="1:3">
      <c r="A170" t="s">
        <v>850</v>
      </c>
      <c r="B170" s="405">
        <v>26.597999999999999</v>
      </c>
      <c r="C170" t="s">
        <v>796</v>
      </c>
    </row>
    <row r="171" spans="1:3">
      <c r="A171" t="s">
        <v>203</v>
      </c>
      <c r="B171" s="405">
        <v>1.58</v>
      </c>
      <c r="C171" t="s">
        <v>796</v>
      </c>
    </row>
    <row r="172" spans="1:3">
      <c r="A172" t="s">
        <v>204</v>
      </c>
      <c r="B172" s="405">
        <v>1.58</v>
      </c>
      <c r="C172" t="s">
        <v>796</v>
      </c>
    </row>
    <row r="173" spans="1:3">
      <c r="A173" t="s">
        <v>851</v>
      </c>
      <c r="B173" s="405">
        <v>25.024999999999999</v>
      </c>
      <c r="C173" t="s">
        <v>796</v>
      </c>
    </row>
    <row r="174" spans="1:3">
      <c r="A174" t="s">
        <v>852</v>
      </c>
      <c r="B174" s="405">
        <v>5.0910000000000002</v>
      </c>
      <c r="C174" t="s">
        <v>796</v>
      </c>
    </row>
    <row r="175" spans="1:3">
      <c r="A175" t="s">
        <v>853</v>
      </c>
      <c r="B175" s="405">
        <v>6.3849999999999998</v>
      </c>
      <c r="C175" t="s">
        <v>796</v>
      </c>
    </row>
    <row r="176" spans="1:3">
      <c r="A176" t="s">
        <v>854</v>
      </c>
      <c r="B176" s="405">
        <v>6.3849999999999998</v>
      </c>
      <c r="C176" t="s">
        <v>796</v>
      </c>
    </row>
    <row r="177" spans="1:3">
      <c r="A177" t="s">
        <v>855</v>
      </c>
      <c r="B177" s="405">
        <v>0.872</v>
      </c>
      <c r="C177" t="s">
        <v>796</v>
      </c>
    </row>
    <row r="178" spans="1:3">
      <c r="A178" t="s">
        <v>856</v>
      </c>
      <c r="B178" s="405">
        <v>8.5999999999999993E-2</v>
      </c>
      <c r="C178" t="s">
        <v>796</v>
      </c>
    </row>
    <row r="179" spans="1:3">
      <c r="A179" t="s">
        <v>857</v>
      </c>
      <c r="B179" s="405">
        <v>0.1</v>
      </c>
      <c r="C179" t="s">
        <v>796</v>
      </c>
    </row>
    <row r="180" spans="1:3">
      <c r="A180" t="s">
        <v>858</v>
      </c>
      <c r="B180" s="405">
        <v>4.5620000000000003</v>
      </c>
      <c r="C180" t="s">
        <v>796</v>
      </c>
    </row>
    <row r="181" spans="1:3">
      <c r="A181" t="s">
        <v>859</v>
      </c>
      <c r="B181" s="405">
        <v>3.1960000000000002</v>
      </c>
      <c r="C181" t="s">
        <v>796</v>
      </c>
    </row>
    <row r="182" spans="1:3">
      <c r="A182" t="s">
        <v>860</v>
      </c>
      <c r="B182" s="405">
        <v>58.401000000000003</v>
      </c>
      <c r="C182" t="s">
        <v>796</v>
      </c>
    </row>
    <row r="183" spans="1:3">
      <c r="A183" t="s">
        <v>861</v>
      </c>
      <c r="B183" s="405">
        <v>20.106000000000002</v>
      </c>
      <c r="C183" t="s">
        <v>796</v>
      </c>
    </row>
    <row r="184" spans="1:3">
      <c r="A184" t="s">
        <v>862</v>
      </c>
      <c r="B184" s="405">
        <v>44.308999999999997</v>
      </c>
      <c r="C184" t="s">
        <v>796</v>
      </c>
    </row>
    <row r="185" spans="1:3">
      <c r="A185" t="s">
        <v>863</v>
      </c>
      <c r="B185" s="405">
        <v>17.167000000000002</v>
      </c>
      <c r="C185" t="s">
        <v>796</v>
      </c>
    </row>
    <row r="186" spans="1:3">
      <c r="A186" t="s">
        <v>864</v>
      </c>
      <c r="B186" s="405">
        <v>1.022</v>
      </c>
      <c r="C186" t="s">
        <v>796</v>
      </c>
    </row>
    <row r="187" spans="1:3">
      <c r="A187" t="s">
        <v>865</v>
      </c>
      <c r="B187" s="405">
        <v>20.356000000000002</v>
      </c>
      <c r="C187" t="s">
        <v>796</v>
      </c>
    </row>
    <row r="188" spans="1:3">
      <c r="A188" t="s">
        <v>866</v>
      </c>
      <c r="B188" s="405">
        <v>0.54300000000000004</v>
      </c>
      <c r="C188" t="s">
        <v>796</v>
      </c>
    </row>
    <row r="189" spans="1:3">
      <c r="A189" t="s">
        <v>867</v>
      </c>
      <c r="B189" s="405">
        <v>0.22900000000000001</v>
      </c>
      <c r="C189" t="s">
        <v>796</v>
      </c>
    </row>
    <row r="190" spans="1:3">
      <c r="A190" t="s">
        <v>868</v>
      </c>
      <c r="B190" s="405">
        <v>44.695</v>
      </c>
      <c r="C190" t="s">
        <v>796</v>
      </c>
    </row>
    <row r="191" spans="1:3">
      <c r="A191" t="s">
        <v>869</v>
      </c>
      <c r="B191" s="405">
        <v>2.839</v>
      </c>
      <c r="C191" t="s">
        <v>796</v>
      </c>
    </row>
    <row r="192" spans="1:3">
      <c r="A192" t="s">
        <v>870</v>
      </c>
      <c r="B192" s="405">
        <v>268.125</v>
      </c>
      <c r="C192" t="s">
        <v>796</v>
      </c>
    </row>
    <row r="193" spans="1:3">
      <c r="A193" t="s">
        <v>871</v>
      </c>
      <c r="B193" s="405">
        <v>25.024999999999999</v>
      </c>
      <c r="C193" t="s">
        <v>796</v>
      </c>
    </row>
    <row r="194" spans="1:3">
      <c r="A194" t="s">
        <v>872</v>
      </c>
      <c r="B194" s="405">
        <v>26.597999999999999</v>
      </c>
      <c r="C194" t="s">
        <v>796</v>
      </c>
    </row>
    <row r="195" spans="1:3">
      <c r="A195" t="s">
        <v>206</v>
      </c>
      <c r="B195" s="405">
        <v>3.3460000000000001</v>
      </c>
      <c r="C195" t="s">
        <v>796</v>
      </c>
    </row>
    <row r="196" spans="1:3">
      <c r="A196" t="s">
        <v>873</v>
      </c>
      <c r="B196" s="405">
        <v>0.96499999999999997</v>
      </c>
      <c r="C196" t="s">
        <v>796</v>
      </c>
    </row>
    <row r="197" spans="1:3">
      <c r="A197" t="s">
        <v>874</v>
      </c>
      <c r="B197" s="405">
        <v>0.96499999999999997</v>
      </c>
      <c r="C197" t="s">
        <v>796</v>
      </c>
    </row>
    <row r="198" spans="1:3">
      <c r="A198" t="s">
        <v>875</v>
      </c>
      <c r="B198" s="405">
        <v>240.24</v>
      </c>
      <c r="C198" t="s">
        <v>796</v>
      </c>
    </row>
    <row r="199" spans="1:3">
      <c r="A199" t="s">
        <v>850</v>
      </c>
      <c r="B199" s="405">
        <v>26.597999999999999</v>
      </c>
      <c r="C199" t="s">
        <v>796</v>
      </c>
    </row>
    <row r="200" spans="1:3">
      <c r="A200" t="s">
        <v>213</v>
      </c>
      <c r="B200" s="405">
        <v>78.650000000000006</v>
      </c>
      <c r="C200" t="s">
        <v>796</v>
      </c>
    </row>
    <row r="201" spans="1:3">
      <c r="A201" t="s">
        <v>214</v>
      </c>
      <c r="B201" s="405">
        <v>78.650000000000006</v>
      </c>
      <c r="C201" t="s">
        <v>796</v>
      </c>
    </row>
    <row r="202" spans="1:3">
      <c r="A202" t="s">
        <v>876</v>
      </c>
      <c r="B202" s="405">
        <v>12.992000000000001</v>
      </c>
      <c r="C202" t="s">
        <v>796</v>
      </c>
    </row>
    <row r="203" spans="1:3">
      <c r="A203" t="s">
        <v>877</v>
      </c>
      <c r="B203" s="405">
        <v>1.165</v>
      </c>
      <c r="C203" t="s">
        <v>796</v>
      </c>
    </row>
    <row r="204" spans="1:3">
      <c r="A204" t="s">
        <v>878</v>
      </c>
      <c r="B204" s="405">
        <v>1.165</v>
      </c>
      <c r="C204" t="s">
        <v>796</v>
      </c>
    </row>
    <row r="205" spans="1:3">
      <c r="A205" t="s">
        <v>879</v>
      </c>
      <c r="B205" s="405">
        <v>7.9000000000000001E-2</v>
      </c>
      <c r="C205" t="s">
        <v>796</v>
      </c>
    </row>
    <row r="206" spans="1:3">
      <c r="A206" t="s">
        <v>880</v>
      </c>
      <c r="B206" s="405">
        <v>13.113</v>
      </c>
      <c r="C206" t="s">
        <v>796</v>
      </c>
    </row>
    <row r="207" spans="1:3">
      <c r="A207" t="s">
        <v>881</v>
      </c>
      <c r="B207" s="405">
        <v>13.113</v>
      </c>
      <c r="C207" t="s">
        <v>796</v>
      </c>
    </row>
    <row r="208" spans="1:3">
      <c r="A208" t="s">
        <v>196</v>
      </c>
      <c r="B208" s="405">
        <v>2.5379999999999998</v>
      </c>
      <c r="C208" t="s">
        <v>796</v>
      </c>
    </row>
    <row r="209" spans="1:3">
      <c r="A209" t="s">
        <v>882</v>
      </c>
      <c r="B209" s="405">
        <v>0.38900000000000001</v>
      </c>
      <c r="C209" t="s">
        <v>796</v>
      </c>
    </row>
    <row r="210" spans="1:3">
      <c r="A210" t="s">
        <v>883</v>
      </c>
      <c r="B210" s="405">
        <v>2.71</v>
      </c>
      <c r="C210" t="s">
        <v>796</v>
      </c>
    </row>
    <row r="211" spans="1:3">
      <c r="A211" t="s">
        <v>884</v>
      </c>
      <c r="B211" s="405">
        <v>17.067</v>
      </c>
      <c r="C211" t="s">
        <v>796</v>
      </c>
    </row>
    <row r="212" spans="1:3">
      <c r="A212" t="s">
        <v>885</v>
      </c>
      <c r="B212" s="405">
        <v>15.816000000000001</v>
      </c>
      <c r="C212" t="s">
        <v>796</v>
      </c>
    </row>
    <row r="213" spans="1:3">
      <c r="A213" t="s">
        <v>886</v>
      </c>
      <c r="B213" s="405">
        <v>5.327</v>
      </c>
      <c r="C213" t="s">
        <v>796</v>
      </c>
    </row>
    <row r="214" spans="1:3">
      <c r="A214" t="s">
        <v>887</v>
      </c>
      <c r="B214" s="405">
        <v>2.3090000000000002</v>
      </c>
      <c r="C214" t="s">
        <v>796</v>
      </c>
    </row>
    <row r="215" spans="1:3">
      <c r="A215" t="s">
        <v>888</v>
      </c>
      <c r="B215" s="405">
        <v>2.3090000000000002</v>
      </c>
      <c r="C215" t="s">
        <v>796</v>
      </c>
    </row>
    <row r="216" spans="1:3">
      <c r="A216" t="s">
        <v>889</v>
      </c>
      <c r="B216" s="405">
        <v>0.29299999999999998</v>
      </c>
      <c r="C216" t="s">
        <v>796</v>
      </c>
    </row>
    <row r="217" spans="1:3">
      <c r="A217" t="s">
        <v>890</v>
      </c>
      <c r="B217" s="405">
        <v>2.7566700000000002</v>
      </c>
      <c r="C217" t="s">
        <v>891</v>
      </c>
    </row>
    <row r="218" spans="1:3">
      <c r="A218" t="s">
        <v>892</v>
      </c>
      <c r="B218" s="405">
        <v>30.8</v>
      </c>
      <c r="C218" t="s">
        <v>891</v>
      </c>
    </row>
    <row r="219" spans="1:3">
      <c r="A219" t="s">
        <v>893</v>
      </c>
      <c r="B219" s="405">
        <v>35.35</v>
      </c>
      <c r="C219" t="s">
        <v>891</v>
      </c>
    </row>
    <row r="220" spans="1:3">
      <c r="A220" t="s">
        <v>894</v>
      </c>
      <c r="B220" s="405">
        <v>3.9649999999999999</v>
      </c>
      <c r="C220" t="s">
        <v>891</v>
      </c>
    </row>
    <row r="221" spans="1:3">
      <c r="A221" t="s">
        <v>905</v>
      </c>
      <c r="B221" s="405">
        <v>14.85</v>
      </c>
      <c r="C221" t="s">
        <v>891</v>
      </c>
    </row>
    <row r="222" spans="1:3">
      <c r="A222" t="s">
        <v>920</v>
      </c>
      <c r="B222" s="405">
        <v>163.9</v>
      </c>
      <c r="C222" t="s">
        <v>891</v>
      </c>
    </row>
    <row r="223" spans="1:3">
      <c r="A223" t="s">
        <v>895</v>
      </c>
      <c r="B223" s="405">
        <v>5.7533333000000004</v>
      </c>
      <c r="C223" t="s">
        <v>891</v>
      </c>
    </row>
    <row r="224" spans="1:3">
      <c r="A224" t="s">
        <v>896</v>
      </c>
      <c r="B224" s="405">
        <v>4.056667</v>
      </c>
      <c r="C224" t="s">
        <v>891</v>
      </c>
    </row>
    <row r="225" spans="1:3">
      <c r="A225" t="s">
        <v>897</v>
      </c>
      <c r="B225" s="405">
        <v>3.55</v>
      </c>
      <c r="C225" t="s">
        <v>891</v>
      </c>
    </row>
    <row r="226" spans="1:3">
      <c r="A226" t="s">
        <v>898</v>
      </c>
      <c r="B226" s="405">
        <v>7.0411099999999998</v>
      </c>
      <c r="C226" t="s">
        <v>891</v>
      </c>
    </row>
    <row r="227" spans="1:3">
      <c r="A227" t="s">
        <v>899</v>
      </c>
      <c r="B227" s="405">
        <v>2.6166670000000001</v>
      </c>
      <c r="C227" t="s">
        <v>891</v>
      </c>
    </row>
    <row r="228" spans="1:3">
      <c r="A228" t="s">
        <v>900</v>
      </c>
      <c r="B228" s="405">
        <v>163.9</v>
      </c>
      <c r="C228" t="s">
        <v>891</v>
      </c>
    </row>
    <row r="229" spans="1:3">
      <c r="A229" t="s">
        <v>901</v>
      </c>
      <c r="B229" s="405">
        <v>4.5044399999999998</v>
      </c>
      <c r="C229" t="s">
        <v>891</v>
      </c>
    </row>
    <row r="230" spans="1:3">
      <c r="A230" t="s">
        <v>902</v>
      </c>
      <c r="B230" s="405">
        <v>26.57</v>
      </c>
      <c r="C230" t="s">
        <v>891</v>
      </c>
    </row>
    <row r="231" spans="1:3">
      <c r="A231" t="s">
        <v>903</v>
      </c>
      <c r="B231" s="405">
        <v>6.72</v>
      </c>
      <c r="C231" t="s">
        <v>891</v>
      </c>
    </row>
    <row r="232" spans="1:3">
      <c r="A232" t="s">
        <v>904</v>
      </c>
      <c r="B232" s="405">
        <v>3.08</v>
      </c>
      <c r="C232" t="s">
        <v>891</v>
      </c>
    </row>
    <row r="233" spans="1:3">
      <c r="A233" t="s">
        <v>906</v>
      </c>
      <c r="B233" s="405">
        <v>6.3983999999999996</v>
      </c>
      <c r="C233" t="s">
        <v>891</v>
      </c>
    </row>
    <row r="234" spans="1:3">
      <c r="A234" t="s">
        <v>907</v>
      </c>
      <c r="B234" s="405">
        <v>40.005000000000003</v>
      </c>
      <c r="C234" t="s">
        <v>891</v>
      </c>
    </row>
    <row r="235" spans="1:3">
      <c r="A235" t="s">
        <v>908</v>
      </c>
      <c r="B235" s="405">
        <v>8.3716667000000005</v>
      </c>
      <c r="C235" t="s">
        <v>891</v>
      </c>
    </row>
    <row r="236" spans="1:3">
      <c r="A236" t="s">
        <v>909</v>
      </c>
      <c r="B236" s="405">
        <v>3.8</v>
      </c>
      <c r="C236" t="s">
        <v>891</v>
      </c>
    </row>
    <row r="237" spans="1:3">
      <c r="A237" t="s">
        <v>910</v>
      </c>
      <c r="B237" s="405">
        <v>8.0670000000000002</v>
      </c>
      <c r="C237" t="s">
        <v>891</v>
      </c>
    </row>
    <row r="238" spans="1:3">
      <c r="A238" t="s">
        <v>911</v>
      </c>
      <c r="B238" s="405">
        <v>32.75</v>
      </c>
      <c r="C238" t="s">
        <v>891</v>
      </c>
    </row>
    <row r="239" spans="1:3">
      <c r="A239" t="s">
        <v>912</v>
      </c>
      <c r="B239" s="405">
        <v>7.4</v>
      </c>
      <c r="C239" t="s">
        <v>891</v>
      </c>
    </row>
    <row r="240" spans="1:3">
      <c r="A240" t="s">
        <v>913</v>
      </c>
      <c r="B240" s="405">
        <v>5.3849999999999998</v>
      </c>
      <c r="C240" t="s">
        <v>891</v>
      </c>
    </row>
    <row r="241" spans="1:3">
      <c r="A241" t="s">
        <v>914</v>
      </c>
      <c r="B241" s="405">
        <v>9.5533330000000003</v>
      </c>
      <c r="C241" t="s">
        <v>891</v>
      </c>
    </row>
    <row r="242" spans="1:3">
      <c r="A242" t="s">
        <v>191</v>
      </c>
      <c r="B242" s="405">
        <v>2.0489999999999999</v>
      </c>
      <c r="C242" t="s">
        <v>189</v>
      </c>
    </row>
    <row r="243" spans="1:3">
      <c r="A243" t="s">
        <v>923</v>
      </c>
      <c r="B243" s="405">
        <v>21.347999999999999</v>
      </c>
      <c r="C243" t="s">
        <v>189</v>
      </c>
    </row>
    <row r="244" spans="1:3">
      <c r="A244" t="s">
        <v>925</v>
      </c>
      <c r="B244" s="405">
        <v>1.228</v>
      </c>
      <c r="C244" t="s">
        <v>189</v>
      </c>
    </row>
    <row r="245" spans="1:3">
      <c r="A245" t="s">
        <v>926</v>
      </c>
      <c r="B245" s="405">
        <v>0.6</v>
      </c>
      <c r="C245" t="s">
        <v>189</v>
      </c>
    </row>
    <row r="246" spans="1:3">
      <c r="A246" t="s">
        <v>917</v>
      </c>
      <c r="B246" s="405">
        <v>9.36</v>
      </c>
      <c r="C246" t="s">
        <v>189</v>
      </c>
    </row>
    <row r="247" spans="1:3">
      <c r="A247" t="s">
        <v>918</v>
      </c>
      <c r="B247" s="405">
        <v>9.36</v>
      </c>
      <c r="C247" t="s">
        <v>189</v>
      </c>
    </row>
    <row r="248" spans="1:3">
      <c r="A248" t="s">
        <v>927</v>
      </c>
      <c r="B248" s="405">
        <v>8.9019999999999992</v>
      </c>
      <c r="C248" t="s">
        <v>796</v>
      </c>
    </row>
    <row r="249" spans="1:3">
      <c r="A249" t="s">
        <v>928</v>
      </c>
      <c r="B249" s="405">
        <v>17.875</v>
      </c>
      <c r="C249" t="s">
        <v>796</v>
      </c>
    </row>
    <row r="250" spans="1:3">
      <c r="A250" t="s">
        <v>929</v>
      </c>
      <c r="B250" s="405">
        <v>0.60799999999999998</v>
      </c>
      <c r="C250" t="s">
        <v>796</v>
      </c>
    </row>
    <row r="251" spans="1:3">
      <c r="A251" t="s">
        <v>930</v>
      </c>
      <c r="B251" s="405">
        <v>4.0250000000000004</v>
      </c>
      <c r="C251" t="s">
        <v>796</v>
      </c>
    </row>
    <row r="252" spans="1:3">
      <c r="A252" t="s">
        <v>195</v>
      </c>
      <c r="B252" s="405">
        <v>2.653</v>
      </c>
      <c r="C252" t="s">
        <v>796</v>
      </c>
    </row>
    <row r="253" spans="1:3">
      <c r="A253" t="s">
        <v>931</v>
      </c>
      <c r="B253" s="405">
        <v>0.85799999999999998</v>
      </c>
      <c r="C253" t="s">
        <v>796</v>
      </c>
    </row>
    <row r="254" spans="1:3">
      <c r="A254" t="s">
        <v>932</v>
      </c>
      <c r="B254" s="405">
        <v>0.71499999999999997</v>
      </c>
      <c r="C254" t="s">
        <v>796</v>
      </c>
    </row>
    <row r="255" spans="1:3">
      <c r="A255" t="s">
        <v>936</v>
      </c>
      <c r="B255" s="405">
        <v>0.55800000000000005</v>
      </c>
      <c r="C255" t="s">
        <v>796</v>
      </c>
    </row>
    <row r="256" spans="1:3">
      <c r="A256" t="s">
        <v>196</v>
      </c>
      <c r="B256" s="405">
        <v>2.5379999999999998</v>
      </c>
      <c r="C256" t="s">
        <v>796</v>
      </c>
    </row>
    <row r="257" spans="1:3">
      <c r="A257" t="s">
        <v>933</v>
      </c>
      <c r="B257" s="405">
        <v>140.13999999999999</v>
      </c>
      <c r="C257" t="s">
        <v>796</v>
      </c>
    </row>
    <row r="258" spans="1:3">
      <c r="A258" t="s">
        <v>197</v>
      </c>
      <c r="B258" s="405">
        <v>2.145</v>
      </c>
      <c r="C258" t="s">
        <v>796</v>
      </c>
    </row>
    <row r="259" spans="1:3">
      <c r="A259" t="s">
        <v>934</v>
      </c>
      <c r="B259" s="405">
        <v>12.813000000000001</v>
      </c>
      <c r="C259" t="s">
        <v>796</v>
      </c>
    </row>
    <row r="260" spans="1:3">
      <c r="A260" t="s">
        <v>935</v>
      </c>
      <c r="B260" s="405">
        <v>2.7530000000000001</v>
      </c>
      <c r="C260" t="s">
        <v>796</v>
      </c>
    </row>
    <row r="261" spans="1:3">
      <c r="A261" t="s">
        <v>198</v>
      </c>
      <c r="B261" s="405">
        <v>2.4670000000000001</v>
      </c>
      <c r="C261" t="s">
        <v>796</v>
      </c>
    </row>
    <row r="262" spans="1:3">
      <c r="A262" t="s">
        <v>937</v>
      </c>
      <c r="B262" s="405">
        <v>1.587</v>
      </c>
      <c r="C262" t="s">
        <v>796</v>
      </c>
    </row>
    <row r="263" spans="1:3">
      <c r="A263" t="s">
        <v>940</v>
      </c>
      <c r="B263" s="405">
        <v>0.186</v>
      </c>
      <c r="C263" t="s">
        <v>796</v>
      </c>
    </row>
    <row r="264" spans="1:3">
      <c r="A264" t="s">
        <v>1261</v>
      </c>
      <c r="B264" s="405">
        <v>0.129</v>
      </c>
      <c r="C264" t="s">
        <v>796</v>
      </c>
    </row>
    <row r="265" spans="1:3">
      <c r="A265" t="s">
        <v>938</v>
      </c>
      <c r="B265" s="405">
        <v>35.75</v>
      </c>
      <c r="C265" t="s">
        <v>796</v>
      </c>
    </row>
    <row r="266" spans="1:3">
      <c r="A266" t="s">
        <v>939</v>
      </c>
      <c r="B266" s="405">
        <v>2.4380000000000002</v>
      </c>
      <c r="C266" t="s">
        <v>796</v>
      </c>
    </row>
    <row r="267" spans="1:3">
      <c r="A267" t="s">
        <v>941</v>
      </c>
      <c r="B267" s="405">
        <v>4.4329999999999998</v>
      </c>
      <c r="C267" t="s">
        <v>796</v>
      </c>
    </row>
    <row r="268" spans="1:3">
      <c r="A268" t="s">
        <v>942</v>
      </c>
      <c r="B268" s="405">
        <v>1.494</v>
      </c>
      <c r="C268" t="s">
        <v>796</v>
      </c>
    </row>
    <row r="269" spans="1:3">
      <c r="A269" t="s">
        <v>943</v>
      </c>
      <c r="B269" s="405">
        <v>6.5990000000000002</v>
      </c>
      <c r="C269" t="s">
        <v>796</v>
      </c>
    </row>
    <row r="270" spans="1:3">
      <c r="A270" t="s">
        <v>944</v>
      </c>
      <c r="B270" s="405">
        <v>2.653</v>
      </c>
      <c r="C270" t="s">
        <v>796</v>
      </c>
    </row>
    <row r="271" spans="1:3">
      <c r="A271" t="s">
        <v>945</v>
      </c>
      <c r="B271" s="405">
        <v>84.37</v>
      </c>
      <c r="C271" t="s">
        <v>796</v>
      </c>
    </row>
    <row r="272" spans="1:3">
      <c r="A272" t="s">
        <v>946</v>
      </c>
      <c r="B272" s="405">
        <v>1.3080000000000001</v>
      </c>
      <c r="C272" t="s">
        <v>796</v>
      </c>
    </row>
    <row r="273" spans="1:3">
      <c r="A273" t="s">
        <v>947</v>
      </c>
      <c r="B273" s="405">
        <v>0.60799999999999998</v>
      </c>
      <c r="C273" t="s">
        <v>796</v>
      </c>
    </row>
    <row r="274" spans="1:3">
      <c r="A274" t="s">
        <v>948</v>
      </c>
      <c r="B274" s="405">
        <v>7.5220000000000002</v>
      </c>
      <c r="C274" t="s">
        <v>796</v>
      </c>
    </row>
    <row r="275" spans="1:3">
      <c r="A275" t="s">
        <v>949</v>
      </c>
      <c r="B275" s="405">
        <v>19.341000000000001</v>
      </c>
      <c r="C275" t="s">
        <v>796</v>
      </c>
    </row>
    <row r="276" spans="1:3">
      <c r="A276" t="s">
        <v>950</v>
      </c>
      <c r="B276" s="405">
        <v>5.3630000000000004</v>
      </c>
      <c r="C276" t="s">
        <v>796</v>
      </c>
    </row>
    <row r="277" spans="1:3">
      <c r="A277" t="s">
        <v>205</v>
      </c>
      <c r="B277" s="405">
        <v>1.8520000000000001</v>
      </c>
      <c r="C277" t="s">
        <v>796</v>
      </c>
    </row>
    <row r="278" spans="1:3">
      <c r="A278" t="s">
        <v>951</v>
      </c>
      <c r="B278" s="405">
        <v>1.2729999999999999</v>
      </c>
      <c r="C278" t="s">
        <v>796</v>
      </c>
    </row>
    <row r="279" spans="1:3">
      <c r="A279" t="s">
        <v>952</v>
      </c>
      <c r="B279" s="405">
        <v>1.6519999999999999</v>
      </c>
      <c r="C279" t="s">
        <v>796</v>
      </c>
    </row>
    <row r="280" spans="1:3">
      <c r="A280" t="s">
        <v>953</v>
      </c>
      <c r="B280" s="405">
        <v>4.8410000000000002</v>
      </c>
      <c r="C280" t="s">
        <v>796</v>
      </c>
    </row>
    <row r="281" spans="1:3">
      <c r="A281" t="s">
        <v>954</v>
      </c>
      <c r="B281" s="405">
        <v>6.9429999999999996</v>
      </c>
      <c r="C281" t="s">
        <v>796</v>
      </c>
    </row>
    <row r="282" spans="1:3">
      <c r="A282" t="s">
        <v>955</v>
      </c>
      <c r="B282" s="405">
        <v>5.7060000000000004</v>
      </c>
      <c r="C282" t="s">
        <v>796</v>
      </c>
    </row>
    <row r="283" spans="1:3">
      <c r="A283" t="s">
        <v>956</v>
      </c>
      <c r="B283" s="405">
        <v>26.812999999999999</v>
      </c>
      <c r="C283" t="s">
        <v>796</v>
      </c>
    </row>
    <row r="284" spans="1:3">
      <c r="A284" t="s">
        <v>957</v>
      </c>
      <c r="B284" s="405">
        <v>38.716999999999999</v>
      </c>
      <c r="C284" t="s">
        <v>796</v>
      </c>
    </row>
    <row r="285" spans="1:3">
      <c r="A285" t="s">
        <v>958</v>
      </c>
      <c r="B285" s="405">
        <v>153.72499999999999</v>
      </c>
      <c r="C285" t="s">
        <v>796</v>
      </c>
    </row>
    <row r="286" spans="1:3">
      <c r="A286" t="s">
        <v>959</v>
      </c>
      <c r="B286" s="405">
        <v>3.5390000000000001</v>
      </c>
      <c r="C286" t="s">
        <v>796</v>
      </c>
    </row>
    <row r="287" spans="1:3">
      <c r="A287" t="s">
        <v>207</v>
      </c>
      <c r="B287" s="405">
        <v>6.8280000000000003</v>
      </c>
      <c r="C287" t="s">
        <v>796</v>
      </c>
    </row>
    <row r="288" spans="1:3">
      <c r="A288" t="s">
        <v>208</v>
      </c>
      <c r="B288" s="405">
        <v>0.32200000000000001</v>
      </c>
      <c r="C288" t="s">
        <v>796</v>
      </c>
    </row>
    <row r="289" spans="1:3">
      <c r="A289" t="s">
        <v>209</v>
      </c>
      <c r="B289" s="405">
        <v>1.2869999999999999</v>
      </c>
      <c r="C289" t="s">
        <v>796</v>
      </c>
    </row>
    <row r="290" spans="1:3">
      <c r="A290" t="s">
        <v>210</v>
      </c>
      <c r="B290" s="405">
        <v>0.32200000000000001</v>
      </c>
      <c r="C290" t="s">
        <v>796</v>
      </c>
    </row>
    <row r="291" spans="1:3">
      <c r="A291" t="s">
        <v>211</v>
      </c>
      <c r="B291" s="405">
        <v>0.64400000000000002</v>
      </c>
      <c r="C291" t="s">
        <v>796</v>
      </c>
    </row>
    <row r="292" spans="1:3">
      <c r="A292" t="s">
        <v>212</v>
      </c>
      <c r="B292" s="405">
        <v>0.47199999999999998</v>
      </c>
      <c r="C292" t="s">
        <v>796</v>
      </c>
    </row>
    <row r="293" spans="1:3">
      <c r="A293" t="s">
        <v>960</v>
      </c>
      <c r="B293" s="405">
        <v>1.1870000000000001</v>
      </c>
      <c r="C293" t="s">
        <v>796</v>
      </c>
    </row>
    <row r="294" spans="1:3">
      <c r="A294" t="s">
        <v>961</v>
      </c>
      <c r="B294" s="405">
        <v>2.7810000000000001</v>
      </c>
      <c r="C294" t="s">
        <v>796</v>
      </c>
    </row>
    <row r="295" spans="1:3">
      <c r="A295" t="s">
        <v>962</v>
      </c>
      <c r="B295" s="405">
        <v>2.431</v>
      </c>
      <c r="C295" t="s">
        <v>796</v>
      </c>
    </row>
    <row r="296" spans="1:3">
      <c r="A296" t="s">
        <v>963</v>
      </c>
      <c r="B296" s="405">
        <v>2.5379999999999998</v>
      </c>
      <c r="C296" t="s">
        <v>796</v>
      </c>
    </row>
    <row r="297" spans="1:3">
      <c r="A297" t="s">
        <v>964</v>
      </c>
      <c r="B297" s="405">
        <v>3.117</v>
      </c>
      <c r="C297" t="s">
        <v>796</v>
      </c>
    </row>
    <row r="298" spans="1:3">
      <c r="A298" t="s">
        <v>215</v>
      </c>
      <c r="B298" s="405">
        <v>1.087</v>
      </c>
      <c r="C298" t="s">
        <v>796</v>
      </c>
    </row>
    <row r="299" spans="1:3">
      <c r="A299" t="s">
        <v>965</v>
      </c>
      <c r="B299" s="405">
        <v>5.3630000000000004</v>
      </c>
      <c r="C299" t="s">
        <v>796</v>
      </c>
    </row>
    <row r="300" spans="1:3">
      <c r="A300" t="s">
        <v>966</v>
      </c>
      <c r="B300" s="405">
        <v>1.1000000000000001</v>
      </c>
      <c r="C300" t="s">
        <v>796</v>
      </c>
    </row>
    <row r="301" spans="1:3">
      <c r="A301" t="s">
        <v>967</v>
      </c>
      <c r="B301" s="405">
        <v>43.543999999999997</v>
      </c>
      <c r="C301" t="s">
        <v>796</v>
      </c>
    </row>
    <row r="302" spans="1:3">
      <c r="A302" t="s">
        <v>968</v>
      </c>
      <c r="B302" s="405">
        <v>1.044</v>
      </c>
      <c r="C302" t="s">
        <v>796</v>
      </c>
    </row>
    <row r="303" spans="1:3">
      <c r="A303" t="s">
        <v>969</v>
      </c>
      <c r="B303" s="405">
        <v>22.687000000000001</v>
      </c>
      <c r="C303" t="s">
        <v>796</v>
      </c>
    </row>
    <row r="304" spans="1:3">
      <c r="A304" t="s">
        <v>970</v>
      </c>
      <c r="B304" s="405">
        <v>0.78700000000000003</v>
      </c>
      <c r="C304" t="s">
        <v>796</v>
      </c>
    </row>
    <row r="305" spans="1:3">
      <c r="A305" t="s">
        <v>971</v>
      </c>
      <c r="B305" s="405">
        <v>85.8</v>
      </c>
      <c r="C305" t="s">
        <v>796</v>
      </c>
    </row>
    <row r="306" spans="1:3">
      <c r="A306" t="s">
        <v>972</v>
      </c>
      <c r="B306" s="405">
        <v>0.35799999999999998</v>
      </c>
      <c r="C306" t="s">
        <v>796</v>
      </c>
    </row>
    <row r="307" spans="1:3">
      <c r="A307" t="s">
        <v>973</v>
      </c>
      <c r="B307" s="405">
        <v>1.43</v>
      </c>
      <c r="C307" t="s">
        <v>796</v>
      </c>
    </row>
    <row r="308" spans="1:3">
      <c r="A308" t="s">
        <v>974</v>
      </c>
      <c r="B308" s="405">
        <v>1.43</v>
      </c>
      <c r="C308" t="s">
        <v>796</v>
      </c>
    </row>
    <row r="309" spans="1:3">
      <c r="A309" t="s">
        <v>975</v>
      </c>
      <c r="B309" s="405">
        <v>15.4</v>
      </c>
      <c r="C309" t="s">
        <v>891</v>
      </c>
    </row>
    <row r="310" spans="1:3">
      <c r="A310" t="s">
        <v>976</v>
      </c>
      <c r="B310" s="405">
        <v>23.65</v>
      </c>
      <c r="C310" t="s">
        <v>891</v>
      </c>
    </row>
    <row r="311" spans="1:3">
      <c r="A311" t="s">
        <v>977</v>
      </c>
      <c r="B311" s="405">
        <v>17.323329999999999</v>
      </c>
      <c r="C311" t="s">
        <v>891</v>
      </c>
    </row>
    <row r="312" spans="1:3">
      <c r="A312" t="s">
        <v>978</v>
      </c>
      <c r="B312" s="405">
        <v>9</v>
      </c>
      <c r="C312" t="s">
        <v>891</v>
      </c>
    </row>
    <row r="313" spans="1:3">
      <c r="A313" t="s">
        <v>979</v>
      </c>
      <c r="B313" s="405">
        <v>6.1233300000000002</v>
      </c>
      <c r="C313" t="s">
        <v>891</v>
      </c>
    </row>
    <row r="314" spans="1:3">
      <c r="A314" t="s">
        <v>980</v>
      </c>
      <c r="B314" s="405">
        <v>9.3330000000000002</v>
      </c>
      <c r="C314" t="s">
        <v>891</v>
      </c>
    </row>
    <row r="315" spans="1:3">
      <c r="A315" t="s">
        <v>981</v>
      </c>
      <c r="B315" s="405">
        <v>202.69</v>
      </c>
      <c r="C315" t="s">
        <v>891</v>
      </c>
    </row>
    <row r="316" spans="1:3">
      <c r="A316" t="s">
        <v>982</v>
      </c>
      <c r="B316" s="405">
        <v>0.72499999999999998</v>
      </c>
      <c r="C316" t="s">
        <v>891</v>
      </c>
    </row>
    <row r="317" spans="1:3">
      <c r="A317" t="s">
        <v>983</v>
      </c>
      <c r="B317" s="405">
        <v>0.65</v>
      </c>
      <c r="C317" t="s">
        <v>891</v>
      </c>
    </row>
    <row r="318" spans="1:3">
      <c r="A318" t="s">
        <v>984</v>
      </c>
      <c r="B318" s="405">
        <v>1.925</v>
      </c>
      <c r="C318" t="s">
        <v>891</v>
      </c>
    </row>
    <row r="319" spans="1:3">
      <c r="A319" t="s">
        <v>985</v>
      </c>
      <c r="B319" s="405">
        <v>0.99</v>
      </c>
      <c r="C319" t="s">
        <v>891</v>
      </c>
    </row>
    <row r="320" spans="1:3">
      <c r="A320" t="s">
        <v>986</v>
      </c>
      <c r="B320" s="405">
        <v>6.5940000000000003</v>
      </c>
      <c r="C320" t="s">
        <v>891</v>
      </c>
    </row>
    <row r="321" spans="1:3">
      <c r="A321" t="s">
        <v>987</v>
      </c>
      <c r="B321" s="405">
        <v>1.9239999999999999</v>
      </c>
      <c r="C321" t="s">
        <v>891</v>
      </c>
    </row>
    <row r="322" spans="1:3">
      <c r="A322" t="s">
        <v>988</v>
      </c>
      <c r="B322" s="405">
        <v>1.732</v>
      </c>
      <c r="C322" t="s">
        <v>891</v>
      </c>
    </row>
    <row r="323" spans="1:3">
      <c r="A323" t="s">
        <v>989</v>
      </c>
      <c r="B323" s="405">
        <v>1.9239999999999999</v>
      </c>
      <c r="C323" t="s">
        <v>891</v>
      </c>
    </row>
    <row r="324" spans="1:3">
      <c r="A324" t="s">
        <v>990</v>
      </c>
      <c r="B324" s="405">
        <v>1.732</v>
      </c>
      <c r="C324" t="s">
        <v>891</v>
      </c>
    </row>
    <row r="325" spans="1:3">
      <c r="A325" t="s">
        <v>991</v>
      </c>
      <c r="B325" s="405">
        <v>107.25</v>
      </c>
      <c r="C325" t="s">
        <v>891</v>
      </c>
    </row>
    <row r="326" spans="1:3">
      <c r="A326" t="s">
        <v>992</v>
      </c>
      <c r="B326" s="405">
        <v>30.11</v>
      </c>
      <c r="C326" t="s">
        <v>891</v>
      </c>
    </row>
    <row r="327" spans="1:3">
      <c r="A327" t="s">
        <v>993</v>
      </c>
      <c r="B327" s="405">
        <v>30.11</v>
      </c>
      <c r="C327" t="s">
        <v>891</v>
      </c>
    </row>
    <row r="328" spans="1:3">
      <c r="A328" t="s">
        <v>994</v>
      </c>
      <c r="B328" s="405">
        <v>3.85</v>
      </c>
      <c r="C328" t="s">
        <v>891</v>
      </c>
    </row>
    <row r="329" spans="1:3">
      <c r="A329" t="s">
        <v>995</v>
      </c>
      <c r="B329" s="405">
        <v>47.3</v>
      </c>
      <c r="C329" t="s">
        <v>891</v>
      </c>
    </row>
    <row r="330" spans="1:3">
      <c r="A330" t="s">
        <v>996</v>
      </c>
      <c r="B330" s="405">
        <v>38.5</v>
      </c>
      <c r="C330" t="s">
        <v>891</v>
      </c>
    </row>
    <row r="331" spans="1:3">
      <c r="A331" t="s">
        <v>997</v>
      </c>
      <c r="B331" s="405">
        <v>2.3650000000000002</v>
      </c>
      <c r="C331" t="s">
        <v>891</v>
      </c>
    </row>
    <row r="332" spans="1:3">
      <c r="A332" t="s">
        <v>998</v>
      </c>
      <c r="B332" s="405">
        <v>12.1</v>
      </c>
      <c r="C332" t="s">
        <v>891</v>
      </c>
    </row>
    <row r="333" spans="1:3">
      <c r="A333" t="s">
        <v>999</v>
      </c>
      <c r="B333" s="405">
        <v>10.175000000000001</v>
      </c>
      <c r="C333" t="s">
        <v>891</v>
      </c>
    </row>
    <row r="334" spans="1:3">
      <c r="A334" t="s">
        <v>1000</v>
      </c>
      <c r="B334" s="405">
        <v>2.1724999999999999</v>
      </c>
      <c r="C334" t="s">
        <v>891</v>
      </c>
    </row>
    <row r="335" spans="1:3">
      <c r="A335" t="s">
        <v>1001</v>
      </c>
      <c r="B335" s="405">
        <v>121</v>
      </c>
      <c r="C335" t="s">
        <v>891</v>
      </c>
    </row>
    <row r="336" spans="1:3">
      <c r="A336" t="s">
        <v>1002</v>
      </c>
      <c r="B336" s="405">
        <v>88</v>
      </c>
      <c r="C336" t="s">
        <v>891</v>
      </c>
    </row>
    <row r="337" spans="1:3">
      <c r="A337" t="s">
        <v>1003</v>
      </c>
      <c r="B337" s="405">
        <v>1.925</v>
      </c>
      <c r="C337" t="s">
        <v>891</v>
      </c>
    </row>
    <row r="338" spans="1:3">
      <c r="A338" t="s">
        <v>1004</v>
      </c>
      <c r="B338" s="405">
        <v>0.99</v>
      </c>
      <c r="C338" t="s">
        <v>891</v>
      </c>
    </row>
    <row r="339" spans="1:3">
      <c r="A339" t="s">
        <v>1005</v>
      </c>
      <c r="B339" s="405">
        <v>165</v>
      </c>
      <c r="C339" t="s">
        <v>891</v>
      </c>
    </row>
    <row r="340" spans="1:3">
      <c r="A340" t="s">
        <v>1006</v>
      </c>
      <c r="B340" s="405">
        <v>8.25</v>
      </c>
      <c r="C340" t="s">
        <v>891</v>
      </c>
    </row>
    <row r="341" spans="1:3">
      <c r="A341" t="s">
        <v>1007</v>
      </c>
      <c r="B341" s="405">
        <v>126.1</v>
      </c>
      <c r="C341" t="s">
        <v>891</v>
      </c>
    </row>
    <row r="342" spans="1:3">
      <c r="A342" t="s">
        <v>1008</v>
      </c>
      <c r="B342" s="405">
        <v>65.650000000000006</v>
      </c>
      <c r="C342" t="s">
        <v>891</v>
      </c>
    </row>
    <row r="343" spans="1:3">
      <c r="A343" t="s">
        <v>1009</v>
      </c>
      <c r="B343" s="405">
        <v>2.4733329999999998</v>
      </c>
      <c r="C343" t="s">
        <v>891</v>
      </c>
    </row>
    <row r="344" spans="1:3">
      <c r="A344" t="s">
        <v>1010</v>
      </c>
      <c r="B344" s="405">
        <v>1.32</v>
      </c>
      <c r="C344" t="s">
        <v>891</v>
      </c>
    </row>
    <row r="345" spans="1:3">
      <c r="A345" t="s">
        <v>1011</v>
      </c>
      <c r="B345" s="405">
        <v>2.42</v>
      </c>
      <c r="C345" t="s">
        <v>891</v>
      </c>
    </row>
    <row r="346" spans="1:3">
      <c r="A346" t="s">
        <v>1012</v>
      </c>
      <c r="B346" s="405">
        <v>1.1000000000000001</v>
      </c>
      <c r="C346" t="s">
        <v>891</v>
      </c>
    </row>
    <row r="347" spans="1:3">
      <c r="A347" t="s">
        <v>1013</v>
      </c>
      <c r="B347" s="405">
        <v>15.4</v>
      </c>
      <c r="C347" t="s">
        <v>891</v>
      </c>
    </row>
    <row r="348" spans="1:3">
      <c r="A348" t="s">
        <v>1014</v>
      </c>
      <c r="B348" s="405">
        <v>7.7</v>
      </c>
      <c r="C348" t="s">
        <v>891</v>
      </c>
    </row>
    <row r="349" spans="1:3">
      <c r="A349" t="s">
        <v>1015</v>
      </c>
      <c r="B349" s="405">
        <v>1.1000000000000001</v>
      </c>
      <c r="C349" t="s">
        <v>891</v>
      </c>
    </row>
    <row r="350" spans="1:3">
      <c r="A350" t="s">
        <v>1016</v>
      </c>
      <c r="B350" s="405">
        <v>0.96236842</v>
      </c>
      <c r="C350" t="s">
        <v>891</v>
      </c>
    </row>
    <row r="351" spans="1:3">
      <c r="A351" t="s">
        <v>1017</v>
      </c>
      <c r="B351" s="405">
        <v>1.54</v>
      </c>
      <c r="C351" t="s">
        <v>891</v>
      </c>
    </row>
    <row r="352" spans="1:3">
      <c r="A352" t="s">
        <v>1018</v>
      </c>
      <c r="B352" s="405">
        <v>26.125</v>
      </c>
      <c r="C352" t="s">
        <v>891</v>
      </c>
    </row>
    <row r="353" spans="1:3">
      <c r="A353" t="s">
        <v>1019</v>
      </c>
      <c r="B353" s="405">
        <v>33</v>
      </c>
      <c r="C353" t="s">
        <v>891</v>
      </c>
    </row>
    <row r="354" spans="1:3">
      <c r="A354" t="s">
        <v>1020</v>
      </c>
      <c r="B354" s="405">
        <v>11.05</v>
      </c>
      <c r="C354" t="s">
        <v>891</v>
      </c>
    </row>
    <row r="355" spans="1:3">
      <c r="A355" t="s">
        <v>1021</v>
      </c>
      <c r="B355" s="405">
        <v>8.25</v>
      </c>
      <c r="C355" t="s">
        <v>891</v>
      </c>
    </row>
    <row r="356" spans="1:3">
      <c r="A356" t="s">
        <v>1022</v>
      </c>
      <c r="B356" s="405">
        <v>3.96</v>
      </c>
      <c r="C356" t="s">
        <v>891</v>
      </c>
    </row>
    <row r="357" spans="1:3">
      <c r="A357" t="s">
        <v>1023</v>
      </c>
      <c r="B357" s="405">
        <v>6.05</v>
      </c>
      <c r="C357" t="s">
        <v>891</v>
      </c>
    </row>
    <row r="358" spans="1:3">
      <c r="A358" t="s">
        <v>1024</v>
      </c>
      <c r="B358" s="405">
        <v>8.6898900000000001</v>
      </c>
      <c r="C358" t="s">
        <v>891</v>
      </c>
    </row>
    <row r="359" spans="1:3">
      <c r="A359" t="s">
        <v>1025</v>
      </c>
      <c r="B359" s="405">
        <v>2.41</v>
      </c>
      <c r="C359" t="s">
        <v>891</v>
      </c>
    </row>
    <row r="360" spans="1:3">
      <c r="A360" t="s">
        <v>1026</v>
      </c>
      <c r="B360" s="405">
        <v>4.625</v>
      </c>
      <c r="C360" t="s">
        <v>891</v>
      </c>
    </row>
    <row r="361" spans="1:3">
      <c r="A361" t="s">
        <v>1027</v>
      </c>
      <c r="B361" s="405">
        <v>41.6</v>
      </c>
      <c r="C361" t="s">
        <v>891</v>
      </c>
    </row>
    <row r="362" spans="1:3">
      <c r="A362" t="s">
        <v>1028</v>
      </c>
      <c r="B362" s="405">
        <v>1.353</v>
      </c>
      <c r="C362" t="s">
        <v>891</v>
      </c>
    </row>
    <row r="363" spans="1:3">
      <c r="A363" t="s">
        <v>1029</v>
      </c>
      <c r="B363" s="405">
        <v>2.3210000000000002</v>
      </c>
      <c r="C363" t="s">
        <v>891</v>
      </c>
    </row>
    <row r="364" spans="1:3">
      <c r="A364" t="s">
        <v>1030</v>
      </c>
      <c r="B364" s="405">
        <v>2.145</v>
      </c>
      <c r="C364" t="s">
        <v>891</v>
      </c>
    </row>
    <row r="365" spans="1:3">
      <c r="A365" t="s">
        <v>1031</v>
      </c>
      <c r="B365" s="405">
        <v>1.54</v>
      </c>
      <c r="C365" t="s">
        <v>891</v>
      </c>
    </row>
    <row r="366" spans="1:3">
      <c r="A366" t="s">
        <v>1032</v>
      </c>
      <c r="B366" s="405">
        <v>0.59</v>
      </c>
      <c r="C366" t="s">
        <v>891</v>
      </c>
    </row>
    <row r="367" spans="1:3">
      <c r="A367" t="s">
        <v>1033</v>
      </c>
      <c r="B367" s="405">
        <v>3.1241666600000002</v>
      </c>
      <c r="C367" t="s">
        <v>891</v>
      </c>
    </row>
    <row r="368" spans="1:3">
      <c r="A368" t="s">
        <v>1034</v>
      </c>
      <c r="B368" s="405">
        <v>6.5173809499999997</v>
      </c>
      <c r="C368" t="s">
        <v>891</v>
      </c>
    </row>
    <row r="369" spans="1:3">
      <c r="A369" t="s">
        <v>1035</v>
      </c>
      <c r="B369" s="405">
        <v>5.0049999999999999</v>
      </c>
      <c r="C369" t="s">
        <v>891</v>
      </c>
    </row>
    <row r="370" spans="1:3">
      <c r="A370" t="s">
        <v>1036</v>
      </c>
      <c r="B370" s="405">
        <v>15.675000000000001</v>
      </c>
      <c r="C370" t="s">
        <v>891</v>
      </c>
    </row>
    <row r="371" spans="1:3">
      <c r="A371" t="s">
        <v>1037</v>
      </c>
      <c r="B371" s="405">
        <v>15.675000000000001</v>
      </c>
      <c r="C371" t="s">
        <v>891</v>
      </c>
    </row>
    <row r="372" spans="1:3">
      <c r="A372" t="s">
        <v>1038</v>
      </c>
      <c r="B372" s="405">
        <v>211.75</v>
      </c>
      <c r="C372" t="s">
        <v>891</v>
      </c>
    </row>
    <row r="373" spans="1:3">
      <c r="A373" t="s">
        <v>1039</v>
      </c>
      <c r="B373" s="405">
        <v>165</v>
      </c>
      <c r="C373" t="s">
        <v>891</v>
      </c>
    </row>
    <row r="374" spans="1:3">
      <c r="A374" t="s">
        <v>1040</v>
      </c>
      <c r="B374" s="405">
        <v>1.7323333000000001</v>
      </c>
      <c r="C374" t="s">
        <v>891</v>
      </c>
    </row>
    <row r="375" spans="1:3">
      <c r="A375" t="s">
        <v>1041</v>
      </c>
      <c r="B375" s="405">
        <v>18.7</v>
      </c>
      <c r="C375" t="s">
        <v>891</v>
      </c>
    </row>
    <row r="376" spans="1:3">
      <c r="A376" t="s">
        <v>1042</v>
      </c>
      <c r="B376" s="405">
        <v>7.9733330000000002</v>
      </c>
      <c r="C376" t="s">
        <v>891</v>
      </c>
    </row>
    <row r="377" spans="1:3">
      <c r="A377" t="s">
        <v>1043</v>
      </c>
      <c r="B377" s="405">
        <v>19.8</v>
      </c>
      <c r="C377" t="s">
        <v>891</v>
      </c>
    </row>
    <row r="378" spans="1:3">
      <c r="A378" t="s">
        <v>1044</v>
      </c>
      <c r="B378" s="405">
        <v>12.1</v>
      </c>
      <c r="C378" t="s">
        <v>891</v>
      </c>
    </row>
    <row r="379" spans="1:3">
      <c r="A379" t="s">
        <v>1045</v>
      </c>
      <c r="B379" s="405">
        <v>12.65</v>
      </c>
      <c r="C379" t="s">
        <v>891</v>
      </c>
    </row>
    <row r="380" spans="1:3">
      <c r="A380" t="s">
        <v>1046</v>
      </c>
      <c r="B380" s="405">
        <v>18.149999999999999</v>
      </c>
      <c r="C380" t="s">
        <v>891</v>
      </c>
    </row>
    <row r="381" spans="1:3">
      <c r="A381" t="s">
        <v>1047</v>
      </c>
      <c r="B381" s="405">
        <v>35.435000000000002</v>
      </c>
      <c r="C381" t="s">
        <v>891</v>
      </c>
    </row>
    <row r="382" spans="1:3">
      <c r="A382" t="s">
        <v>1048</v>
      </c>
      <c r="B382" s="405">
        <v>2.42</v>
      </c>
      <c r="C382" t="s">
        <v>891</v>
      </c>
    </row>
    <row r="383" spans="1:3">
      <c r="A383" t="s">
        <v>1049</v>
      </c>
      <c r="B383" s="405">
        <v>1.1000000000000001</v>
      </c>
      <c r="C383" t="s">
        <v>891</v>
      </c>
    </row>
    <row r="384" spans="1:3">
      <c r="A384" t="s">
        <v>1050</v>
      </c>
      <c r="B384" s="405">
        <v>123.55</v>
      </c>
      <c r="C384" t="s">
        <v>891</v>
      </c>
    </row>
    <row r="385" spans="1:3">
      <c r="A385" t="s">
        <v>1051</v>
      </c>
      <c r="B385" s="405">
        <v>6.5449999999999999</v>
      </c>
      <c r="C385" t="s">
        <v>891</v>
      </c>
    </row>
    <row r="386" spans="1:3">
      <c r="A386" t="s">
        <v>1311</v>
      </c>
      <c r="B386" s="405">
        <f>471.5/2000</f>
        <v>0.23574999999999999</v>
      </c>
      <c r="C386" t="s">
        <v>1309</v>
      </c>
    </row>
    <row r="387" spans="1:3">
      <c r="A387" t="s">
        <v>1312</v>
      </c>
      <c r="B387" s="405">
        <f>385.72/2000</f>
        <v>0.19286</v>
      </c>
      <c r="C387" t="s">
        <v>1309</v>
      </c>
    </row>
    <row r="388" spans="1:3">
      <c r="A388" t="s">
        <v>1364</v>
      </c>
      <c r="B388" s="405">
        <v>7.7430000000000003</v>
      </c>
      <c r="C388" t="s">
        <v>796</v>
      </c>
    </row>
    <row r="389" spans="1:3">
      <c r="A389" t="s">
        <v>1365</v>
      </c>
      <c r="B389" s="405">
        <v>0.35</v>
      </c>
      <c r="C389" t="s">
        <v>796</v>
      </c>
    </row>
    <row r="390" spans="1:3">
      <c r="A390" t="s">
        <v>1366</v>
      </c>
      <c r="B390" s="405">
        <v>0.50800000000000001</v>
      </c>
      <c r="C390" t="s">
        <v>796</v>
      </c>
    </row>
    <row r="391" spans="1:3">
      <c r="A391" t="s">
        <v>1367</v>
      </c>
      <c r="B391" s="405">
        <v>13.592000000000001</v>
      </c>
      <c r="C391" t="s">
        <v>796</v>
      </c>
    </row>
    <row r="392" spans="1:3">
      <c r="A392" t="s">
        <v>1368</v>
      </c>
      <c r="B392" s="405">
        <v>3.0819999999999999</v>
      </c>
      <c r="C392" t="s">
        <v>796</v>
      </c>
    </row>
    <row r="393" spans="1:3">
      <c r="A393" s="394"/>
      <c r="B393" s="394"/>
      <c r="C393" s="394"/>
    </row>
    <row r="394" spans="1:3">
      <c r="A394" s="394"/>
      <c r="B394" s="394"/>
      <c r="C394" s="394"/>
    </row>
    <row r="395" spans="1:3">
      <c r="A395" s="394"/>
      <c r="B395" s="394"/>
      <c r="C395" s="394"/>
    </row>
    <row r="396" spans="1:3">
      <c r="A396" s="394"/>
      <c r="B396" s="394"/>
      <c r="C396" s="394"/>
    </row>
    <row r="397" spans="1:3">
      <c r="A397" s="394"/>
      <c r="B397" s="394"/>
      <c r="C397" s="394"/>
    </row>
    <row r="398" spans="1:3">
      <c r="A398" s="394"/>
      <c r="B398" s="394"/>
      <c r="C398" s="394"/>
    </row>
    <row r="399" spans="1:3">
      <c r="A399" s="394"/>
      <c r="B399" s="394"/>
      <c r="C399" s="394"/>
    </row>
    <row r="400" spans="1:3">
      <c r="A400" s="394"/>
      <c r="B400" s="394"/>
      <c r="C400" s="394"/>
    </row>
    <row r="401" spans="1:3">
      <c r="A401" s="394"/>
      <c r="B401" s="394"/>
      <c r="C401" s="394"/>
    </row>
    <row r="402" spans="1:3">
      <c r="A402" s="394"/>
      <c r="B402" s="394"/>
      <c r="C402" s="394"/>
    </row>
    <row r="403" spans="1:3">
      <c r="A403" s="394"/>
      <c r="B403" s="394"/>
      <c r="C403" s="394"/>
    </row>
    <row r="404" spans="1:3">
      <c r="A404" s="394"/>
      <c r="B404" s="394"/>
      <c r="C404" s="394"/>
    </row>
    <row r="405" spans="1:3">
      <c r="A405" s="394"/>
      <c r="B405" s="394"/>
      <c r="C405" s="394"/>
    </row>
    <row r="406" spans="1:3">
      <c r="A406" s="394"/>
      <c r="B406" s="394"/>
      <c r="C406" s="394"/>
    </row>
    <row r="407" spans="1:3">
      <c r="A407" s="394"/>
      <c r="B407" s="394"/>
      <c r="C407" s="394"/>
    </row>
    <row r="408" spans="1:3">
      <c r="A408" s="394"/>
      <c r="B408" s="394"/>
      <c r="C408" s="394"/>
    </row>
    <row r="409" spans="1:3">
      <c r="A409" s="394"/>
      <c r="B409" s="394"/>
      <c r="C409" s="394"/>
    </row>
    <row r="410" spans="1:3">
      <c r="A410" s="394"/>
      <c r="B410" s="394"/>
      <c r="C410" s="394"/>
    </row>
    <row r="411" spans="1:3">
      <c r="A411" s="394"/>
      <c r="B411" s="394"/>
      <c r="C411" s="394"/>
    </row>
    <row r="412" spans="1:3">
      <c r="A412" s="394"/>
      <c r="B412" s="394"/>
      <c r="C412" s="394"/>
    </row>
    <row r="413" spans="1:3">
      <c r="A413" s="394"/>
      <c r="B413" s="394"/>
      <c r="C413" s="394"/>
    </row>
    <row r="414" spans="1:3">
      <c r="A414" s="394"/>
      <c r="B414" s="394"/>
      <c r="C414" s="394"/>
    </row>
    <row r="415" spans="1:3">
      <c r="A415" s="394"/>
      <c r="B415" s="394"/>
      <c r="C415" s="394"/>
    </row>
    <row r="416" spans="1:3">
      <c r="A416" s="394"/>
      <c r="B416" s="394"/>
      <c r="C416" s="394"/>
    </row>
    <row r="417" spans="1:3">
      <c r="A417" s="394"/>
      <c r="B417" s="394"/>
      <c r="C417" s="394"/>
    </row>
    <row r="418" spans="1:3">
      <c r="A418" s="394"/>
      <c r="B418" s="394"/>
      <c r="C418" s="394"/>
    </row>
    <row r="419" spans="1:3">
      <c r="A419" s="394"/>
      <c r="B419" s="394"/>
      <c r="C419" s="394"/>
    </row>
    <row r="420" spans="1:3">
      <c r="A420" s="394"/>
      <c r="B420" s="394"/>
      <c r="C420" s="394"/>
    </row>
    <row r="421" spans="1:3">
      <c r="A421" s="394"/>
      <c r="B421" s="394"/>
      <c r="C421" s="394"/>
    </row>
    <row r="422" spans="1:3">
      <c r="A422" s="394"/>
      <c r="B422" s="394"/>
      <c r="C422" s="394"/>
    </row>
    <row r="423" spans="1:3">
      <c r="A423" s="394"/>
      <c r="B423" s="394"/>
      <c r="C423" s="394"/>
    </row>
    <row r="424" spans="1:3">
      <c r="A424" s="394"/>
      <c r="B424" s="394"/>
      <c r="C424" s="394"/>
    </row>
    <row r="425" spans="1:3">
      <c r="A425" s="394"/>
      <c r="B425" s="394"/>
      <c r="C425" s="394"/>
    </row>
    <row r="426" spans="1:3">
      <c r="A426" s="394"/>
      <c r="B426" s="394"/>
      <c r="C426" s="394"/>
    </row>
    <row r="427" spans="1:3">
      <c r="A427" s="394"/>
      <c r="B427" s="394"/>
      <c r="C427" s="394"/>
    </row>
    <row r="428" spans="1:3">
      <c r="A428" s="394"/>
      <c r="B428" s="394"/>
      <c r="C428" s="394"/>
    </row>
    <row r="429" spans="1:3">
      <c r="A429" s="394"/>
      <c r="B429" s="394"/>
      <c r="C429" s="394"/>
    </row>
    <row r="430" spans="1:3">
      <c r="A430" s="394"/>
      <c r="B430" s="394"/>
      <c r="C430" s="394"/>
    </row>
    <row r="431" spans="1:3">
      <c r="A431" s="394"/>
      <c r="B431" s="394"/>
      <c r="C431" s="394"/>
    </row>
    <row r="432" spans="1:3">
      <c r="A432" s="394"/>
      <c r="B432" s="394"/>
      <c r="C432" s="394"/>
    </row>
    <row r="433" spans="1:3">
      <c r="A433" s="394"/>
      <c r="B433" s="394"/>
      <c r="C433" s="394"/>
    </row>
    <row r="434" spans="1:3">
      <c r="A434" s="394"/>
      <c r="B434" s="394"/>
      <c r="C434" s="394"/>
    </row>
    <row r="435" spans="1:3">
      <c r="A435" s="394"/>
      <c r="B435" s="394"/>
      <c r="C435" s="394"/>
    </row>
    <row r="436" spans="1:3">
      <c r="A436" s="394"/>
      <c r="B436" s="394"/>
      <c r="C436" s="394"/>
    </row>
    <row r="437" spans="1:3">
      <c r="A437" s="394"/>
      <c r="B437" s="394"/>
      <c r="C437" s="394"/>
    </row>
    <row r="438" spans="1:3">
      <c r="A438" s="394"/>
      <c r="B438" s="394"/>
      <c r="C438" s="394"/>
    </row>
    <row r="439" spans="1:3">
      <c r="A439" s="394"/>
      <c r="B439" s="394"/>
      <c r="C439" s="394"/>
    </row>
    <row r="440" spans="1:3">
      <c r="A440" s="394"/>
      <c r="B440" s="394"/>
      <c r="C440" s="394"/>
    </row>
    <row r="441" spans="1:3">
      <c r="A441" s="394"/>
      <c r="B441" s="394"/>
      <c r="C441" s="394"/>
    </row>
    <row r="442" spans="1:3">
      <c r="A442" s="394"/>
      <c r="B442" s="394"/>
      <c r="C442" s="394"/>
    </row>
    <row r="443" spans="1:3">
      <c r="A443" s="394"/>
      <c r="B443" s="394"/>
      <c r="C443" s="394"/>
    </row>
    <row r="444" spans="1:3">
      <c r="A444" s="394"/>
      <c r="B444" s="394"/>
      <c r="C444" s="394"/>
    </row>
    <row r="445" spans="1:3">
      <c r="A445" s="394"/>
      <c r="B445" s="394"/>
      <c r="C445" s="394"/>
    </row>
    <row r="446" spans="1:3">
      <c r="A446" s="394"/>
      <c r="B446" s="394"/>
      <c r="C446" s="394"/>
    </row>
    <row r="447" spans="1:3">
      <c r="A447" s="394"/>
      <c r="B447" s="394"/>
      <c r="C447" s="394"/>
    </row>
    <row r="448" spans="1:3">
      <c r="A448" s="394"/>
      <c r="B448" s="394"/>
      <c r="C448" s="394"/>
    </row>
    <row r="449" spans="1:3">
      <c r="A449" s="394"/>
      <c r="B449" s="394"/>
      <c r="C449" s="394"/>
    </row>
    <row r="450" spans="1:3">
      <c r="A450" s="394"/>
      <c r="B450" s="394"/>
      <c r="C450" s="394"/>
    </row>
    <row r="451" spans="1:3">
      <c r="A451" s="394"/>
      <c r="B451" s="394"/>
      <c r="C451" s="394"/>
    </row>
    <row r="452" spans="1:3">
      <c r="A452" s="394"/>
      <c r="B452" s="394"/>
      <c r="C452" s="394"/>
    </row>
    <row r="453" spans="1:3">
      <c r="A453" s="394"/>
      <c r="B453" s="394"/>
      <c r="C453" s="394"/>
    </row>
    <row r="454" spans="1:3">
      <c r="A454" s="394"/>
      <c r="B454" s="394"/>
      <c r="C454" s="394"/>
    </row>
    <row r="455" spans="1:3">
      <c r="A455" s="394"/>
      <c r="B455" s="394"/>
      <c r="C455" s="394"/>
    </row>
    <row r="456" spans="1:3">
      <c r="A456" s="394"/>
      <c r="B456" s="394"/>
      <c r="C456" s="394"/>
    </row>
    <row r="457" spans="1:3">
      <c r="A457" s="394"/>
      <c r="B457" s="394"/>
      <c r="C457" s="394"/>
    </row>
    <row r="458" spans="1:3">
      <c r="A458" s="394"/>
      <c r="B458" s="394"/>
      <c r="C458" s="394"/>
    </row>
    <row r="459" spans="1:3">
      <c r="A459" s="394"/>
      <c r="B459" s="394"/>
      <c r="C459" s="394"/>
    </row>
    <row r="460" spans="1:3">
      <c r="A460" s="394"/>
      <c r="B460" s="394"/>
      <c r="C460" s="394"/>
    </row>
    <row r="461" spans="1:3">
      <c r="A461" s="394"/>
      <c r="B461" s="394"/>
      <c r="C461" s="394"/>
    </row>
    <row r="462" spans="1:3">
      <c r="A462" s="394"/>
      <c r="B462" s="394"/>
      <c r="C462" s="394"/>
    </row>
    <row r="463" spans="1:3">
      <c r="A463" s="394"/>
      <c r="B463" s="394"/>
      <c r="C463" s="394"/>
    </row>
    <row r="464" spans="1:3">
      <c r="A464" s="394"/>
      <c r="B464" s="394"/>
      <c r="C464" s="394"/>
    </row>
    <row r="465" spans="1:3">
      <c r="A465" s="394"/>
      <c r="B465" s="394"/>
      <c r="C465" s="394"/>
    </row>
    <row r="466" spans="1:3">
      <c r="A466" s="394"/>
      <c r="B466" s="394"/>
      <c r="C466" s="394"/>
    </row>
    <row r="467" spans="1:3">
      <c r="A467" s="394"/>
      <c r="B467" s="394"/>
      <c r="C467" s="394"/>
    </row>
    <row r="468" spans="1:3">
      <c r="A468" s="394"/>
      <c r="B468" s="394"/>
      <c r="C468" s="394"/>
    </row>
    <row r="469" spans="1:3">
      <c r="A469" s="394"/>
      <c r="B469" s="394"/>
      <c r="C469" s="394"/>
    </row>
    <row r="470" spans="1:3">
      <c r="A470" s="394"/>
      <c r="B470" s="394"/>
      <c r="C470" s="394"/>
    </row>
    <row r="471" spans="1:3">
      <c r="A471" s="394"/>
      <c r="B471" s="394"/>
      <c r="C471" s="394"/>
    </row>
    <row r="472" spans="1:3">
      <c r="A472" s="394"/>
      <c r="B472" s="394"/>
      <c r="C472" s="394"/>
    </row>
    <row r="473" spans="1:3">
      <c r="A473" s="394"/>
      <c r="B473" s="394"/>
      <c r="C473" s="394"/>
    </row>
    <row r="474" spans="1:3">
      <c r="A474" s="394"/>
      <c r="B474" s="394"/>
      <c r="C474" s="394"/>
    </row>
    <row r="475" spans="1:3">
      <c r="A475" s="394"/>
      <c r="B475" s="394"/>
      <c r="C475" s="394"/>
    </row>
    <row r="476" spans="1:3">
      <c r="A476" s="394"/>
      <c r="B476" s="394"/>
      <c r="C476" s="394"/>
    </row>
    <row r="477" spans="1:3">
      <c r="A477" s="394"/>
      <c r="B477" s="394"/>
      <c r="C477" s="394"/>
    </row>
    <row r="478" spans="1:3">
      <c r="A478" s="394"/>
      <c r="B478" s="394"/>
      <c r="C478" s="394"/>
    </row>
    <row r="479" spans="1:3">
      <c r="A479" s="394"/>
      <c r="B479" s="394"/>
      <c r="C479" s="394"/>
    </row>
    <row r="480" spans="1:3">
      <c r="A480" s="394"/>
      <c r="B480" s="394"/>
      <c r="C480" s="394"/>
    </row>
    <row r="481" spans="1:3">
      <c r="A481" s="394"/>
      <c r="B481" s="394"/>
      <c r="C481" s="394"/>
    </row>
    <row r="482" spans="1:3">
      <c r="A482" s="394"/>
      <c r="B482" s="394"/>
      <c r="C482" s="394"/>
    </row>
    <row r="483" spans="1:3">
      <c r="A483" s="394"/>
      <c r="B483" s="394"/>
      <c r="C483" s="394"/>
    </row>
    <row r="484" spans="1:3">
      <c r="A484" s="394"/>
      <c r="B484" s="394"/>
      <c r="C484" s="394"/>
    </row>
    <row r="485" spans="1:3">
      <c r="A485" s="394"/>
      <c r="B485" s="394"/>
      <c r="C485" s="394"/>
    </row>
    <row r="486" spans="1:3">
      <c r="A486" s="394"/>
      <c r="B486" s="394"/>
      <c r="C486" s="394"/>
    </row>
    <row r="487" spans="1:3">
      <c r="A487" s="394"/>
      <c r="B487" s="394"/>
      <c r="C487" s="394"/>
    </row>
    <row r="488" spans="1:3">
      <c r="A488" s="394"/>
      <c r="B488" s="394"/>
      <c r="C488" s="394"/>
    </row>
    <row r="489" spans="1:3">
      <c r="A489" s="394"/>
      <c r="B489" s="394"/>
      <c r="C489" s="394"/>
    </row>
    <row r="490" spans="1:3">
      <c r="A490" s="394"/>
      <c r="B490" s="394"/>
      <c r="C490" s="394"/>
    </row>
    <row r="491" spans="1:3">
      <c r="A491" s="394"/>
      <c r="B491" s="394"/>
      <c r="C491" s="394"/>
    </row>
    <row r="492" spans="1:3">
      <c r="A492" s="394"/>
      <c r="B492" s="394"/>
      <c r="C492" s="394"/>
    </row>
    <row r="493" spans="1:3">
      <c r="A493" s="394"/>
      <c r="B493" s="394"/>
      <c r="C493" s="394"/>
    </row>
    <row r="494" spans="1:3">
      <c r="A494" s="394"/>
      <c r="B494" s="394"/>
      <c r="C494" s="394"/>
    </row>
    <row r="495" spans="1:3">
      <c r="A495" s="394"/>
      <c r="B495" s="394"/>
      <c r="C495" s="394"/>
    </row>
    <row r="496" spans="1:3">
      <c r="A496" s="394"/>
      <c r="B496" s="394"/>
      <c r="C496" s="394"/>
    </row>
    <row r="497" spans="1:3">
      <c r="A497" s="394"/>
      <c r="B497" s="394"/>
      <c r="C497" s="394"/>
    </row>
  </sheetData>
  <sheetProtection algorithmName="SHA-512" hashValue="ycLodM0zoPWxw62O7jswN/ZSyAo7h+97gWH4ToUVS0JbZRXxweVJueHrXl7JsQ2P1gaRWtEtj8MY+TmdvtU7eA==" saltValue="8fjXkrPSLphJVBN5fE2n+g==" spinCount="100000" sheet="1" objects="1" scenarios="1" selectLockedCells="1"/>
  <mergeCells count="1">
    <mergeCell ref="A2:W2"/>
  </mergeCells>
  <phoneticPr fontId="4" type="noConversion"/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F1B31-FBBD-40B9-A6FD-7449C5D8FAD7}">
  <sheetPr codeName="Folha9">
    <tabColor theme="0"/>
  </sheetPr>
  <dimension ref="A1:AM38"/>
  <sheetViews>
    <sheetView showGridLines="0" topLeftCell="B1" zoomScale="90" zoomScaleNormal="90" workbookViewId="0">
      <selection activeCell="H33" sqref="H33"/>
    </sheetView>
  </sheetViews>
  <sheetFormatPr defaultRowHeight="15"/>
  <cols>
    <col min="1" max="1" width="38.140625" customWidth="1"/>
    <col min="2" max="2" width="95.7109375" customWidth="1"/>
    <col min="3" max="3" width="13.42578125" customWidth="1"/>
    <col min="4" max="4" width="14.5703125" customWidth="1"/>
    <col min="5" max="5" width="16.42578125" customWidth="1"/>
    <col min="6" max="6" width="16.5703125" customWidth="1"/>
    <col min="7" max="7" width="24.28515625" customWidth="1"/>
    <col min="8" max="8" width="28" customWidth="1"/>
    <col min="9" max="9" width="55.42578125" customWidth="1"/>
    <col min="26" max="26" width="51.5703125" customWidth="1"/>
    <col min="27" max="27" width="51.140625" customWidth="1"/>
    <col min="28" max="28" width="50" customWidth="1"/>
    <col min="29" max="29" width="51.5703125" customWidth="1"/>
    <col min="30" max="30" width="49.5703125" customWidth="1"/>
    <col min="31" max="31" width="50.85546875" customWidth="1"/>
    <col min="32" max="32" width="51.28515625" customWidth="1"/>
    <col min="33" max="33" width="50" customWidth="1"/>
    <col min="34" max="34" width="51" customWidth="1"/>
  </cols>
  <sheetData>
    <row r="1" spans="2:39">
      <c r="F1" t="s">
        <v>1053</v>
      </c>
      <c r="G1" t="s">
        <v>1564</v>
      </c>
      <c r="Z1" s="190" t="str" cm="1">
        <f t="array" ref="Z1:Z35">_xlfn._xlws.FILTER(B3:B37, ISNUMBER(FIND(Orçamento_Final!C21,B3:B37)), "Sem resultados")</f>
        <v>CONCHA 1263 NIQ ESCOVADO</v>
      </c>
      <c r="AA1" s="184" t="str" cm="1">
        <f t="array" ref="AA1:AA35">_xlfn._xlws.FILTER(B3:B37, ISNUMBER(FIND(Orçamento_Final!C22,B3:B37)), "Sem resultados")</f>
        <v>CONCHA 1263 NIQ ESCOVADO</v>
      </c>
      <c r="AB1" s="184" t="str" cm="1">
        <f t="array" ref="AB1:AB35">_xlfn._xlws.FILTER(B3:B37, ISNUMBER(FIND(Orçamento_Final!C23,B3:B37)), "Sem resultados")</f>
        <v>CONCHA 1263 NIQ ESCOVADO</v>
      </c>
      <c r="AC1" s="184" t="str" cm="1">
        <f t="array" ref="AC1:AC35">_xlfn._xlws.FILTER(B3:B37, ISNUMBER(FIND(Orçamento_Final!C24,B3:B37)), "Sem resultados")</f>
        <v>CONCHA 1263 NIQ ESCOVADO</v>
      </c>
      <c r="AD1" s="184" t="str" cm="1">
        <f t="array" ref="AD1:AD35">_xlfn._xlws.FILTER(B3:B37, ISNUMBER(FIND(Orçamento_Final!C25,B3:B37)), "Sem resultados")</f>
        <v>CONCHA 1263 NIQ ESCOVADO</v>
      </c>
      <c r="AE1" s="184" t="str" cm="1">
        <f t="array" ref="AE1:AE35">_xlfn._xlws.FILTER(B3:B37, ISNUMBER(FIND(Orçamento_Final!C26,B3:B37)), "Sem resultados")</f>
        <v>CONCHA 1263 NIQ ESCOVADO</v>
      </c>
      <c r="AF1" s="184" t="str" cm="1">
        <f t="array" ref="AF1:AF35">_xlfn._xlws.FILTER(B3:B37, ISNUMBER(FIND(Orçamento_Final!C27,B3:B37)), "Sem resultados")</f>
        <v>CONCHA 1263 NIQ ESCOVADO</v>
      </c>
      <c r="AG1" s="184" t="str" cm="1">
        <f t="array" ref="AG1:AG35">_xlfn._xlws.FILTER(B3:B37, ISNUMBER(FIND(Orçamento_Final!C28,B3:B37)), "Sem resultados")</f>
        <v>CONCHA 1263 NIQ ESCOVADO</v>
      </c>
      <c r="AH1" s="184" t="str" cm="1">
        <f t="array" ref="AH1:AH35">_xlfn._xlws.FILTER(B3:B37, ISNUMBER(FIND(Orçamento_Final!C29,B3:B37)), "Sem resultados")</f>
        <v>CONCHA 1263 NIQ ESCOVADO</v>
      </c>
      <c r="AI1" s="184" t="str" cm="1">
        <f t="array" ref="AI1:AI35">_xlfn._xlws.FILTER(B3:B37, ISNUMBER(FIND(Orçamento_Final!C30,B3:B37)), "Sem resultados")</f>
        <v>CONCHA 1263 NIQ ESCOVADO</v>
      </c>
      <c r="AJ1" s="184"/>
      <c r="AK1" s="184"/>
      <c r="AL1" s="184"/>
      <c r="AM1" s="52"/>
    </row>
    <row r="2" spans="2:39">
      <c r="B2" s="124" t="s">
        <v>1057</v>
      </c>
      <c r="C2" s="124" t="s">
        <v>916</v>
      </c>
      <c r="D2" s="124" t="s">
        <v>1052</v>
      </c>
      <c r="E2" s="124" t="s">
        <v>1054</v>
      </c>
      <c r="F2" s="131" t="s">
        <v>1055</v>
      </c>
      <c r="G2" s="132" t="s">
        <v>1056</v>
      </c>
      <c r="H2" s="132" t="s">
        <v>1056</v>
      </c>
      <c r="I2" s="134" t="s">
        <v>1058</v>
      </c>
      <c r="Z2" s="49" t="str">
        <v>ASA COR INOX H16*192</v>
      </c>
      <c r="AA2" t="str">
        <v>ASA COR INOX H16*192</v>
      </c>
      <c r="AB2" t="str">
        <v>ASA COR INOX H16*192</v>
      </c>
      <c r="AC2" t="str">
        <v>ASA COR INOX H16*192</v>
      </c>
      <c r="AD2" t="str">
        <v>ASA COR INOX H16*192</v>
      </c>
      <c r="AE2" t="str">
        <v>ASA COR INOX H16*192</v>
      </c>
      <c r="AF2" t="str">
        <v>ASA COR INOX H16*192</v>
      </c>
      <c r="AG2" t="str">
        <v>ASA COR INOX H16*192</v>
      </c>
      <c r="AH2" t="str">
        <v>ASA COR INOX H16*192</v>
      </c>
      <c r="AI2" t="str">
        <v>ASA COR INOX H16*192</v>
      </c>
      <c r="AM2" s="53"/>
    </row>
    <row r="3" spans="2:39">
      <c r="B3" s="8" t="s">
        <v>847</v>
      </c>
      <c r="C3" s="20" t="str">
        <f>VLOOKUP(B3,'Base_Fornecedores Extras'!$A$5:$C$385,3,FALSE)</f>
        <v>LAGE &amp; SA</v>
      </c>
      <c r="D3" s="20">
        <v>1.5089999999999999</v>
      </c>
      <c r="E3" s="19">
        <f>IF(ISNUMBER(FIND("CONCHA", B3)), 5, IF(ISNUMBER(FIND("POMO", B3)), 10, 7)) * (23/60)</f>
        <v>1.9166666666666667</v>
      </c>
      <c r="F3" s="25">
        <f>E3+D3</f>
        <v>3.4256666666666664</v>
      </c>
      <c r="G3" s="20">
        <f t="shared" ref="G3:G37" si="0">F3*1.8</f>
        <v>6.1661999999999999</v>
      </c>
      <c r="H3" s="26">
        <f t="shared" ref="H3:H37" si="1">ROUNDUP(G3,0)</f>
        <v>7</v>
      </c>
      <c r="I3" s="6" t="s">
        <v>1059</v>
      </c>
      <c r="Z3" s="49" t="str">
        <v>CONCHA IN.16.225 X 070 INOX</v>
      </c>
      <c r="AA3" t="str">
        <v>CONCHA IN.16.225 X 070 INOX</v>
      </c>
      <c r="AB3" t="str">
        <v>CONCHA IN.16.225 X 070 INOX</v>
      </c>
      <c r="AC3" t="str">
        <v>CONCHA IN.16.225 X 070 INOX</v>
      </c>
      <c r="AD3" t="str">
        <v>CONCHA IN.16.225 X 070 INOX</v>
      </c>
      <c r="AE3" t="str">
        <v>CONCHA IN.16.225 X 070 INOX</v>
      </c>
      <c r="AF3" t="str">
        <v>CONCHA IN.16.225 X 070 INOX</v>
      </c>
      <c r="AG3" t="str">
        <v>CONCHA IN.16.225 X 070 INOX</v>
      </c>
      <c r="AH3" t="str">
        <v>CONCHA IN.16.225 X 070 INOX</v>
      </c>
      <c r="AI3" t="str">
        <v>CONCHA IN.16.225 X 070 INOX</v>
      </c>
      <c r="AM3" s="53"/>
    </row>
    <row r="4" spans="2:39">
      <c r="B4" s="8" t="s">
        <v>756</v>
      </c>
      <c r="C4" s="20" t="str">
        <f>VLOOKUP(B4,'Base_Fornecedores Extras'!$A$5:$C$385,3,FALSE)</f>
        <v>CASFERIM</v>
      </c>
      <c r="D4" s="20">
        <v>1.956</v>
      </c>
      <c r="E4" s="19">
        <f t="shared" ref="E4:E37" si="2">IF(ISNUMBER(FIND("CONCHA", B4)), 5, IF(ISNUMBER(FIND("POMO", B4)), 10, 7)) * (23/60)</f>
        <v>2.6833333333333336</v>
      </c>
      <c r="F4" s="25">
        <f t="shared" ref="F4:F37" si="3">E4+D4</f>
        <v>4.6393333333333331</v>
      </c>
      <c r="G4" s="20">
        <f t="shared" si="0"/>
        <v>8.3507999999999996</v>
      </c>
      <c r="H4" s="26">
        <f t="shared" si="1"/>
        <v>9</v>
      </c>
      <c r="I4" s="6" t="s">
        <v>1062</v>
      </c>
      <c r="Z4" s="49" t="str">
        <v>DUKE - POMO COBRE ANTIGUO D31MM</v>
      </c>
      <c r="AA4" t="str">
        <v>DUKE - POMO COBRE ANTIGUO D31MM</v>
      </c>
      <c r="AB4" t="str">
        <v>DUKE - POMO COBRE ANTIGUO D31MM</v>
      </c>
      <c r="AC4" t="str">
        <v>DUKE - POMO COBRE ANTIGUO D31MM</v>
      </c>
      <c r="AD4" t="str">
        <v>DUKE - POMO COBRE ANTIGUO D31MM</v>
      </c>
      <c r="AE4" t="str">
        <v>DUKE - POMO COBRE ANTIGUO D31MM</v>
      </c>
      <c r="AF4" t="str">
        <v>DUKE - POMO COBRE ANTIGUO D31MM</v>
      </c>
      <c r="AG4" t="str">
        <v>DUKE - POMO COBRE ANTIGUO D31MM</v>
      </c>
      <c r="AH4" t="str">
        <v>DUKE - POMO COBRE ANTIGUO D31MM</v>
      </c>
      <c r="AI4" t="str">
        <v>DUKE - POMO COBRE ANTIGUO D31MM</v>
      </c>
      <c r="AM4" s="53"/>
    </row>
    <row r="5" spans="2:39">
      <c r="B5" s="8" t="s">
        <v>842</v>
      </c>
      <c r="C5" s="20" t="str">
        <f>VLOOKUP(B5,'Base_Fornecedores Extras'!$A$5:$C$385,3,FALSE)</f>
        <v>LAGE &amp; SA</v>
      </c>
      <c r="D5" s="20">
        <v>2.0089999999999999</v>
      </c>
      <c r="E5" s="19">
        <f t="shared" si="2"/>
        <v>1.9166666666666667</v>
      </c>
      <c r="F5" s="25">
        <f t="shared" si="3"/>
        <v>3.9256666666666664</v>
      </c>
      <c r="G5" s="20">
        <f t="shared" si="0"/>
        <v>7.0661999999999994</v>
      </c>
      <c r="H5" s="26">
        <f t="shared" si="1"/>
        <v>8</v>
      </c>
      <c r="I5" s="6" t="s">
        <v>1063</v>
      </c>
      <c r="Z5" s="49" t="str">
        <v>ASA 4777*160 NIQ.ESCOVADO G27</v>
      </c>
      <c r="AA5" t="str">
        <v>ASA 4777*160 NIQ.ESCOVADO G27</v>
      </c>
      <c r="AB5" t="str">
        <v>ASA 4777*160 NIQ.ESCOVADO G27</v>
      </c>
      <c r="AC5" t="str">
        <v>ASA 4777*160 NIQ.ESCOVADO G27</v>
      </c>
      <c r="AD5" t="str">
        <v>ASA 4777*160 NIQ.ESCOVADO G27</v>
      </c>
      <c r="AE5" t="str">
        <v>ASA 4777*160 NIQ.ESCOVADO G27</v>
      </c>
      <c r="AF5" t="str">
        <v>ASA 4777*160 NIQ.ESCOVADO G27</v>
      </c>
      <c r="AG5" t="str">
        <v>ASA 4777*160 NIQ.ESCOVADO G27</v>
      </c>
      <c r="AH5" t="str">
        <v>ASA 4777*160 NIQ.ESCOVADO G27</v>
      </c>
      <c r="AI5" t="str">
        <v>ASA 4777*160 NIQ.ESCOVADO G27</v>
      </c>
      <c r="AM5" s="53"/>
    </row>
    <row r="6" spans="2:39">
      <c r="B6" s="8" t="s">
        <v>899</v>
      </c>
      <c r="C6" s="20" t="str">
        <f>VLOOKUP(B6,'Base_Fornecedores Extras'!$A$5:$C$385,3,FALSE)</f>
        <v>FIWARE</v>
      </c>
      <c r="D6" s="20">
        <v>2.6166670000000001</v>
      </c>
      <c r="E6" s="19">
        <f t="shared" si="2"/>
        <v>3.8333333333333335</v>
      </c>
      <c r="F6" s="25">
        <f t="shared" si="3"/>
        <v>6.4500003333333336</v>
      </c>
      <c r="G6" s="20">
        <f t="shared" si="0"/>
        <v>11.610000600000001</v>
      </c>
      <c r="H6" s="26">
        <f t="shared" si="1"/>
        <v>12</v>
      </c>
      <c r="I6" s="6" t="s">
        <v>1064</v>
      </c>
      <c r="Z6" s="49" t="str">
        <v>ONA - TIR PERFIL BLANCO MATE CC128L200MM</v>
      </c>
      <c r="AA6" t="str">
        <v>ONA - TIR PERFIL BLANCO MATE CC128L200MM</v>
      </c>
      <c r="AB6" t="str">
        <v>ONA - TIR PERFIL BLANCO MATE CC128L200MM</v>
      </c>
      <c r="AC6" t="str">
        <v>ONA - TIR PERFIL BLANCO MATE CC128L200MM</v>
      </c>
      <c r="AD6" t="str">
        <v>ONA - TIR PERFIL BLANCO MATE CC128L200MM</v>
      </c>
      <c r="AE6" t="str">
        <v>ONA - TIR PERFIL BLANCO MATE CC128L200MM</v>
      </c>
      <c r="AF6" t="str">
        <v>ONA - TIR PERFIL BLANCO MATE CC128L200MM</v>
      </c>
      <c r="AG6" t="str">
        <v>ONA - TIR PERFIL BLANCO MATE CC128L200MM</v>
      </c>
      <c r="AH6" t="str">
        <v>ONA - TIR PERFIL BLANCO MATE CC128L200MM</v>
      </c>
      <c r="AI6" t="str">
        <v>ONA - TIR PERFIL BLANCO MATE CC128L200MM</v>
      </c>
      <c r="AM6" s="53"/>
    </row>
    <row r="7" spans="2:39">
      <c r="B7" s="8" t="s">
        <v>764</v>
      </c>
      <c r="C7" s="20" t="str">
        <f>VLOOKUP(B7,'Base_Fornecedores Extras'!$A$5:$C$385,3,FALSE)</f>
        <v>CASFERIM</v>
      </c>
      <c r="D7" s="20">
        <v>2.6419999999999999</v>
      </c>
      <c r="E7" s="19">
        <f t="shared" si="2"/>
        <v>2.6833333333333336</v>
      </c>
      <c r="F7" s="25">
        <f t="shared" si="3"/>
        <v>5.325333333333333</v>
      </c>
      <c r="G7" s="20">
        <f t="shared" si="0"/>
        <v>9.5855999999999995</v>
      </c>
      <c r="H7" s="26">
        <f t="shared" si="1"/>
        <v>10</v>
      </c>
      <c r="I7" s="6" t="s">
        <v>1065</v>
      </c>
      <c r="Z7" s="49" t="str">
        <v>PUXADOR - BB 160MM</v>
      </c>
      <c r="AA7" t="str">
        <v>PUXADOR - BB 160MM</v>
      </c>
      <c r="AB7" t="str">
        <v>PUXADOR - BB 160MM</v>
      </c>
      <c r="AC7" t="str">
        <v>PUXADOR - BB 160MM</v>
      </c>
      <c r="AD7" t="str">
        <v>PUXADOR - BB 160MM</v>
      </c>
      <c r="AE7" t="str">
        <v>PUXADOR - BB 160MM</v>
      </c>
      <c r="AF7" t="str">
        <v>PUXADOR - BB 160MM</v>
      </c>
      <c r="AG7" t="str">
        <v>PUXADOR - BB 160MM</v>
      </c>
      <c r="AH7" t="str">
        <v>PUXADOR - BB 160MM</v>
      </c>
      <c r="AI7" t="str">
        <v>PUXADOR - BB 160MM</v>
      </c>
      <c r="AM7" s="53"/>
    </row>
    <row r="8" spans="2:39">
      <c r="B8" s="8" t="s">
        <v>890</v>
      </c>
      <c r="C8" s="20" t="str">
        <f>VLOOKUP(B8,'Base_Fornecedores Extras'!$A$5:$C$385,3,FALSE)</f>
        <v>FIWARE</v>
      </c>
      <c r="D8" s="20">
        <v>1.76</v>
      </c>
      <c r="E8" s="19">
        <f t="shared" si="2"/>
        <v>2.6833333333333336</v>
      </c>
      <c r="F8" s="25">
        <f t="shared" si="3"/>
        <v>4.4433333333333334</v>
      </c>
      <c r="G8" s="20">
        <f t="shared" si="0"/>
        <v>7.9980000000000002</v>
      </c>
      <c r="H8" s="26">
        <f t="shared" si="1"/>
        <v>8</v>
      </c>
      <c r="I8" s="6" t="s">
        <v>1066</v>
      </c>
      <c r="Z8" s="49" t="str">
        <v>SENSE MINI - TIRADOR LATON OSCURO CC160L167MM</v>
      </c>
      <c r="AA8" t="str">
        <v>SENSE MINI - TIRADOR LATON OSCURO CC160L167MM</v>
      </c>
      <c r="AB8" t="str">
        <v>SENSE MINI - TIRADOR LATON OSCURO CC160L167MM</v>
      </c>
      <c r="AC8" t="str">
        <v>SENSE MINI - TIRADOR LATON OSCURO CC160L167MM</v>
      </c>
      <c r="AD8" t="str">
        <v>SENSE MINI - TIRADOR LATON OSCURO CC160L167MM</v>
      </c>
      <c r="AE8" t="str">
        <v>SENSE MINI - TIRADOR LATON OSCURO CC160L167MM</v>
      </c>
      <c r="AF8" t="str">
        <v>SENSE MINI - TIRADOR LATON OSCURO CC160L167MM</v>
      </c>
      <c r="AG8" t="str">
        <v>SENSE MINI - TIRADOR LATON OSCURO CC160L167MM</v>
      </c>
      <c r="AH8" t="str">
        <v>SENSE MINI - TIRADOR LATON OSCURO CC160L167MM</v>
      </c>
      <c r="AI8" t="str">
        <v>SENSE MINI - TIRADOR LATON OSCURO CC160L167MM</v>
      </c>
      <c r="AM8" s="53"/>
    </row>
    <row r="9" spans="2:39">
      <c r="B9" s="8" t="s">
        <v>713</v>
      </c>
      <c r="C9" s="20" t="str">
        <f>VLOOKUP(B9,'Base_Fornecedores Extras'!$A$5:$C$385,3,FALSE)</f>
        <v>CASFERIM</v>
      </c>
      <c r="D9" s="20">
        <v>2.99</v>
      </c>
      <c r="E9" s="19">
        <f t="shared" si="2"/>
        <v>2.6833333333333336</v>
      </c>
      <c r="F9" s="25">
        <f t="shared" si="3"/>
        <v>5.6733333333333338</v>
      </c>
      <c r="G9" s="20">
        <f t="shared" si="0"/>
        <v>10.212000000000002</v>
      </c>
      <c r="H9" s="26">
        <f t="shared" si="1"/>
        <v>11</v>
      </c>
      <c r="I9" s="6" t="s">
        <v>1067</v>
      </c>
      <c r="Z9" s="49" t="str">
        <v>CONCHA IN.16.310 X 030 INOX</v>
      </c>
      <c r="AA9" t="str">
        <v>CONCHA IN.16.310 X 030 INOX</v>
      </c>
      <c r="AB9" t="str">
        <v>CONCHA IN.16.310 X 030 INOX</v>
      </c>
      <c r="AC9" t="str">
        <v>CONCHA IN.16.310 X 030 INOX</v>
      </c>
      <c r="AD9" t="str">
        <v>CONCHA IN.16.310 X 030 INOX</v>
      </c>
      <c r="AE9" t="str">
        <v>CONCHA IN.16.310 X 030 INOX</v>
      </c>
      <c r="AF9" t="str">
        <v>CONCHA IN.16.310 X 030 INOX</v>
      </c>
      <c r="AG9" t="str">
        <v>CONCHA IN.16.310 X 030 INOX</v>
      </c>
      <c r="AH9" t="str">
        <v>CONCHA IN.16.310 X 030 INOX</v>
      </c>
      <c r="AI9" t="str">
        <v>CONCHA IN.16.310 X 030 INOX</v>
      </c>
      <c r="AM9" s="53"/>
    </row>
    <row r="10" spans="2:39">
      <c r="B10" s="8" t="s">
        <v>904</v>
      </c>
      <c r="C10" s="20" t="str">
        <f>VLOOKUP(B10,'Base_Fornecedores Extras'!$A$5:$C$385,3,FALSE)</f>
        <v>FIWARE</v>
      </c>
      <c r="D10" s="20">
        <v>4.0599999999999996</v>
      </c>
      <c r="E10" s="19">
        <f t="shared" si="2"/>
        <v>2.6833333333333336</v>
      </c>
      <c r="F10" s="25">
        <f t="shared" si="3"/>
        <v>6.7433333333333332</v>
      </c>
      <c r="G10" s="20">
        <f t="shared" si="0"/>
        <v>12.138</v>
      </c>
      <c r="H10" s="26">
        <f t="shared" si="1"/>
        <v>13</v>
      </c>
      <c r="I10" s="6" t="s">
        <v>1068</v>
      </c>
      <c r="Z10" s="49" t="str">
        <v>ARPA - POMO T NEGRO CEPILLADO 70X37MM</v>
      </c>
      <c r="AA10" t="str">
        <v>ARPA - POMO T NEGRO CEPILLADO 70X37MM</v>
      </c>
      <c r="AB10" t="str">
        <v>ARPA - POMO T NEGRO CEPILLADO 70X37MM</v>
      </c>
      <c r="AC10" t="str">
        <v>ARPA - POMO T NEGRO CEPILLADO 70X37MM</v>
      </c>
      <c r="AD10" t="str">
        <v>ARPA - POMO T NEGRO CEPILLADO 70X37MM</v>
      </c>
      <c r="AE10" t="str">
        <v>ARPA - POMO T NEGRO CEPILLADO 70X37MM</v>
      </c>
      <c r="AF10" t="str">
        <v>ARPA - POMO T NEGRO CEPILLADO 70X37MM</v>
      </c>
      <c r="AG10" t="str">
        <v>ARPA - POMO T NEGRO CEPILLADO 70X37MM</v>
      </c>
      <c r="AH10" t="str">
        <v>ARPA - POMO T NEGRO CEPILLADO 70X37MM</v>
      </c>
      <c r="AI10" t="str">
        <v>ARPA - POMO T NEGRO CEPILLADO 70X37MM</v>
      </c>
      <c r="AM10" s="53"/>
    </row>
    <row r="11" spans="2:39">
      <c r="B11" s="8" t="s">
        <v>859</v>
      </c>
      <c r="C11" s="20" t="str">
        <f>VLOOKUP(B11,'Base_Fornecedores Extras'!$A$5:$C$385,3,FALSE)</f>
        <v>LAGE &amp; SA</v>
      </c>
      <c r="D11" s="20">
        <v>3.1960000000000002</v>
      </c>
      <c r="E11" s="19">
        <f t="shared" si="2"/>
        <v>1.9166666666666667</v>
      </c>
      <c r="F11" s="25">
        <f t="shared" si="3"/>
        <v>5.1126666666666667</v>
      </c>
      <c r="G11" s="20">
        <f t="shared" si="0"/>
        <v>9.2027999999999999</v>
      </c>
      <c r="H11" s="26">
        <f t="shared" si="1"/>
        <v>10</v>
      </c>
      <c r="I11" s="6" t="s">
        <v>1069</v>
      </c>
      <c r="Z11" s="49" t="str">
        <v>DISC - POMO MADERA ROBLE CRUDO D38MM</v>
      </c>
      <c r="AA11" t="str">
        <v>DISC - POMO MADERA ROBLE CRUDO D38MM</v>
      </c>
      <c r="AB11" t="str">
        <v>DISC - POMO MADERA ROBLE CRUDO D38MM</v>
      </c>
      <c r="AC11" t="str">
        <v>DISC - POMO MADERA ROBLE CRUDO D38MM</v>
      </c>
      <c r="AD11" t="str">
        <v>DISC - POMO MADERA ROBLE CRUDO D38MM</v>
      </c>
      <c r="AE11" t="str">
        <v>DISC - POMO MADERA ROBLE CRUDO D38MM</v>
      </c>
      <c r="AF11" t="str">
        <v>DISC - POMO MADERA ROBLE CRUDO D38MM</v>
      </c>
      <c r="AG11" t="str">
        <v>DISC - POMO MADERA ROBLE CRUDO D38MM</v>
      </c>
      <c r="AH11" t="str">
        <v>DISC - POMO MADERA ROBLE CRUDO D38MM</v>
      </c>
      <c r="AI11" t="str">
        <v>DISC - POMO MADERA ROBLE CRUDO D38MM</v>
      </c>
      <c r="AM11" s="53"/>
    </row>
    <row r="12" spans="2:39">
      <c r="B12" s="8" t="s">
        <v>897</v>
      </c>
      <c r="C12" s="20" t="str">
        <f>VLOOKUP(B12,'Base_Fornecedores Extras'!$A$5:$C$385,3,FALSE)</f>
        <v>FIWARE</v>
      </c>
      <c r="D12" s="20">
        <v>3.55</v>
      </c>
      <c r="E12" s="19">
        <f t="shared" si="2"/>
        <v>3.8333333333333335</v>
      </c>
      <c r="F12" s="25">
        <f t="shared" si="3"/>
        <v>7.3833333333333329</v>
      </c>
      <c r="G12" s="20">
        <f t="shared" si="0"/>
        <v>13.29</v>
      </c>
      <c r="H12" s="26">
        <f t="shared" si="1"/>
        <v>14</v>
      </c>
      <c r="I12" s="6" t="s">
        <v>1070</v>
      </c>
      <c r="Z12" s="49" t="str">
        <v>CUBIC - TIRADOR CORREDORA BLANCO MATE 160MM</v>
      </c>
      <c r="AA12" t="str">
        <v>CUBIC - TIRADOR CORREDORA BLANCO MATE 160MM</v>
      </c>
      <c r="AB12" t="str">
        <v>CUBIC - TIRADOR CORREDORA BLANCO MATE 160MM</v>
      </c>
      <c r="AC12" t="str">
        <v>CUBIC - TIRADOR CORREDORA BLANCO MATE 160MM</v>
      </c>
      <c r="AD12" t="str">
        <v>CUBIC - TIRADOR CORREDORA BLANCO MATE 160MM</v>
      </c>
      <c r="AE12" t="str">
        <v>CUBIC - TIRADOR CORREDORA BLANCO MATE 160MM</v>
      </c>
      <c r="AF12" t="str">
        <v>CUBIC - TIRADOR CORREDORA BLANCO MATE 160MM</v>
      </c>
      <c r="AG12" t="str">
        <v>CUBIC - TIRADOR CORREDORA BLANCO MATE 160MM</v>
      </c>
      <c r="AH12" t="str">
        <v>CUBIC - TIRADOR CORREDORA BLANCO MATE 160MM</v>
      </c>
      <c r="AI12" t="str">
        <v>CUBIC - TIRADOR CORREDORA BLANCO MATE 160MM</v>
      </c>
      <c r="AM12" s="53"/>
    </row>
    <row r="13" spans="2:39">
      <c r="B13" s="8" t="s">
        <v>909</v>
      </c>
      <c r="C13" s="20" t="str">
        <f>VLOOKUP(B13,'Base_Fornecedores Extras'!$A$5:$C$385,3,FALSE)</f>
        <v>FIWARE</v>
      </c>
      <c r="D13" s="20">
        <v>3.92</v>
      </c>
      <c r="E13" s="19">
        <f t="shared" si="2"/>
        <v>3.8333333333333335</v>
      </c>
      <c r="F13" s="25">
        <f t="shared" si="3"/>
        <v>7.7533333333333339</v>
      </c>
      <c r="G13" s="20">
        <f t="shared" si="0"/>
        <v>13.956000000000001</v>
      </c>
      <c r="H13" s="26">
        <f t="shared" si="1"/>
        <v>14</v>
      </c>
      <c r="I13" s="6" t="s">
        <v>1071</v>
      </c>
      <c r="Z13" s="49" t="str">
        <v>SENSE MINI - TIRADOR LATON OSCURO CC96L103MM</v>
      </c>
      <c r="AA13" t="str">
        <v>SENSE MINI - TIRADOR LATON OSCURO CC96L103MM</v>
      </c>
      <c r="AB13" t="str">
        <v>SENSE MINI - TIRADOR LATON OSCURO CC96L103MM</v>
      </c>
      <c r="AC13" t="str">
        <v>SENSE MINI - TIRADOR LATON OSCURO CC96L103MM</v>
      </c>
      <c r="AD13" t="str">
        <v>SENSE MINI - TIRADOR LATON OSCURO CC96L103MM</v>
      </c>
      <c r="AE13" t="str">
        <v>SENSE MINI - TIRADOR LATON OSCURO CC96L103MM</v>
      </c>
      <c r="AF13" t="str">
        <v>SENSE MINI - TIRADOR LATON OSCURO CC96L103MM</v>
      </c>
      <c r="AG13" t="str">
        <v>SENSE MINI - TIRADOR LATON OSCURO CC96L103MM</v>
      </c>
      <c r="AH13" t="str">
        <v>SENSE MINI - TIRADOR LATON OSCURO CC96L103MM</v>
      </c>
      <c r="AI13" t="str">
        <v>SENSE MINI - TIRADOR LATON OSCURO CC96L103MM</v>
      </c>
      <c r="AM13" s="53"/>
    </row>
    <row r="14" spans="2:39">
      <c r="B14" s="8" t="s">
        <v>894</v>
      </c>
      <c r="C14" s="20" t="str">
        <f>VLOOKUP(B14,'Base_Fornecedores Extras'!$A$5:$C$385,3,FALSE)</f>
        <v>FIWARE</v>
      </c>
      <c r="D14" s="20">
        <v>3.9649999999999999</v>
      </c>
      <c r="E14" s="19">
        <f t="shared" si="2"/>
        <v>2.6833333333333336</v>
      </c>
      <c r="F14" s="25">
        <f t="shared" si="3"/>
        <v>6.6483333333333334</v>
      </c>
      <c r="G14" s="20">
        <f t="shared" si="0"/>
        <v>11.967000000000001</v>
      </c>
      <c r="H14" s="26">
        <f t="shared" si="1"/>
        <v>12</v>
      </c>
      <c r="I14" s="6" t="s">
        <v>1072</v>
      </c>
      <c r="Z14" s="49" t="str">
        <v>SENSE MINI - TIRADOR LATON OSCURO CC256L263MM</v>
      </c>
      <c r="AA14" t="str">
        <v>SENSE MINI - TIRADOR LATON OSCURO CC256L263MM</v>
      </c>
      <c r="AB14" t="str">
        <v>SENSE MINI - TIRADOR LATON OSCURO CC256L263MM</v>
      </c>
      <c r="AC14" t="str">
        <v>SENSE MINI - TIRADOR LATON OSCURO CC256L263MM</v>
      </c>
      <c r="AD14" t="str">
        <v>SENSE MINI - TIRADOR LATON OSCURO CC256L263MM</v>
      </c>
      <c r="AE14" t="str">
        <v>SENSE MINI - TIRADOR LATON OSCURO CC256L263MM</v>
      </c>
      <c r="AF14" t="str">
        <v>SENSE MINI - TIRADOR LATON OSCURO CC256L263MM</v>
      </c>
      <c r="AG14" t="str">
        <v>SENSE MINI - TIRADOR LATON OSCURO CC256L263MM</v>
      </c>
      <c r="AH14" t="str">
        <v>SENSE MINI - TIRADOR LATON OSCURO CC256L263MM</v>
      </c>
      <c r="AI14" t="str">
        <v>SENSE MINI - TIRADOR LATON OSCURO CC256L263MM</v>
      </c>
      <c r="AM14" s="53"/>
    </row>
    <row r="15" spans="2:39">
      <c r="B15" s="8" t="s">
        <v>896</v>
      </c>
      <c r="C15" s="20" t="str">
        <f>VLOOKUP(B15,'Base_Fornecedores Extras'!$A$5:$C$385,3,FALSE)</f>
        <v>FIWARE</v>
      </c>
      <c r="D15" s="20">
        <v>4.056667</v>
      </c>
      <c r="E15" s="19">
        <f t="shared" si="2"/>
        <v>2.6833333333333336</v>
      </c>
      <c r="F15" s="25">
        <f t="shared" si="3"/>
        <v>6.7400003333333336</v>
      </c>
      <c r="G15" s="20">
        <f t="shared" si="0"/>
        <v>12.132000600000001</v>
      </c>
      <c r="H15" s="26">
        <f t="shared" si="1"/>
        <v>13</v>
      </c>
      <c r="I15" s="6" t="s">
        <v>1073</v>
      </c>
      <c r="Z15" s="49" t="str">
        <v>PUXAD SM.019 INOX</v>
      </c>
      <c r="AA15" t="str">
        <v>PUXAD SM.019 INOX</v>
      </c>
      <c r="AB15" t="str">
        <v>PUXAD SM.019 INOX</v>
      </c>
      <c r="AC15" t="str">
        <v>PUXAD SM.019 INOX</v>
      </c>
      <c r="AD15" t="str">
        <v>PUXAD SM.019 INOX</v>
      </c>
      <c r="AE15" t="str">
        <v>PUXAD SM.019 INOX</v>
      </c>
      <c r="AF15" t="str">
        <v>PUXAD SM.019 INOX</v>
      </c>
      <c r="AG15" t="str">
        <v>PUXAD SM.019 INOX</v>
      </c>
      <c r="AH15" t="str">
        <v>PUXAD SM.019 INOX</v>
      </c>
      <c r="AI15" t="str">
        <v>PUXAD SM.019 INOX</v>
      </c>
      <c r="AM15" s="53"/>
    </row>
    <row r="16" spans="2:39">
      <c r="B16" s="8" t="s">
        <v>901</v>
      </c>
      <c r="C16" s="20" t="str">
        <f>VLOOKUP(B16,'Base_Fornecedores Extras'!$A$5:$C$385,3,FALSE)</f>
        <v>FIWARE</v>
      </c>
      <c r="D16" s="20">
        <v>4.5044399999999998</v>
      </c>
      <c r="E16" s="19">
        <f t="shared" si="2"/>
        <v>2.6833333333333336</v>
      </c>
      <c r="F16" s="25">
        <f t="shared" si="3"/>
        <v>7.1877733333333333</v>
      </c>
      <c r="G16" s="20">
        <f t="shared" si="0"/>
        <v>12.937991999999999</v>
      </c>
      <c r="H16" s="26">
        <f t="shared" si="1"/>
        <v>13</v>
      </c>
      <c r="I16" s="6" t="s">
        <v>1074</v>
      </c>
      <c r="Z16" s="49" t="str">
        <v>RAIL - TIRADO LATON CAVA CEPILLADO CC160L180MM</v>
      </c>
      <c r="AA16" t="str">
        <v>RAIL - TIRADO LATON CAVA CEPILLADO CC160L180MM</v>
      </c>
      <c r="AB16" t="str">
        <v>RAIL - TIRADO LATON CAVA CEPILLADO CC160L180MM</v>
      </c>
      <c r="AC16" t="str">
        <v>RAIL - TIRADO LATON CAVA CEPILLADO CC160L180MM</v>
      </c>
      <c r="AD16" t="str">
        <v>RAIL - TIRADO LATON CAVA CEPILLADO CC160L180MM</v>
      </c>
      <c r="AE16" t="str">
        <v>RAIL - TIRADO LATON CAVA CEPILLADO CC160L180MM</v>
      </c>
      <c r="AF16" t="str">
        <v>RAIL - TIRADO LATON CAVA CEPILLADO CC160L180MM</v>
      </c>
      <c r="AG16" t="str">
        <v>RAIL - TIRADO LATON CAVA CEPILLADO CC160L180MM</v>
      </c>
      <c r="AH16" t="str">
        <v>RAIL - TIRADO LATON CAVA CEPILLADO CC160L180MM</v>
      </c>
      <c r="AI16" t="str">
        <v>RAIL - TIRADO LATON CAVA CEPILLADO CC160L180MM</v>
      </c>
      <c r="AM16" s="53"/>
    </row>
    <row r="17" spans="2:39">
      <c r="B17" s="8" t="s">
        <v>852</v>
      </c>
      <c r="C17" s="20" t="str">
        <f>VLOOKUP(B17,'Base_Fornecedores Extras'!$A$5:$C$385,3,FALSE)</f>
        <v>LAGE &amp; SA</v>
      </c>
      <c r="D17" s="20">
        <v>5.0910000000000002</v>
      </c>
      <c r="E17" s="19">
        <f t="shared" si="2"/>
        <v>2.6833333333333336</v>
      </c>
      <c r="F17" s="25">
        <f t="shared" si="3"/>
        <v>7.7743333333333338</v>
      </c>
      <c r="G17" s="20">
        <f t="shared" si="0"/>
        <v>13.9938</v>
      </c>
      <c r="H17" s="26">
        <f t="shared" si="1"/>
        <v>14</v>
      </c>
      <c r="I17" s="6" t="s">
        <v>1060</v>
      </c>
      <c r="Z17" s="49" t="str">
        <v>NEXX - ASA BRONZE CEPILLADO CC256L276MM</v>
      </c>
      <c r="AA17" t="str">
        <v>NEXX - ASA BRONZE CEPILLADO CC256L276MM</v>
      </c>
      <c r="AB17" t="str">
        <v>NEXX - ASA BRONZE CEPILLADO CC256L276MM</v>
      </c>
      <c r="AC17" t="str">
        <v>NEXX - ASA BRONZE CEPILLADO CC256L276MM</v>
      </c>
      <c r="AD17" t="str">
        <v>NEXX - ASA BRONZE CEPILLADO CC256L276MM</v>
      </c>
      <c r="AE17" t="str">
        <v>NEXX - ASA BRONZE CEPILLADO CC256L276MM</v>
      </c>
      <c r="AF17" t="str">
        <v>NEXX - ASA BRONZE CEPILLADO CC256L276MM</v>
      </c>
      <c r="AG17" t="str">
        <v>NEXX - ASA BRONZE CEPILLADO CC256L276MM</v>
      </c>
      <c r="AH17" t="str">
        <v>NEXX - ASA BRONZE CEPILLADO CC256L276MM</v>
      </c>
      <c r="AI17" t="str">
        <v>NEXX - ASA BRONZE CEPILLADO CC256L276MM</v>
      </c>
      <c r="AM17" s="53"/>
    </row>
    <row r="18" spans="2:39">
      <c r="B18" s="8" t="s">
        <v>913</v>
      </c>
      <c r="C18" s="20" t="str">
        <f>VLOOKUP(B18,'Base_Fornecedores Extras'!$A$5:$C$385,3,FALSE)</f>
        <v>FIWARE</v>
      </c>
      <c r="D18" s="20">
        <v>5.3849999999999998</v>
      </c>
      <c r="E18" s="19">
        <f t="shared" si="2"/>
        <v>2.6833333333333336</v>
      </c>
      <c r="F18" s="25">
        <f t="shared" si="3"/>
        <v>8.0683333333333334</v>
      </c>
      <c r="G18" s="20">
        <f t="shared" si="0"/>
        <v>14.523</v>
      </c>
      <c r="H18" s="26">
        <f t="shared" si="1"/>
        <v>15</v>
      </c>
      <c r="I18" s="6" t="s">
        <v>1075</v>
      </c>
      <c r="Z18" s="49" t="str">
        <v>MOON - ASA BRONZE CEPILLADO CC160L193</v>
      </c>
      <c r="AA18" t="str">
        <v>MOON - ASA BRONZE CEPILLADO CC160L193</v>
      </c>
      <c r="AB18" t="str">
        <v>MOON - ASA BRONZE CEPILLADO CC160L193</v>
      </c>
      <c r="AC18" t="str">
        <v>MOON - ASA BRONZE CEPILLADO CC160L193</v>
      </c>
      <c r="AD18" t="str">
        <v>MOON - ASA BRONZE CEPILLADO CC160L193</v>
      </c>
      <c r="AE18" t="str">
        <v>MOON - ASA BRONZE CEPILLADO CC160L193</v>
      </c>
      <c r="AF18" t="str">
        <v>MOON - ASA BRONZE CEPILLADO CC160L193</v>
      </c>
      <c r="AG18" t="str">
        <v>MOON - ASA BRONZE CEPILLADO CC160L193</v>
      </c>
      <c r="AH18" t="str">
        <v>MOON - ASA BRONZE CEPILLADO CC160L193</v>
      </c>
      <c r="AI18" t="str">
        <v>MOON - ASA BRONZE CEPILLADO CC160L193</v>
      </c>
      <c r="AM18" s="53"/>
    </row>
    <row r="19" spans="2:39">
      <c r="B19" s="8" t="s">
        <v>895</v>
      </c>
      <c r="C19" s="20" t="str">
        <f>VLOOKUP(B19,'Base_Fornecedores Extras'!$A$5:$C$385,3,FALSE)</f>
        <v>FIWARE</v>
      </c>
      <c r="D19" s="20">
        <v>5.7533333000000004</v>
      </c>
      <c r="E19" s="19">
        <f t="shared" si="2"/>
        <v>2.6833333333333336</v>
      </c>
      <c r="F19" s="25">
        <f t="shared" si="3"/>
        <v>8.4366666333333349</v>
      </c>
      <c r="G19" s="20">
        <f t="shared" si="0"/>
        <v>15.185999940000004</v>
      </c>
      <c r="H19" s="26">
        <f t="shared" si="1"/>
        <v>16</v>
      </c>
      <c r="I19" s="6" t="s">
        <v>1076</v>
      </c>
      <c r="Z19" s="49" t="str">
        <v>RILLE - ASA LATON OSC CEPILLADO CC160L190MM</v>
      </c>
      <c r="AA19" t="str">
        <v>RILLE - ASA LATON OSC CEPILLADO CC160L190MM</v>
      </c>
      <c r="AB19" t="str">
        <v>RILLE - ASA LATON OSC CEPILLADO CC160L190MM</v>
      </c>
      <c r="AC19" t="str">
        <v>RILLE - ASA LATON OSC CEPILLADO CC160L190MM</v>
      </c>
      <c r="AD19" t="str">
        <v>RILLE - ASA LATON OSC CEPILLADO CC160L190MM</v>
      </c>
      <c r="AE19" t="str">
        <v>RILLE - ASA LATON OSC CEPILLADO CC160L190MM</v>
      </c>
      <c r="AF19" t="str">
        <v>RILLE - ASA LATON OSC CEPILLADO CC160L190MM</v>
      </c>
      <c r="AG19" t="str">
        <v>RILLE - ASA LATON OSC CEPILLADO CC160L190MM</v>
      </c>
      <c r="AH19" t="str">
        <v>RILLE - ASA LATON OSC CEPILLADO CC160L190MM</v>
      </c>
      <c r="AI19" t="str">
        <v>RILLE - ASA LATON OSC CEPILLADO CC160L190MM</v>
      </c>
      <c r="AM19" s="53"/>
    </row>
    <row r="20" spans="2:39">
      <c r="B20" s="8" t="s">
        <v>906</v>
      </c>
      <c r="C20" s="20" t="str">
        <f>VLOOKUP(B20,'Base_Fornecedores Extras'!$A$5:$C$385,3,FALSE)</f>
        <v>FIWARE</v>
      </c>
      <c r="D20" s="20">
        <v>9.5</v>
      </c>
      <c r="E20" s="19">
        <f t="shared" si="2"/>
        <v>2.6833333333333336</v>
      </c>
      <c r="F20" s="25">
        <f t="shared" si="3"/>
        <v>12.183333333333334</v>
      </c>
      <c r="G20" s="20">
        <f t="shared" si="0"/>
        <v>21.93</v>
      </c>
      <c r="H20" s="26">
        <f t="shared" si="1"/>
        <v>22</v>
      </c>
      <c r="I20" s="6" t="s">
        <v>1077</v>
      </c>
      <c r="Z20" s="49" t="str">
        <v>ARPA - ASA NEGRO CEPILLADO CC192L212MM</v>
      </c>
      <c r="AA20" t="str">
        <v>ARPA - ASA NEGRO CEPILLADO CC192L212MM</v>
      </c>
      <c r="AB20" t="str">
        <v>ARPA - ASA NEGRO CEPILLADO CC192L212MM</v>
      </c>
      <c r="AC20" t="str">
        <v>ARPA - ASA NEGRO CEPILLADO CC192L212MM</v>
      </c>
      <c r="AD20" t="str">
        <v>ARPA - ASA NEGRO CEPILLADO CC192L212MM</v>
      </c>
      <c r="AE20" t="str">
        <v>ARPA - ASA NEGRO CEPILLADO CC192L212MM</v>
      </c>
      <c r="AF20" t="str">
        <v>ARPA - ASA NEGRO CEPILLADO CC192L212MM</v>
      </c>
      <c r="AG20" t="str">
        <v>ARPA - ASA NEGRO CEPILLADO CC192L212MM</v>
      </c>
      <c r="AH20" t="str">
        <v>ARPA - ASA NEGRO CEPILLADO CC192L212MM</v>
      </c>
      <c r="AI20" t="str">
        <v>ARPA - ASA NEGRO CEPILLADO CC192L212MM</v>
      </c>
      <c r="AM20" s="53"/>
    </row>
    <row r="21" spans="2:39">
      <c r="B21" s="8" t="s">
        <v>903</v>
      </c>
      <c r="C21" s="20" t="str">
        <f>VLOOKUP(B21,'Base_Fornecedores Extras'!$A$5:$C$385,3,FALSE)</f>
        <v>FIWARE</v>
      </c>
      <c r="D21" s="20">
        <v>7.39</v>
      </c>
      <c r="E21" s="19">
        <f t="shared" si="2"/>
        <v>2.6833333333333336</v>
      </c>
      <c r="F21" s="25">
        <f t="shared" si="3"/>
        <v>10.073333333333334</v>
      </c>
      <c r="G21" s="20">
        <f t="shared" si="0"/>
        <v>18.132000000000001</v>
      </c>
      <c r="H21" s="26">
        <f t="shared" si="1"/>
        <v>19</v>
      </c>
      <c r="I21" s="6" t="s">
        <v>1078</v>
      </c>
      <c r="Z21" s="49" t="str">
        <v>LINKK - ASA LATON CEPILLADO CC160L175MM</v>
      </c>
      <c r="AA21" t="str">
        <v>LINKK - ASA LATON CEPILLADO CC160L175MM</v>
      </c>
      <c r="AB21" t="str">
        <v>LINKK - ASA LATON CEPILLADO CC160L175MM</v>
      </c>
      <c r="AC21" t="str">
        <v>LINKK - ASA LATON CEPILLADO CC160L175MM</v>
      </c>
      <c r="AD21" t="str">
        <v>LINKK - ASA LATON CEPILLADO CC160L175MM</v>
      </c>
      <c r="AE21" t="str">
        <v>LINKK - ASA LATON CEPILLADO CC160L175MM</v>
      </c>
      <c r="AF21" t="str">
        <v>LINKK - ASA LATON CEPILLADO CC160L175MM</v>
      </c>
      <c r="AG21" t="str">
        <v>LINKK - ASA LATON CEPILLADO CC160L175MM</v>
      </c>
      <c r="AH21" t="str">
        <v>LINKK - ASA LATON CEPILLADO CC160L175MM</v>
      </c>
      <c r="AI21" t="str">
        <v>LINKK - ASA LATON CEPILLADO CC160L175MM</v>
      </c>
      <c r="AM21" s="53"/>
    </row>
    <row r="22" spans="2:39">
      <c r="B22" s="8" t="s">
        <v>898</v>
      </c>
      <c r="C22" s="20" t="str">
        <f>VLOOKUP(B22,'Base_Fornecedores Extras'!$A$5:$C$385,3,FALSE)</f>
        <v>FIWARE</v>
      </c>
      <c r="D22" s="20">
        <v>10.45</v>
      </c>
      <c r="E22" s="19">
        <f t="shared" si="2"/>
        <v>2.6833333333333336</v>
      </c>
      <c r="F22" s="25">
        <f t="shared" si="3"/>
        <v>13.133333333333333</v>
      </c>
      <c r="G22" s="20">
        <f t="shared" si="0"/>
        <v>23.64</v>
      </c>
      <c r="H22" s="26">
        <f t="shared" si="1"/>
        <v>24</v>
      </c>
      <c r="I22" s="6" t="s">
        <v>1079</v>
      </c>
      <c r="Z22" s="49" t="str">
        <v>BEAM - ASA NEGRO TITANIO BRILLO CC160L168</v>
      </c>
      <c r="AA22" t="str">
        <v>BEAM - ASA NEGRO TITANIO BRILLO CC160L168</v>
      </c>
      <c r="AB22" t="str">
        <v>BEAM - ASA NEGRO TITANIO BRILLO CC160L168</v>
      </c>
      <c r="AC22" t="str">
        <v>BEAM - ASA NEGRO TITANIO BRILLO CC160L168</v>
      </c>
      <c r="AD22" t="str">
        <v>BEAM - ASA NEGRO TITANIO BRILLO CC160L168</v>
      </c>
      <c r="AE22" t="str">
        <v>BEAM - ASA NEGRO TITANIO BRILLO CC160L168</v>
      </c>
      <c r="AF22" t="str">
        <v>BEAM - ASA NEGRO TITANIO BRILLO CC160L168</v>
      </c>
      <c r="AG22" t="str">
        <v>BEAM - ASA NEGRO TITANIO BRILLO CC160L168</v>
      </c>
      <c r="AH22" t="str">
        <v>BEAM - ASA NEGRO TITANIO BRILLO CC160L168</v>
      </c>
      <c r="AI22" t="str">
        <v>BEAM - ASA NEGRO TITANIO BRILLO CC160L168</v>
      </c>
      <c r="AM22" s="53"/>
    </row>
    <row r="23" spans="2:39">
      <c r="B23" s="8" t="s">
        <v>912</v>
      </c>
      <c r="C23" s="20" t="str">
        <f>VLOOKUP(B23,'Base_Fornecedores Extras'!$A$5:$C$385,3,FALSE)</f>
        <v>FIWARE</v>
      </c>
      <c r="D23" s="20">
        <v>7.4</v>
      </c>
      <c r="E23" s="19">
        <f t="shared" si="2"/>
        <v>2.6833333333333336</v>
      </c>
      <c r="F23" s="25">
        <f t="shared" si="3"/>
        <v>10.083333333333334</v>
      </c>
      <c r="G23" s="20">
        <f t="shared" si="0"/>
        <v>18.150000000000002</v>
      </c>
      <c r="H23" s="26">
        <f t="shared" si="1"/>
        <v>19</v>
      </c>
      <c r="I23" s="6" t="s">
        <v>1080</v>
      </c>
      <c r="Z23" s="49" t="str">
        <v>WAY - TIR. PERFIL NEGRO MATE CC1056L1100MM</v>
      </c>
      <c r="AA23" t="str">
        <v>WAY - TIR. PERFIL NEGRO MATE CC1056L1100MM</v>
      </c>
      <c r="AB23" t="str">
        <v>WAY - TIR. PERFIL NEGRO MATE CC1056L1100MM</v>
      </c>
      <c r="AC23" t="str">
        <v>WAY - TIR. PERFIL NEGRO MATE CC1056L1100MM</v>
      </c>
      <c r="AD23" t="str">
        <v>WAY - TIR. PERFIL NEGRO MATE CC1056L1100MM</v>
      </c>
      <c r="AE23" t="str">
        <v>WAY - TIR. PERFIL NEGRO MATE CC1056L1100MM</v>
      </c>
      <c r="AF23" t="str">
        <v>WAY - TIR. PERFIL NEGRO MATE CC1056L1100MM</v>
      </c>
      <c r="AG23" t="str">
        <v>WAY - TIR. PERFIL NEGRO MATE CC1056L1100MM</v>
      </c>
      <c r="AH23" t="str">
        <v>WAY - TIR. PERFIL NEGRO MATE CC1056L1100MM</v>
      </c>
      <c r="AI23" t="str">
        <v>WAY - TIR. PERFIL NEGRO MATE CC1056L1100MM</v>
      </c>
      <c r="AM23" s="53"/>
    </row>
    <row r="24" spans="2:39">
      <c r="B24" s="8" t="s">
        <v>910</v>
      </c>
      <c r="C24" s="20" t="str">
        <f>VLOOKUP(B24,'Base_Fornecedores Extras'!$A$5:$C$385,3,FALSE)</f>
        <v>FIWARE</v>
      </c>
      <c r="D24" s="20">
        <v>8.33</v>
      </c>
      <c r="E24" s="19">
        <f t="shared" si="2"/>
        <v>2.6833333333333336</v>
      </c>
      <c r="F24" s="25">
        <f t="shared" si="3"/>
        <v>11.013333333333334</v>
      </c>
      <c r="G24" s="20">
        <f t="shared" si="0"/>
        <v>19.824000000000002</v>
      </c>
      <c r="H24" s="26">
        <f t="shared" si="1"/>
        <v>20</v>
      </c>
      <c r="I24" s="6" t="s">
        <v>1081</v>
      </c>
      <c r="Z24" s="49" t="str">
        <v>RILLE - ASA LATON OSC CEPILLADO CC320L350MM</v>
      </c>
      <c r="AA24" t="str">
        <v>RILLE - ASA LATON OSC CEPILLADO CC320L350MM</v>
      </c>
      <c r="AB24" t="str">
        <v>RILLE - ASA LATON OSC CEPILLADO CC320L350MM</v>
      </c>
      <c r="AC24" t="str">
        <v>RILLE - ASA LATON OSC CEPILLADO CC320L350MM</v>
      </c>
      <c r="AD24" t="str">
        <v>RILLE - ASA LATON OSC CEPILLADO CC320L350MM</v>
      </c>
      <c r="AE24" t="str">
        <v>RILLE - ASA LATON OSC CEPILLADO CC320L350MM</v>
      </c>
      <c r="AF24" t="str">
        <v>RILLE - ASA LATON OSC CEPILLADO CC320L350MM</v>
      </c>
      <c r="AG24" t="str">
        <v>RILLE - ASA LATON OSC CEPILLADO CC320L350MM</v>
      </c>
      <c r="AH24" t="str">
        <v>RILLE - ASA LATON OSC CEPILLADO CC320L350MM</v>
      </c>
      <c r="AI24" t="str">
        <v>RILLE - ASA LATON OSC CEPILLADO CC320L350MM</v>
      </c>
      <c r="AM24" s="53"/>
    </row>
    <row r="25" spans="2:39">
      <c r="B25" s="8" t="s">
        <v>908</v>
      </c>
      <c r="C25" s="20" t="str">
        <f>VLOOKUP(B25,'Base_Fornecedores Extras'!$A$5:$C$385,3,FALSE)</f>
        <v>FIWARE</v>
      </c>
      <c r="D25" s="20">
        <v>8.3716667000000005</v>
      </c>
      <c r="E25" s="19">
        <f t="shared" si="2"/>
        <v>2.6833333333333336</v>
      </c>
      <c r="F25" s="25">
        <f t="shared" si="3"/>
        <v>11.055000033333334</v>
      </c>
      <c r="G25" s="20">
        <f>F25*1.8</f>
        <v>19.899000060000002</v>
      </c>
      <c r="H25" s="26">
        <f t="shared" si="1"/>
        <v>20</v>
      </c>
      <c r="I25" s="6" t="s">
        <v>1082</v>
      </c>
      <c r="Z25" s="49" t="str">
        <v>CONCHA IN.16.416.BA X 300 X 55 BLACK ANTHRACITE</v>
      </c>
      <c r="AA25" t="str">
        <v>CONCHA IN.16.416.BA X 300 X 55 BLACK ANTHRACITE</v>
      </c>
      <c r="AB25" t="str">
        <v>CONCHA IN.16.416.BA X 300 X 55 BLACK ANTHRACITE</v>
      </c>
      <c r="AC25" t="str">
        <v>CONCHA IN.16.416.BA X 300 X 55 BLACK ANTHRACITE</v>
      </c>
      <c r="AD25" t="str">
        <v>CONCHA IN.16.416.BA X 300 X 55 BLACK ANTHRACITE</v>
      </c>
      <c r="AE25" t="str">
        <v>CONCHA IN.16.416.BA X 300 X 55 BLACK ANTHRACITE</v>
      </c>
      <c r="AF25" t="str">
        <v>CONCHA IN.16.416.BA X 300 X 55 BLACK ANTHRACITE</v>
      </c>
      <c r="AG25" t="str">
        <v>CONCHA IN.16.416.BA X 300 X 55 BLACK ANTHRACITE</v>
      </c>
      <c r="AH25" t="str">
        <v>CONCHA IN.16.416.BA X 300 X 55 BLACK ANTHRACITE</v>
      </c>
      <c r="AI25" t="str">
        <v>CONCHA IN.16.416.BA X 300 X 55 BLACK ANTHRACITE</v>
      </c>
      <c r="AM25" s="53"/>
    </row>
    <row r="26" spans="2:39">
      <c r="B26" s="8" t="s">
        <v>914</v>
      </c>
      <c r="C26" s="20" t="str">
        <f>VLOOKUP(B26,'Base_Fornecedores Extras'!$A$5:$C$385,3,FALSE)</f>
        <v>FIWARE</v>
      </c>
      <c r="D26" s="20">
        <v>9.5533330000000003</v>
      </c>
      <c r="E26" s="19">
        <f t="shared" si="2"/>
        <v>2.6833333333333336</v>
      </c>
      <c r="F26" s="25">
        <f t="shared" si="3"/>
        <v>12.236666333333334</v>
      </c>
      <c r="G26" s="20">
        <f t="shared" si="0"/>
        <v>22.0259994</v>
      </c>
      <c r="H26" s="26">
        <f t="shared" si="1"/>
        <v>23</v>
      </c>
      <c r="I26" s="6" t="s">
        <v>1083</v>
      </c>
      <c r="Z26" s="49" t="str">
        <v>LINKK - ASA NEGRO CEPILLADO CC1056L1071MM</v>
      </c>
      <c r="AA26" t="str">
        <v>LINKK - ASA NEGRO CEPILLADO CC1056L1071MM</v>
      </c>
      <c r="AB26" t="str">
        <v>LINKK - ASA NEGRO CEPILLADO CC1056L1071MM</v>
      </c>
      <c r="AC26" t="str">
        <v>LINKK - ASA NEGRO CEPILLADO CC1056L1071MM</v>
      </c>
      <c r="AD26" t="str">
        <v>LINKK - ASA NEGRO CEPILLADO CC1056L1071MM</v>
      </c>
      <c r="AE26" t="str">
        <v>LINKK - ASA NEGRO CEPILLADO CC1056L1071MM</v>
      </c>
      <c r="AF26" t="str">
        <v>LINKK - ASA NEGRO CEPILLADO CC1056L1071MM</v>
      </c>
      <c r="AG26" t="str">
        <v>LINKK - ASA NEGRO CEPILLADO CC1056L1071MM</v>
      </c>
      <c r="AH26" t="str">
        <v>LINKK - ASA NEGRO CEPILLADO CC1056L1071MM</v>
      </c>
      <c r="AI26" t="str">
        <v>LINKK - ASA NEGRO CEPILLADO CC1056L1071MM</v>
      </c>
      <c r="AM26" s="53"/>
    </row>
    <row r="27" spans="2:39">
      <c r="B27" s="8" t="s">
        <v>830</v>
      </c>
      <c r="C27" s="20" t="str">
        <f>VLOOKUP(B27,'Base_Fornecedores Extras'!$A$5:$C$385,3,FALSE)</f>
        <v>LAGE &amp; SA</v>
      </c>
      <c r="D27" s="20">
        <v>15.308</v>
      </c>
      <c r="E27" s="19">
        <f t="shared" si="2"/>
        <v>1.9166666666666667</v>
      </c>
      <c r="F27" s="25">
        <f t="shared" si="3"/>
        <v>17.224666666666668</v>
      </c>
      <c r="G27" s="20">
        <f t="shared" si="0"/>
        <v>31.004400000000004</v>
      </c>
      <c r="H27" s="26">
        <f t="shared" si="1"/>
        <v>32</v>
      </c>
      <c r="I27" s="6" t="s">
        <v>1084</v>
      </c>
      <c r="Z27" s="49" t="str">
        <v>RAIL - TIR.LATON CAVA CEPILLADO CC192-1120L1150MM</v>
      </c>
      <c r="AA27" t="str">
        <v>RAIL - TIR.LATON CAVA CEPILLADO CC192-1120L1150MM</v>
      </c>
      <c r="AB27" t="str">
        <v>RAIL - TIR.LATON CAVA CEPILLADO CC192-1120L1150MM</v>
      </c>
      <c r="AC27" t="str">
        <v>RAIL - TIR.LATON CAVA CEPILLADO CC192-1120L1150MM</v>
      </c>
      <c r="AD27" t="str">
        <v>RAIL - TIR.LATON CAVA CEPILLADO CC192-1120L1150MM</v>
      </c>
      <c r="AE27" t="str">
        <v>RAIL - TIR.LATON CAVA CEPILLADO CC192-1120L1150MM</v>
      </c>
      <c r="AF27" t="str">
        <v>RAIL - TIR.LATON CAVA CEPILLADO CC192-1120L1150MM</v>
      </c>
      <c r="AG27" t="str">
        <v>RAIL - TIR.LATON CAVA CEPILLADO CC192-1120L1150MM</v>
      </c>
      <c r="AH27" t="str">
        <v>RAIL - TIR.LATON CAVA CEPILLADO CC192-1120L1150MM</v>
      </c>
      <c r="AI27" t="str">
        <v>RAIL - TIR.LATON CAVA CEPILLADO CC192-1120L1150MM</v>
      </c>
      <c r="AM27" s="53"/>
    </row>
    <row r="28" spans="2:39">
      <c r="B28" s="8" t="s">
        <v>902</v>
      </c>
      <c r="C28" s="20" t="str">
        <f>VLOOKUP(B28,'Base_Fornecedores Extras'!$A$5:$C$385,3,FALSE)</f>
        <v>FIWARE</v>
      </c>
      <c r="D28" s="20">
        <v>26.57</v>
      </c>
      <c r="E28" s="19">
        <f t="shared" si="2"/>
        <v>2.6833333333333336</v>
      </c>
      <c r="F28" s="25">
        <f t="shared" si="3"/>
        <v>29.253333333333334</v>
      </c>
      <c r="G28" s="20">
        <f t="shared" si="0"/>
        <v>52.655999999999999</v>
      </c>
      <c r="H28" s="26">
        <f t="shared" si="1"/>
        <v>53</v>
      </c>
      <c r="I28" s="6" t="s">
        <v>1085</v>
      </c>
      <c r="Z28" s="49" t="str">
        <v>ARPA - ASA NEGRO CEPILLADO C1178L1200MM</v>
      </c>
      <c r="AA28" t="str">
        <v>ARPA - ASA NEGRO CEPILLADO C1178L1200MM</v>
      </c>
      <c r="AB28" t="str">
        <v>ARPA - ASA NEGRO CEPILLADO C1178L1200MM</v>
      </c>
      <c r="AC28" t="str">
        <v>ARPA - ASA NEGRO CEPILLADO C1178L1200MM</v>
      </c>
      <c r="AD28" t="str">
        <v>ARPA - ASA NEGRO CEPILLADO C1178L1200MM</v>
      </c>
      <c r="AE28" t="str">
        <v>ARPA - ASA NEGRO CEPILLADO C1178L1200MM</v>
      </c>
      <c r="AF28" t="str">
        <v>ARPA - ASA NEGRO CEPILLADO C1178L1200MM</v>
      </c>
      <c r="AG28" t="str">
        <v>ARPA - ASA NEGRO CEPILLADO C1178L1200MM</v>
      </c>
      <c r="AH28" t="str">
        <v>ARPA - ASA NEGRO CEPILLADO C1178L1200MM</v>
      </c>
      <c r="AI28" t="str">
        <v>ARPA - ASA NEGRO CEPILLADO C1178L1200MM</v>
      </c>
      <c r="AM28" s="53"/>
    </row>
    <row r="29" spans="2:39">
      <c r="B29" s="8" t="s">
        <v>911</v>
      </c>
      <c r="C29" s="20" t="str">
        <f>VLOOKUP(B29,'Base_Fornecedores Extras'!$A$5:$C$385,3,FALSE)</f>
        <v>FIWARE</v>
      </c>
      <c r="D29" s="20">
        <v>32.75</v>
      </c>
      <c r="E29" s="19">
        <f t="shared" si="2"/>
        <v>2.6833333333333336</v>
      </c>
      <c r="F29" s="25">
        <f t="shared" si="3"/>
        <v>35.433333333333337</v>
      </c>
      <c r="G29" s="20">
        <f t="shared" si="0"/>
        <v>63.780000000000008</v>
      </c>
      <c r="H29" s="26">
        <f t="shared" si="1"/>
        <v>64</v>
      </c>
      <c r="I29" s="6" t="s">
        <v>1086</v>
      </c>
      <c r="Z29" s="49" t="str">
        <v>RILLE - ASA LATÓN OSC CEPILLADO CC992L1022MM</v>
      </c>
      <c r="AA29" t="str">
        <v>RILLE - ASA LATÓN OSC CEPILLADO CC992L1022MM</v>
      </c>
      <c r="AB29" t="str">
        <v>RILLE - ASA LATÓN OSC CEPILLADO CC992L1022MM</v>
      </c>
      <c r="AC29" t="str">
        <v>RILLE - ASA LATÓN OSC CEPILLADO CC992L1022MM</v>
      </c>
      <c r="AD29" t="str">
        <v>RILLE - ASA LATÓN OSC CEPILLADO CC992L1022MM</v>
      </c>
      <c r="AE29" t="str">
        <v>RILLE - ASA LATÓN OSC CEPILLADO CC992L1022MM</v>
      </c>
      <c r="AF29" t="str">
        <v>RILLE - ASA LATÓN OSC CEPILLADO CC992L1022MM</v>
      </c>
      <c r="AG29" t="str">
        <v>RILLE - ASA LATÓN OSC CEPILLADO CC992L1022MM</v>
      </c>
      <c r="AH29" t="str">
        <v>RILLE - ASA LATÓN OSC CEPILLADO CC992L1022MM</v>
      </c>
      <c r="AI29" t="str">
        <v>RILLE - ASA LATÓN OSC CEPILLADO CC992L1022MM</v>
      </c>
      <c r="AM29" s="53"/>
    </row>
    <row r="30" spans="2:39">
      <c r="B30" s="8" t="s">
        <v>893</v>
      </c>
      <c r="C30" s="20" t="str">
        <f>VLOOKUP(B30,'Base_Fornecedores Extras'!$A$5:$C$385,3,FALSE)</f>
        <v>FIWARE</v>
      </c>
      <c r="D30" s="20">
        <v>35.35</v>
      </c>
      <c r="E30" s="19">
        <f t="shared" si="2"/>
        <v>2.6833333333333336</v>
      </c>
      <c r="F30" s="25">
        <f t="shared" si="3"/>
        <v>38.033333333333331</v>
      </c>
      <c r="G30" s="20">
        <f t="shared" si="0"/>
        <v>68.459999999999994</v>
      </c>
      <c r="H30" s="26">
        <f t="shared" si="1"/>
        <v>69</v>
      </c>
      <c r="I30" s="6" t="s">
        <v>1087</v>
      </c>
      <c r="Z30" s="49" t="str">
        <v>MOON - ASA BRONZE CEPILLADO CC1056L1096</v>
      </c>
      <c r="AA30" t="str">
        <v>MOON - ASA BRONZE CEPILLADO CC1056L1096</v>
      </c>
      <c r="AB30" t="str">
        <v>MOON - ASA BRONZE CEPILLADO CC1056L1096</v>
      </c>
      <c r="AC30" t="str">
        <v>MOON - ASA BRONZE CEPILLADO CC1056L1096</v>
      </c>
      <c r="AD30" t="str">
        <v>MOON - ASA BRONZE CEPILLADO CC1056L1096</v>
      </c>
      <c r="AE30" t="str">
        <v>MOON - ASA BRONZE CEPILLADO CC1056L1096</v>
      </c>
      <c r="AF30" t="str">
        <v>MOON - ASA BRONZE CEPILLADO CC1056L1096</v>
      </c>
      <c r="AG30" t="str">
        <v>MOON - ASA BRONZE CEPILLADO CC1056L1096</v>
      </c>
      <c r="AH30" t="str">
        <v>MOON - ASA BRONZE CEPILLADO CC1056L1096</v>
      </c>
      <c r="AI30" t="str">
        <v>MOON - ASA BRONZE CEPILLADO CC1056L1096</v>
      </c>
      <c r="AM30" s="53"/>
    </row>
    <row r="31" spans="2:39">
      <c r="B31" s="8" t="s">
        <v>1047</v>
      </c>
      <c r="C31" s="20" t="str">
        <f>VLOOKUP(B31,'Base_Fornecedores Extras'!$A$5:$C$385,3,FALSE)</f>
        <v>FIWARE</v>
      </c>
      <c r="D31" s="20">
        <v>35.435000000000002</v>
      </c>
      <c r="E31" s="19">
        <f t="shared" si="2"/>
        <v>2.6833333333333336</v>
      </c>
      <c r="F31" s="25">
        <f t="shared" si="3"/>
        <v>38.118333333333339</v>
      </c>
      <c r="G31" s="20">
        <f t="shared" si="0"/>
        <v>68.613000000000014</v>
      </c>
      <c r="H31" s="26">
        <f t="shared" si="1"/>
        <v>69</v>
      </c>
      <c r="I31" s="6" t="s">
        <v>1088</v>
      </c>
      <c r="Z31" s="49" t="str">
        <v>PUXAD IN.00.381. C SANTINADO</v>
      </c>
      <c r="AA31" t="str">
        <v>PUXAD IN.00.381. C SANTINADO</v>
      </c>
      <c r="AB31" t="str">
        <v>PUXAD IN.00.381. C SANTINADO</v>
      </c>
      <c r="AC31" t="str">
        <v>PUXAD IN.00.381. C SANTINADO</v>
      </c>
      <c r="AD31" t="str">
        <v>PUXAD IN.00.381. C SANTINADO</v>
      </c>
      <c r="AE31" t="str">
        <v>PUXAD IN.00.381. C SANTINADO</v>
      </c>
      <c r="AF31" t="str">
        <v>PUXAD IN.00.381. C SANTINADO</v>
      </c>
      <c r="AG31" t="str">
        <v>PUXAD IN.00.381. C SANTINADO</v>
      </c>
      <c r="AH31" t="str">
        <v>PUXAD IN.00.381. C SANTINADO</v>
      </c>
      <c r="AI31" t="str">
        <v>PUXAD IN.00.381. C SANTINADO</v>
      </c>
      <c r="AM31" s="53"/>
    </row>
    <row r="32" spans="2:39">
      <c r="B32" s="8" t="s">
        <v>907</v>
      </c>
      <c r="C32" s="20" t="str">
        <f>VLOOKUP(B32,'Base_Fornecedores Extras'!$A$5:$C$385,3,FALSE)</f>
        <v>FIWARE</v>
      </c>
      <c r="D32" s="20">
        <v>40.005000000000003</v>
      </c>
      <c r="E32" s="19">
        <f t="shared" si="2"/>
        <v>2.6833333333333336</v>
      </c>
      <c r="F32" s="25">
        <f t="shared" si="3"/>
        <v>42.688333333333333</v>
      </c>
      <c r="G32" s="20">
        <f t="shared" si="0"/>
        <v>76.838999999999999</v>
      </c>
      <c r="H32" s="26">
        <f t="shared" si="1"/>
        <v>77</v>
      </c>
      <c r="I32" s="6" t="s">
        <v>1089</v>
      </c>
      <c r="Z32" s="49" t="str">
        <v>PERFIL GOLA FI-C3 "C" VERTIC. DUPLO AL. 80/G36(MT)</v>
      </c>
      <c r="AA32" t="str">
        <v>PERFIL GOLA FI-C3 "C" VERTIC. DUPLO AL. 80/G36(MT)</v>
      </c>
      <c r="AB32" t="str">
        <v>PERFIL GOLA FI-C3 "C" VERTIC. DUPLO AL. 80/G36(MT)</v>
      </c>
      <c r="AC32" t="str">
        <v>PERFIL GOLA FI-C3 "C" VERTIC. DUPLO AL. 80/G36(MT)</v>
      </c>
      <c r="AD32" t="str">
        <v>PERFIL GOLA FI-C3 "C" VERTIC. DUPLO AL. 80/G36(MT)</v>
      </c>
      <c r="AE32" t="str">
        <v>PERFIL GOLA FI-C3 "C" VERTIC. DUPLO AL. 80/G36(MT)</v>
      </c>
      <c r="AF32" t="str">
        <v>PERFIL GOLA FI-C3 "C" VERTIC. DUPLO AL. 80/G36(MT)</v>
      </c>
      <c r="AG32" t="str">
        <v>PERFIL GOLA FI-C3 "C" VERTIC. DUPLO AL. 80/G36(MT)</v>
      </c>
      <c r="AH32" t="str">
        <v>PERFIL GOLA FI-C3 "C" VERTIC. DUPLO AL. 80/G36(MT)</v>
      </c>
      <c r="AI32" t="str">
        <v>PERFIL GOLA FI-C3 "C" VERTIC. DUPLO AL. 80/G36(MT)</v>
      </c>
      <c r="AM32" s="53"/>
    </row>
    <row r="33" spans="1:39">
      <c r="B33" s="8" t="s">
        <v>860</v>
      </c>
      <c r="C33" s="20" t="str">
        <f>VLOOKUP(B33,'Base_Fornecedores Extras'!$A$5:$C$385,3,FALSE)</f>
        <v>LAGE &amp; SA</v>
      </c>
      <c r="D33" s="20">
        <v>58.401000000000003</v>
      </c>
      <c r="E33" s="19">
        <f t="shared" si="2"/>
        <v>2.6833333333333336</v>
      </c>
      <c r="F33" s="25">
        <f t="shared" si="3"/>
        <v>61.084333333333333</v>
      </c>
      <c r="G33" s="20">
        <f t="shared" si="0"/>
        <v>109.95180000000001</v>
      </c>
      <c r="H33" s="26">
        <f t="shared" si="1"/>
        <v>110</v>
      </c>
      <c r="I33" s="6" t="s">
        <v>1061</v>
      </c>
      <c r="Z33" s="49" t="str">
        <v>PERFIL GOLA FI-J3 "J" PRETO ANOD. 80/G12 (MT)</v>
      </c>
      <c r="AA33" t="str">
        <v>PERFIL GOLA FI-J3 "J" PRETO ANOD. 80/G12 (MT)</v>
      </c>
      <c r="AB33" t="str">
        <v>PERFIL GOLA FI-J3 "J" PRETO ANOD. 80/G12 (MT)</v>
      </c>
      <c r="AC33" t="str">
        <v>PERFIL GOLA FI-J3 "J" PRETO ANOD. 80/G12 (MT)</v>
      </c>
      <c r="AD33" t="str">
        <v>PERFIL GOLA FI-J3 "J" PRETO ANOD. 80/G12 (MT)</v>
      </c>
      <c r="AE33" t="str">
        <v>PERFIL GOLA FI-J3 "J" PRETO ANOD. 80/G12 (MT)</v>
      </c>
      <c r="AF33" t="str">
        <v>PERFIL GOLA FI-J3 "J" PRETO ANOD. 80/G12 (MT)</v>
      </c>
      <c r="AG33" t="str">
        <v>PERFIL GOLA FI-J3 "J" PRETO ANOD. 80/G12 (MT)</v>
      </c>
      <c r="AH33" t="str">
        <v>PERFIL GOLA FI-J3 "J" PRETO ANOD. 80/G12 (MT)</v>
      </c>
      <c r="AI33" t="str">
        <v>PERFIL GOLA FI-J3 "J" PRETO ANOD. 80/G12 (MT)</v>
      </c>
      <c r="AM33" s="53"/>
    </row>
    <row r="34" spans="1:39">
      <c r="A34" s="144" t="s">
        <v>1099</v>
      </c>
      <c r="B34" s="8" t="s">
        <v>1024</v>
      </c>
      <c r="C34" s="88" t="str">
        <f>VLOOKUP(B34,'Base_Fornecedores Extras'!$A$5:$C$385,3,FALSE)</f>
        <v>FIWARE</v>
      </c>
      <c r="D34" s="20">
        <v>9.44</v>
      </c>
      <c r="E34" s="19">
        <f t="shared" si="2"/>
        <v>2.6833333333333336</v>
      </c>
      <c r="F34" s="25">
        <f t="shared" si="3"/>
        <v>12.123333333333333</v>
      </c>
      <c r="G34" s="20">
        <f t="shared" si="0"/>
        <v>21.821999999999999</v>
      </c>
      <c r="H34" s="26">
        <f t="shared" si="1"/>
        <v>22</v>
      </c>
      <c r="I34" s="6" t="s">
        <v>1100</v>
      </c>
      <c r="Z34" s="49" t="str">
        <v>PERFIL GOLA FI-J3 "J" ALUMINIO 80/G12 (MT)</v>
      </c>
      <c r="AA34" t="str">
        <v>PERFIL GOLA FI-J3 "J" ALUMINIO 80/G12 (MT)</v>
      </c>
      <c r="AB34" t="str">
        <v>PERFIL GOLA FI-J3 "J" ALUMINIO 80/G12 (MT)</v>
      </c>
      <c r="AC34" t="str">
        <v>PERFIL GOLA FI-J3 "J" ALUMINIO 80/G12 (MT)</v>
      </c>
      <c r="AD34" t="str">
        <v>PERFIL GOLA FI-J3 "J" ALUMINIO 80/G12 (MT)</v>
      </c>
      <c r="AE34" t="str">
        <v>PERFIL GOLA FI-J3 "J" ALUMINIO 80/G12 (MT)</v>
      </c>
      <c r="AF34" t="str">
        <v>PERFIL GOLA FI-J3 "J" ALUMINIO 80/G12 (MT)</v>
      </c>
      <c r="AG34" t="str">
        <v>PERFIL GOLA FI-J3 "J" ALUMINIO 80/G12 (MT)</v>
      </c>
      <c r="AH34" t="str">
        <v>PERFIL GOLA FI-J3 "J" ALUMINIO 80/G12 (MT)</v>
      </c>
      <c r="AI34" t="str">
        <v>PERFIL GOLA FI-J3 "J" ALUMINIO 80/G12 (MT)</v>
      </c>
      <c r="AM34" s="53"/>
    </row>
    <row r="35" spans="1:39">
      <c r="B35" s="8" t="s">
        <v>1034</v>
      </c>
      <c r="C35" s="88" t="str">
        <f>VLOOKUP(B35,'Base_Fornecedores Extras'!$A$5:$C$385,3,FALSE)</f>
        <v>FIWARE</v>
      </c>
      <c r="D35" s="20">
        <v>6.52</v>
      </c>
      <c r="E35" s="19">
        <f t="shared" si="2"/>
        <v>2.6833333333333336</v>
      </c>
      <c r="F35" s="25">
        <f t="shared" si="3"/>
        <v>9.2033333333333331</v>
      </c>
      <c r="G35" s="20">
        <f t="shared" si="0"/>
        <v>16.565999999999999</v>
      </c>
      <c r="H35" s="26">
        <f t="shared" si="1"/>
        <v>17</v>
      </c>
      <c r="I35" s="6" t="s">
        <v>1101</v>
      </c>
      <c r="Z35" s="49" t="str">
        <v>PERFIL GOLA FI-C3 "C" ALUMINIO 80/G13 (MT)</v>
      </c>
      <c r="AA35" t="str">
        <v>PERFIL GOLA FI-C3 "C" ALUMINIO 80/G13 (MT)</v>
      </c>
      <c r="AB35" t="str">
        <v>PERFIL GOLA FI-C3 "C" ALUMINIO 80/G13 (MT)</v>
      </c>
      <c r="AC35" t="str">
        <v>PERFIL GOLA FI-C3 "C" ALUMINIO 80/G13 (MT)</v>
      </c>
      <c r="AD35" t="str">
        <v>PERFIL GOLA FI-C3 "C" ALUMINIO 80/G13 (MT)</v>
      </c>
      <c r="AE35" t="str">
        <v>PERFIL GOLA FI-C3 "C" ALUMINIO 80/G13 (MT)</v>
      </c>
      <c r="AF35" t="str">
        <v>PERFIL GOLA FI-C3 "C" ALUMINIO 80/G13 (MT)</v>
      </c>
      <c r="AG35" t="str">
        <v>PERFIL GOLA FI-C3 "C" ALUMINIO 80/G13 (MT)</v>
      </c>
      <c r="AH35" t="str">
        <v>PERFIL GOLA FI-C3 "C" ALUMINIO 80/G13 (MT)</v>
      </c>
      <c r="AI35" t="str">
        <v>PERFIL GOLA FI-C3 "C" ALUMINIO 80/G13 (MT)</v>
      </c>
      <c r="AM35" s="53"/>
    </row>
    <row r="36" spans="1:39" ht="15.75" thickBot="1">
      <c r="B36" s="8" t="s">
        <v>1035</v>
      </c>
      <c r="C36" s="88" t="str">
        <f>VLOOKUP(B36,'Base_Fornecedores Extras'!$A$5:$C$385,3,FALSE)</f>
        <v>FIWARE</v>
      </c>
      <c r="D36" s="20">
        <v>5</v>
      </c>
      <c r="E36" s="19">
        <f t="shared" si="2"/>
        <v>2.6833333333333336</v>
      </c>
      <c r="F36" s="25">
        <f t="shared" si="3"/>
        <v>7.6833333333333336</v>
      </c>
      <c r="G36" s="20">
        <f t="shared" si="0"/>
        <v>13.83</v>
      </c>
      <c r="H36" s="26">
        <f t="shared" si="1"/>
        <v>14</v>
      </c>
      <c r="I36" s="6" t="s">
        <v>1102</v>
      </c>
      <c r="Z36" s="51"/>
      <c r="AA36" s="187"/>
      <c r="AB36" s="187"/>
      <c r="AC36" s="187"/>
      <c r="AD36" s="187"/>
      <c r="AE36" s="187"/>
      <c r="AF36" s="187"/>
      <c r="AG36" s="187"/>
      <c r="AH36" s="187"/>
      <c r="AI36" s="187"/>
      <c r="AJ36" s="187"/>
      <c r="AK36" s="187"/>
      <c r="AL36" s="187"/>
      <c r="AM36" s="188"/>
    </row>
    <row r="37" spans="1:39">
      <c r="B37" s="8" t="s">
        <v>1051</v>
      </c>
      <c r="C37" s="142" t="str">
        <f>VLOOKUP(B37,'Base_Fornecedores Extras'!$A$5:$C$385,3,FALSE)</f>
        <v>FIWARE</v>
      </c>
      <c r="D37" s="20">
        <v>6.5449999999999999</v>
      </c>
      <c r="E37" s="19">
        <f t="shared" si="2"/>
        <v>2.6833333333333336</v>
      </c>
      <c r="F37" s="25">
        <f t="shared" si="3"/>
        <v>9.2283333333333335</v>
      </c>
      <c r="G37" s="20">
        <f t="shared" si="0"/>
        <v>16.611000000000001</v>
      </c>
      <c r="H37" s="26">
        <f t="shared" si="1"/>
        <v>17</v>
      </c>
      <c r="I37" s="6" t="s">
        <v>1103</v>
      </c>
    </row>
    <row r="38" spans="1:39">
      <c r="C38" s="14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A18A1-2654-4261-9064-1BDCA409C2AD}">
  <sheetPr codeName="Folha15">
    <tabColor theme="0"/>
  </sheetPr>
  <dimension ref="B1:Y11"/>
  <sheetViews>
    <sheetView showGridLines="0" workbookViewId="0">
      <selection activeCell="G4" sqref="G4"/>
    </sheetView>
  </sheetViews>
  <sheetFormatPr defaultRowHeight="15"/>
  <cols>
    <col min="2" max="2" width="55.140625" customWidth="1"/>
    <col min="3" max="3" width="13.5703125" customWidth="1"/>
    <col min="4" max="4" width="20" customWidth="1"/>
    <col min="5" max="5" width="15.28515625" customWidth="1"/>
    <col min="6" max="6" width="25.5703125" customWidth="1"/>
    <col min="7" max="7" width="31.85546875" customWidth="1"/>
    <col min="8" max="8" width="43.140625" customWidth="1"/>
    <col min="21" max="21" width="43" customWidth="1"/>
    <col min="22" max="22" width="42.140625" customWidth="1"/>
    <col min="23" max="23" width="43.140625" customWidth="1"/>
    <col min="24" max="24" width="43.7109375" customWidth="1"/>
    <col min="25" max="25" width="31.140625" customWidth="1"/>
  </cols>
  <sheetData>
    <row r="1" spans="2:25">
      <c r="U1" t="str" cm="1">
        <f t="array" ref="U1:U7">_xlfn._xlws.FILTER(H5:H50, ISNUMBER(FIND(Orçamento_Final!C31,Preço_Rodapés!H5:H50)) * (Preço_Rodapés!H5:H50&lt;&gt;""), "Sem resultados")</f>
        <v>Rodapé PVC Branco Mate Lacado (Altura 100mm)</v>
      </c>
      <c r="V1" t="str" cm="1">
        <f t="array" ref="V1:V7">_xlfn._xlws.FILTER(H5:H50, ISNUMBER(FIND(Orçamento_Final!C32,Preço_Rodapés!H5:H50)) * (Preço_Rodapés!H5:H50&lt;&gt;""), "Sem resultados")</f>
        <v>Rodapé PVC Branco Mate Lacado (Altura 100mm)</v>
      </c>
      <c r="W1" t="str" cm="1">
        <f t="array" ref="W1:W7">_xlfn._xlws.FILTER(H5:H50, ISNUMBER(FIND(Orçamento_Final!C33,Preço_Rodapés!H5:H50)) * (Preço_Rodapés!H5:H50&lt;&gt;""), "Sem resultados")</f>
        <v>Rodapé PVC Branco Mate Lacado (Altura 100mm)</v>
      </c>
      <c r="X1" t="str" cm="1">
        <f t="array" ref="X1:X7">_xlfn._xlws.FILTER(H5:H50, ISNUMBER(FIND(Orçamento_Final!C34,Preço_Rodapés!H5:H50)) * (Preço_Rodapés!H5:H50&lt;&gt;""), "Sem resultados")</f>
        <v>Rodapé PVC Branco Mate Lacado (Altura 100mm)</v>
      </c>
      <c r="Y1" t="str" cm="1">
        <f t="array" ref="Y1:Y7">_xlfn._xlws.FILTER(H5:H50, ISNUMBER(FIND(Orçamento_Final!C35,Preço_Rodapés!H5:H50)) * (Preço_Rodapés!H5:H50&lt;&gt;""), "Sem resultados")</f>
        <v>Rodapé PVC Branco Mate Lacado (Altura 100mm)</v>
      </c>
    </row>
    <row r="2" spans="2:25">
      <c r="B2" s="6" t="s">
        <v>1090</v>
      </c>
      <c r="U2" t="str">
        <v>Rodapé PVC Branco Mate Lacado(Altura 120mm)</v>
      </c>
      <c r="V2" t="str">
        <v>Rodapé PVC Branco Mate Lacado(Altura 120mm)</v>
      </c>
      <c r="W2" t="str">
        <v>Rodapé PVC Branco Mate Lacado(Altura 120mm)</v>
      </c>
      <c r="X2" t="str">
        <v>Rodapé PVC Branco Mate Lacado(Altura 120mm)</v>
      </c>
      <c r="Y2" t="str">
        <v>Rodapé PVC Branco Mate Lacado(Altura 120mm)</v>
      </c>
    </row>
    <row r="3" spans="2:25">
      <c r="G3" t="s">
        <v>1236</v>
      </c>
      <c r="U3" t="str">
        <v>Rodapé PVC Alumínio Escovado (Altura 100mm)</v>
      </c>
      <c r="V3" t="str">
        <v>Rodapé PVC Alumínio Escovado (Altura 100mm)</v>
      </c>
      <c r="W3" t="str">
        <v>Rodapé PVC Alumínio Escovado (Altura 100mm)</v>
      </c>
      <c r="X3" t="str">
        <v>Rodapé PVC Alumínio Escovado (Altura 100mm)</v>
      </c>
      <c r="Y3" t="str">
        <v>Rodapé PVC Alumínio Escovado (Altura 100mm)</v>
      </c>
    </row>
    <row r="4" spans="2:25">
      <c r="B4" s="124" t="s">
        <v>1091</v>
      </c>
      <c r="C4" s="124" t="s">
        <v>916</v>
      </c>
      <c r="D4" s="124" t="s">
        <v>1096</v>
      </c>
      <c r="E4" s="124" t="s">
        <v>1095</v>
      </c>
      <c r="F4" s="131" t="s">
        <v>1098</v>
      </c>
      <c r="G4" s="132" t="s">
        <v>1097</v>
      </c>
      <c r="H4" s="124" t="s">
        <v>1092</v>
      </c>
      <c r="U4" t="str">
        <v>Rodapé PVC Preto Mate (Altura 100mm)</v>
      </c>
      <c r="V4" t="str">
        <v>Rodapé PVC Preto Mate (Altura 100mm)</v>
      </c>
      <c r="W4" t="str">
        <v>Rodapé PVC Preto Mate (Altura 100mm)</v>
      </c>
      <c r="X4" t="str">
        <v>Rodapé PVC Preto Mate (Altura 100mm)</v>
      </c>
      <c r="Y4" t="str">
        <v>Rodapé PVC Preto Mate (Altura 100mm)</v>
      </c>
    </row>
    <row r="5" spans="2:25">
      <c r="B5" s="135" t="s">
        <v>1000</v>
      </c>
      <c r="C5" s="135" t="str">
        <f>VLOOKUP(B5,'Base_Fornecedores Extras'!$A$5:$C$385,3,FALSE)</f>
        <v>FIWARE</v>
      </c>
      <c r="D5" s="136">
        <v>2.2599999999999998</v>
      </c>
      <c r="E5" s="19">
        <f>IF(ISNUMBER(FIND("CANTO", B5)), 2, IF(ISNUMBER(FIND("RODAPE", B5)), 10, 0)) * (23/60)</f>
        <v>3.8333333333333335</v>
      </c>
      <c r="F5" s="137">
        <f>E5+D5</f>
        <v>6.0933333333333337</v>
      </c>
      <c r="G5" s="138">
        <f>ROUNDUP((D5+E5)*1.6, 0)</f>
        <v>10</v>
      </c>
      <c r="H5" t="s">
        <v>1548</v>
      </c>
      <c r="U5" t="str">
        <v>Rodapé PVC Preto Mate (Altura 150mm)</v>
      </c>
      <c r="V5" t="str">
        <v>Rodapé PVC Preto Mate (Altura 150mm)</v>
      </c>
      <c r="W5" t="str">
        <v>Rodapé PVC Preto Mate (Altura 150mm)</v>
      </c>
      <c r="X5" t="str">
        <v>Rodapé PVC Preto Mate (Altura 150mm)</v>
      </c>
      <c r="Y5" t="str">
        <v>Rodapé PVC Preto Mate (Altura 150mm)</v>
      </c>
    </row>
    <row r="6" spans="2:25">
      <c r="B6" s="8" t="s">
        <v>1025</v>
      </c>
      <c r="C6" s="8" t="str">
        <f>VLOOKUP(B6,'Base_Fornecedores Extras'!$A$5:$C$385,3,FALSE)</f>
        <v>FIWARE</v>
      </c>
      <c r="D6" s="19">
        <v>2.41</v>
      </c>
      <c r="E6" s="19">
        <f t="shared" ref="E6:E11" si="0">IF(ISNUMBER(FIND("CANTO", B6)), 2, IF(ISNUMBER(FIND("RODAPE", B6)), 10, 0)) * (23/60)</f>
        <v>3.8333333333333335</v>
      </c>
      <c r="F6" s="25">
        <f t="shared" ref="F6:F11" si="1">E6+D6</f>
        <v>6.2433333333333341</v>
      </c>
      <c r="G6" s="138">
        <v>11</v>
      </c>
      <c r="H6" t="s">
        <v>1549</v>
      </c>
      <c r="U6" t="str">
        <v>Canto 90º para Rodapé Alumínio Escovado</v>
      </c>
      <c r="V6" t="str">
        <v>Canto 90º para Rodapé Alumínio Escovado</v>
      </c>
      <c r="W6" t="str">
        <v>Canto 90º para Rodapé Alumínio Escovado</v>
      </c>
      <c r="X6" t="str">
        <v>Canto 90º para Rodapé Alumínio Escovado</v>
      </c>
      <c r="Y6" t="str">
        <v>Canto 90º para Rodapé Alumínio Escovado</v>
      </c>
    </row>
    <row r="7" spans="2:25">
      <c r="B7" s="8" t="s">
        <v>1030</v>
      </c>
      <c r="C7" s="8" t="str">
        <f>VLOOKUP(B7,'Base_Fornecedores Extras'!$A$5:$C$385,3,FALSE)</f>
        <v>FIWARE</v>
      </c>
      <c r="D7" s="19">
        <v>2.145</v>
      </c>
      <c r="E7" s="19">
        <f t="shared" si="0"/>
        <v>3.8333333333333335</v>
      </c>
      <c r="F7" s="25">
        <f t="shared" si="1"/>
        <v>5.9783333333333335</v>
      </c>
      <c r="G7" s="138">
        <f t="shared" ref="G7:G10" si="2">ROUNDUP((D7+E7)*1.6, 0)</f>
        <v>10</v>
      </c>
      <c r="H7" t="s">
        <v>1104</v>
      </c>
      <c r="U7" t="str">
        <v>Canto 90º para Rodapé Preto Mate</v>
      </c>
      <c r="V7" t="str">
        <v>Canto 90º para Rodapé Preto Mate</v>
      </c>
      <c r="W7" t="str">
        <v>Canto 90º para Rodapé Preto Mate</v>
      </c>
      <c r="X7" t="str">
        <v>Canto 90º para Rodapé Preto Mate</v>
      </c>
      <c r="Y7" t="str">
        <v>Canto 90º para Rodapé Preto Mate</v>
      </c>
    </row>
    <row r="8" spans="2:25">
      <c r="B8" s="8" t="s">
        <v>1029</v>
      </c>
      <c r="C8" s="8" t="str">
        <f>VLOOKUP(B8,'Base_Fornecedores Extras'!$A$5:$C$385,3,FALSE)</f>
        <v>FIWARE</v>
      </c>
      <c r="D8" s="19">
        <v>2.6</v>
      </c>
      <c r="E8" s="19">
        <f t="shared" si="0"/>
        <v>3.8333333333333335</v>
      </c>
      <c r="F8" s="25">
        <f t="shared" si="1"/>
        <v>6.4333333333333336</v>
      </c>
      <c r="G8" s="138">
        <f t="shared" si="2"/>
        <v>11</v>
      </c>
      <c r="H8" t="s">
        <v>1105</v>
      </c>
    </row>
    <row r="9" spans="2:25">
      <c r="B9" s="8" t="s">
        <v>1033</v>
      </c>
      <c r="C9" s="8" t="str">
        <f>VLOOKUP(B9,'Base_Fornecedores Extras'!$A$5:$C$385,3,FALSE)</f>
        <v>FIWARE</v>
      </c>
      <c r="D9" s="19">
        <v>3.1241666600000002</v>
      </c>
      <c r="E9" s="19">
        <f t="shared" si="0"/>
        <v>3.8333333333333335</v>
      </c>
      <c r="F9" s="25">
        <f t="shared" si="1"/>
        <v>6.9574999933333341</v>
      </c>
      <c r="G9" s="138">
        <f t="shared" si="2"/>
        <v>12</v>
      </c>
      <c r="H9" t="s">
        <v>1106</v>
      </c>
    </row>
    <row r="10" spans="2:25">
      <c r="B10" s="8" t="s">
        <v>1016</v>
      </c>
      <c r="C10" s="8" t="str">
        <f>VLOOKUP(B10,'Base_Fornecedores Extras'!$A$5:$C$385,3,FALSE)</f>
        <v>FIWARE</v>
      </c>
      <c r="D10" s="19">
        <v>1.06</v>
      </c>
      <c r="E10" s="19">
        <f t="shared" si="0"/>
        <v>0.76666666666666672</v>
      </c>
      <c r="F10" s="25">
        <f t="shared" si="1"/>
        <v>1.8266666666666667</v>
      </c>
      <c r="G10" s="138">
        <f t="shared" si="2"/>
        <v>3</v>
      </c>
      <c r="H10" s="6" t="s">
        <v>1093</v>
      </c>
    </row>
    <row r="11" spans="2:25">
      <c r="B11" s="8" t="s">
        <v>1032</v>
      </c>
      <c r="C11" s="8" t="str">
        <f>VLOOKUP(B11,'Base_Fornecedores Extras'!$A$5:$C$385,3,FALSE)</f>
        <v>FIWARE</v>
      </c>
      <c r="D11" s="19">
        <v>0.59</v>
      </c>
      <c r="E11" s="19">
        <f t="shared" si="0"/>
        <v>0.76666666666666672</v>
      </c>
      <c r="F11" s="25">
        <f t="shared" si="1"/>
        <v>1.3566666666666667</v>
      </c>
      <c r="G11" s="138">
        <v>4</v>
      </c>
      <c r="H11" s="6" t="s">
        <v>1094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ADBE0-14C9-4484-8260-552F2EAEE622}">
  <sheetPr codeName="Folha16">
    <tabColor theme="0"/>
  </sheetPr>
  <dimension ref="B1:Y23"/>
  <sheetViews>
    <sheetView showGridLines="0" workbookViewId="0">
      <selection activeCell="F18" sqref="F18"/>
    </sheetView>
  </sheetViews>
  <sheetFormatPr defaultRowHeight="15"/>
  <cols>
    <col min="2" max="2" width="46.140625" customWidth="1"/>
    <col min="3" max="3" width="14.7109375" customWidth="1"/>
    <col min="4" max="4" width="15.28515625" customWidth="1"/>
    <col min="5" max="5" width="14" customWidth="1"/>
    <col min="6" max="6" width="19.140625" customWidth="1"/>
    <col min="7" max="7" width="13.85546875" customWidth="1"/>
    <col min="8" max="8" width="36" customWidth="1"/>
    <col min="16" max="16" width="34.7109375" customWidth="1"/>
    <col min="17" max="17" width="36.140625" customWidth="1"/>
    <col min="18" max="18" width="33.85546875" customWidth="1"/>
    <col min="19" max="19" width="34.42578125" customWidth="1"/>
    <col min="20" max="20" width="37" customWidth="1"/>
    <col min="21" max="21" width="36" customWidth="1"/>
    <col min="22" max="22" width="35.5703125" customWidth="1"/>
    <col min="23" max="23" width="34.7109375" customWidth="1"/>
    <col min="24" max="24" width="34.5703125" customWidth="1"/>
    <col min="25" max="25" width="36" customWidth="1"/>
  </cols>
  <sheetData>
    <row r="1" spans="2:25">
      <c r="G1" t="s">
        <v>1236</v>
      </c>
      <c r="P1" s="190" t="str" cm="1">
        <f t="array" ref="P1:P12">_xlfn._xlws.FILTER(H3:H50, ISNUMBER(FIND(Orçamento_Final!C36,'Preço_Acessórios Cozinha'!H3:H50)) * ('Preço_Acessórios Cozinha'!H3:H50&lt;&gt;""), "Sem resultados")</f>
        <v>Porta-Garrafas Extraível K-Line (M30)</v>
      </c>
      <c r="Q1" s="184" t="str" cm="1">
        <f t="array" ref="Q1:Q12">_xlfn._xlws.FILTER(H3:H50, ISNUMBER(FIND(Orçamento_Final!C37,'Preço_Acessórios Cozinha'!H3:H50)) * ('Preço_Acessórios Cozinha'!H3:H50&lt;&gt;""), "Sem resultados")</f>
        <v>Porta-Garrafas Extraível K-Line (M30)</v>
      </c>
      <c r="R1" s="184" t="str" cm="1">
        <f t="array" ref="R1:R12">_xlfn._xlws.FILTER(H3:H50, ISNUMBER(FIND(Orçamento_Final!C38,'Preço_Acessórios Cozinha'!H3:H50)) * ('Preço_Acessórios Cozinha'!H3:H50&lt;&gt;""), "Sem resultados")</f>
        <v>Porta-Garrafas Extraível K-Line (M30)</v>
      </c>
      <c r="S1" s="184" t="str" cm="1">
        <f t="array" ref="S1:S12">_xlfn._xlws.FILTER(H3:H50, ISNUMBER(FIND(Orçamento_Final!C39,'Preço_Acessórios Cozinha'!H3:H50)) * ('Preço_Acessórios Cozinha'!H3:H50&lt;&gt;""), "Sem resultados")</f>
        <v>Porta-Garrafas Extraível K-Line (M30)</v>
      </c>
      <c r="T1" s="184" t="str" cm="1">
        <f t="array" ref="T1:T12">_xlfn._xlws.FILTER(H3:H50, ISNUMBER(FIND(Orçamento_Final!C40,'Preço_Acessórios Cozinha'!H3:H50)) * ('Preço_Acessórios Cozinha'!H3:H50&lt;&gt;""), "Sem resultados")</f>
        <v>Porta-Garrafas Extraível K-Line (M30)</v>
      </c>
      <c r="U1" s="184" t="str" cm="1">
        <f t="array" ref="U1:U12">_xlfn._xlws.FILTER(H3:H50, ISNUMBER(FIND(Orçamento_Final!C41,'Preço_Acessórios Cozinha'!H3:H50)) * ('Preço_Acessórios Cozinha'!H3:H50&lt;&gt;""), "Sem resultados")</f>
        <v>Porta-Garrafas Extraível K-Line (M30)</v>
      </c>
      <c r="V1" s="184" t="str" cm="1">
        <f t="array" ref="V1:V12">_xlfn._xlws.FILTER(H3:H50, ISNUMBER(FIND(Orçamento_Final!C42,'Preço_Acessórios Cozinha'!H3:H50)) * ('Preço_Acessórios Cozinha'!H3:H50&lt;&gt;""), "Sem resultados")</f>
        <v>Porta-Garrafas Extraível K-Line (M30)</v>
      </c>
      <c r="W1" s="184" t="str" cm="1">
        <f t="array" ref="W1:W12">_xlfn._xlws.FILTER(H3:H50, ISNUMBER(FIND(Orçamento_Final!C43,'Preço_Acessórios Cozinha'!H3:H50)) * ('Preço_Acessórios Cozinha'!H3:H50&lt;&gt;""), "Sem resultados")</f>
        <v>Porta-Garrafas Extraível K-Line (M30)</v>
      </c>
      <c r="X1" s="184" t="str" cm="1">
        <f t="array" ref="X1:X12">_xlfn._xlws.FILTER(H3:H50, ISNUMBER(FIND(Orçamento_Final!C44,'Preço_Acessórios Cozinha'!H3:H50)) * ('Preço_Acessórios Cozinha'!H3:H50&lt;&gt;""), "Sem resultados")</f>
        <v>Porta-Garrafas Extraível K-Line (M30)</v>
      </c>
      <c r="Y1" s="52" t="str" cm="1">
        <f t="array" ref="Y1:Y12">_xlfn._xlws.FILTER(H3:H50, ISNUMBER(FIND(Orçamento_Final!C45,'Preço_Acessórios Cozinha'!H3:H50)) * ('Preço_Acessórios Cozinha'!H3:H50&lt;&gt;""), "Sem resultados")</f>
        <v>Porta-Garrafas Extraível K-Line (M30)</v>
      </c>
    </row>
    <row r="2" spans="2:25">
      <c r="B2" s="148" t="s">
        <v>1115</v>
      </c>
      <c r="C2" s="148" t="s">
        <v>916</v>
      </c>
      <c r="D2" s="148" t="s">
        <v>1052</v>
      </c>
      <c r="E2" s="148" t="s">
        <v>1116</v>
      </c>
      <c r="F2" s="145" t="s">
        <v>915</v>
      </c>
      <c r="G2" s="133" t="s">
        <v>1111</v>
      </c>
      <c r="H2" s="148" t="s">
        <v>1117</v>
      </c>
      <c r="P2" s="49" t="str">
        <v>Porta-Garrafas Extraível Lâmina (M15)</v>
      </c>
      <c r="Q2" t="str">
        <v>Porta-Garrafas Extraível Lâmina (M15)</v>
      </c>
      <c r="R2" t="str">
        <v>Porta-Garrafas Extraível Lâmina (M15)</v>
      </c>
      <c r="S2" t="str">
        <v>Porta-Garrafas Extraível Lâmina (M15)</v>
      </c>
      <c r="T2" t="str">
        <v>Porta-Garrafas Extraível Lâmina (M15)</v>
      </c>
      <c r="U2" t="str">
        <v>Porta-Garrafas Extraível Lâmina (M15)</v>
      </c>
      <c r="V2" t="str">
        <v>Porta-Garrafas Extraível Lâmina (M15)</v>
      </c>
      <c r="W2" t="str">
        <v>Porta-Garrafas Extraível Lâmina (M15)</v>
      </c>
      <c r="X2" t="str">
        <v>Porta-Garrafas Extraível Lâmina (M15)</v>
      </c>
      <c r="Y2" s="53" t="str">
        <v>Porta-Garrafas Extraível Lâmina (M15)</v>
      </c>
    </row>
    <row r="3" spans="2:25">
      <c r="B3" s="8" t="s">
        <v>945</v>
      </c>
      <c r="C3" s="8" t="str">
        <f>VLOOKUP(B3,'Base_Fornecedores Extras'!$A$5:$C$385,3,FALSE)</f>
        <v>LAGE &amp; SA</v>
      </c>
      <c r="D3" s="128">
        <v>84.37</v>
      </c>
      <c r="E3" s="19">
        <f>IF(OR(ISNUMBER(FIND("SEP", B3)), ISNUMBER(FIND("TAPETE", B3)), ISNUMBER(FIND("TALHERES", B3))), 0, IF(ISNUMBER(FIND("GARRAFAS", B3)), 20, 0)) * (23/60)</f>
        <v>7.666666666666667</v>
      </c>
      <c r="F3" s="146">
        <f>D3+E3</f>
        <v>92.036666666666676</v>
      </c>
      <c r="G3" s="147">
        <f>ROUNDUP((F3)*1.6, 0)</f>
        <v>148</v>
      </c>
      <c r="H3" t="s">
        <v>1118</v>
      </c>
      <c r="P3" s="49" t="str">
        <v>Porta-Garrafas Extraível Ring (M20)</v>
      </c>
      <c r="Q3" t="str">
        <v>Porta-Garrafas Extraível Ring (M20)</v>
      </c>
      <c r="R3" t="str">
        <v>Porta-Garrafas Extraível Ring (M20)</v>
      </c>
      <c r="S3" t="str">
        <v>Porta-Garrafas Extraível Ring (M20)</v>
      </c>
      <c r="T3" t="str">
        <v>Porta-Garrafas Extraível Ring (M20)</v>
      </c>
      <c r="U3" t="str">
        <v>Porta-Garrafas Extraível Ring (M20)</v>
      </c>
      <c r="V3" t="str">
        <v>Porta-Garrafas Extraível Ring (M20)</v>
      </c>
      <c r="W3" t="str">
        <v>Porta-Garrafas Extraível Ring (M20)</v>
      </c>
      <c r="X3" t="str">
        <v>Porta-Garrafas Extraível Ring (M20)</v>
      </c>
      <c r="Y3" s="53" t="str">
        <v>Porta-Garrafas Extraível Ring (M20)</v>
      </c>
    </row>
    <row r="4" spans="2:25">
      <c r="B4" s="8" t="s">
        <v>1008</v>
      </c>
      <c r="C4" s="8" t="str">
        <f>VLOOKUP(B4,'Base_Fornecedores Extras'!$A$5:$C$385,3,FALSE)</f>
        <v>FIWARE</v>
      </c>
      <c r="D4" s="128">
        <v>55.55</v>
      </c>
      <c r="E4" s="19">
        <f t="shared" ref="E4:E5" si="0">IF(OR(ISNUMBER(FIND("SEP", B4)), ISNUMBER(FIND("TAPETE", B4)), ISNUMBER(FIND("TALHERES", B4))), 0, IF(ISNUMBER(FIND("GARRAFAS", B4)), 20, 0)) * (23/60)</f>
        <v>7.666666666666667</v>
      </c>
      <c r="F4" s="146">
        <f t="shared" ref="F4:F14" si="1">D4+E4</f>
        <v>63.216666666666661</v>
      </c>
      <c r="G4" s="147">
        <f>ROUNDUP((F4)*1.6, 0)</f>
        <v>102</v>
      </c>
      <c r="H4" t="s">
        <v>1119</v>
      </c>
      <c r="P4" s="49" t="str">
        <v>Porta-Garrafas Extraível Ring (M15)</v>
      </c>
      <c r="Q4" t="str">
        <v>Porta-Garrafas Extraível Ring (M15)</v>
      </c>
      <c r="R4" t="str">
        <v>Porta-Garrafas Extraível Ring (M15)</v>
      </c>
      <c r="S4" t="str">
        <v>Porta-Garrafas Extraível Ring (M15)</v>
      </c>
      <c r="T4" t="str">
        <v>Porta-Garrafas Extraível Ring (M15)</v>
      </c>
      <c r="U4" t="str">
        <v>Porta-Garrafas Extraível Ring (M15)</v>
      </c>
      <c r="V4" t="str">
        <v>Porta-Garrafas Extraível Ring (M15)</v>
      </c>
      <c r="W4" t="str">
        <v>Porta-Garrafas Extraível Ring (M15)</v>
      </c>
      <c r="X4" t="str">
        <v>Porta-Garrafas Extraível Ring (M15)</v>
      </c>
      <c r="Y4" s="53" t="str">
        <v>Porta-Garrafas Extraível Ring (M15)</v>
      </c>
    </row>
    <row r="5" spans="2:25">
      <c r="B5" s="8" t="s">
        <v>995</v>
      </c>
      <c r="C5" s="8" t="str">
        <f>VLOOKUP(B5,'Base_Fornecedores Extras'!$A$5:$C$385,3,FALSE)</f>
        <v>FIWARE</v>
      </c>
      <c r="D5" s="128">
        <v>61.1</v>
      </c>
      <c r="E5" s="19">
        <f t="shared" si="0"/>
        <v>7.666666666666667</v>
      </c>
      <c r="F5" s="146">
        <f t="shared" si="1"/>
        <v>68.766666666666666</v>
      </c>
      <c r="G5" s="147">
        <f t="shared" ref="G5:G14" si="2">ROUNDUP((F5)*1.6, 0)</f>
        <v>111</v>
      </c>
      <c r="H5" t="s">
        <v>1120</v>
      </c>
      <c r="P5" s="49" t="str">
        <v>Separador para Porta-Garrafas K-Line</v>
      </c>
      <c r="Q5" t="str">
        <v>Separador para Porta-Garrafas K-Line</v>
      </c>
      <c r="R5" t="str">
        <v>Separador para Porta-Garrafas K-Line</v>
      </c>
      <c r="S5" t="str">
        <v>Separador para Porta-Garrafas K-Line</v>
      </c>
      <c r="T5" t="str">
        <v>Separador para Porta-Garrafas K-Line</v>
      </c>
      <c r="U5" t="str">
        <v>Separador para Porta-Garrafas K-Line</v>
      </c>
      <c r="V5" t="str">
        <v>Separador para Porta-Garrafas K-Line</v>
      </c>
      <c r="W5" t="str">
        <v>Separador para Porta-Garrafas K-Line</v>
      </c>
      <c r="X5" t="str">
        <v>Separador para Porta-Garrafas K-Line</v>
      </c>
      <c r="Y5" s="53" t="str">
        <v>Separador para Porta-Garrafas K-Line</v>
      </c>
    </row>
    <row r="6" spans="2:25">
      <c r="B6" s="8" t="s">
        <v>996</v>
      </c>
      <c r="C6" s="8" t="str">
        <f>VLOOKUP(B6,'Base_Fornecedores Extras'!$A$5:$C$385,3,FALSE)</f>
        <v>FIWARE</v>
      </c>
      <c r="D6" s="128">
        <v>38.5</v>
      </c>
      <c r="E6" s="19">
        <f>IF(OR(ISNUMBER(FIND("SEP", B6)), ISNUMBER(FIND("TAPETE", B6)), ISNUMBER(FIND("TALHERES", B6))), 15, IF(ISNUMBER(FIND("GARRAFAS", B6)), 20, 0)) * (23/60)</f>
        <v>7.666666666666667</v>
      </c>
      <c r="F6" s="146">
        <f t="shared" si="1"/>
        <v>46.166666666666664</v>
      </c>
      <c r="G6" s="147">
        <f t="shared" si="2"/>
        <v>74</v>
      </c>
      <c r="H6" t="s">
        <v>1121</v>
      </c>
      <c r="P6" s="49" t="str">
        <v>Kit 4 Separadores Garrafas (M20)</v>
      </c>
      <c r="Q6" t="str">
        <v>Kit 4 Separadores Garrafas (M20)</v>
      </c>
      <c r="R6" t="str">
        <v>Kit 4 Separadores Garrafas (M20)</v>
      </c>
      <c r="S6" t="str">
        <v>Kit 4 Separadores Garrafas (M20)</v>
      </c>
      <c r="T6" t="str">
        <v>Kit 4 Separadores Garrafas (M20)</v>
      </c>
      <c r="U6" t="str">
        <v>Kit 4 Separadores Garrafas (M20)</v>
      </c>
      <c r="V6" t="str">
        <v>Kit 4 Separadores Garrafas (M20)</v>
      </c>
      <c r="W6" t="str">
        <v>Kit 4 Separadores Garrafas (M20)</v>
      </c>
      <c r="X6" t="str">
        <v>Kit 4 Separadores Garrafas (M20)</v>
      </c>
      <c r="Y6" s="53" t="str">
        <v>Kit 4 Separadores Garrafas (M20)</v>
      </c>
    </row>
    <row r="7" spans="2:25">
      <c r="B7" s="8" t="s">
        <v>932</v>
      </c>
      <c r="C7" s="8" t="str">
        <f>VLOOKUP(B7,'Base_Fornecedores Extras'!$A$5:$C$385,3,FALSE)</f>
        <v>LAGE &amp; SA</v>
      </c>
      <c r="D7" s="128">
        <v>0.71499999999999997</v>
      </c>
      <c r="E7" s="19">
        <f>IF(OR(ISNUMBER(FIND("SEP", B7)), ISNUMBER(FIND("TAPETE", B7)), ISNUMBER(FIND("TALHERES", B7))), 15, IF(ISNUMBER(FIND("GARRAFAS", B7)), 20, 0)) * (23/60)</f>
        <v>5.75</v>
      </c>
      <c r="F7" s="146">
        <f t="shared" si="1"/>
        <v>6.4649999999999999</v>
      </c>
      <c r="G7" s="147">
        <f t="shared" si="2"/>
        <v>11</v>
      </c>
      <c r="H7" t="s">
        <v>1122</v>
      </c>
      <c r="P7" s="49" t="str">
        <v>Kit 4 Separadores Garrafas (M15)</v>
      </c>
      <c r="Q7" t="str">
        <v>Kit 4 Separadores Garrafas (M15)</v>
      </c>
      <c r="R7" t="str">
        <v>Kit 4 Separadores Garrafas (M15)</v>
      </c>
      <c r="S7" t="str">
        <v>Kit 4 Separadores Garrafas (M15)</v>
      </c>
      <c r="T7" t="str">
        <v>Kit 4 Separadores Garrafas (M15)</v>
      </c>
      <c r="U7" t="str">
        <v>Kit 4 Separadores Garrafas (M15)</v>
      </c>
      <c r="V7" t="str">
        <v>Kit 4 Separadores Garrafas (M15)</v>
      </c>
      <c r="W7" t="str">
        <v>Kit 4 Separadores Garrafas (M15)</v>
      </c>
      <c r="X7" t="str">
        <v>Kit 4 Separadores Garrafas (M15)</v>
      </c>
      <c r="Y7" s="53" t="str">
        <v>Kit 4 Separadores Garrafas (M15)</v>
      </c>
    </row>
    <row r="8" spans="2:25">
      <c r="B8" s="8" t="s">
        <v>994</v>
      </c>
      <c r="C8" s="8" t="str">
        <f>VLOOKUP(B8,'Base_Fornecedores Extras'!$A$5:$C$385,3,FALSE)</f>
        <v>FIWARE</v>
      </c>
      <c r="D8" s="128">
        <v>5.2</v>
      </c>
      <c r="E8" s="19">
        <f t="shared" ref="E8:E14" si="3">IF(OR(ISNUMBER(FIND("SEP", B8)), ISNUMBER(FIND("TAPETE", B8)), ISNUMBER(FIND("TALHERES", B8))), 15, IF(ISNUMBER(FIND("GARRAFAS", B8)), 20, 0)) * (23/60)</f>
        <v>5.75</v>
      </c>
      <c r="F8" s="146">
        <f t="shared" si="1"/>
        <v>10.95</v>
      </c>
      <c r="G8" s="147">
        <f t="shared" si="2"/>
        <v>18</v>
      </c>
      <c r="H8" t="s">
        <v>1123</v>
      </c>
      <c r="P8" s="49" t="str">
        <v>Kit 8 Separadores Pequenos</v>
      </c>
      <c r="Q8" t="str">
        <v>Kit 8 Separadores Pequenos</v>
      </c>
      <c r="R8" t="str">
        <v>Kit 8 Separadores Pequenos</v>
      </c>
      <c r="S8" t="str">
        <v>Kit 8 Separadores Pequenos</v>
      </c>
      <c r="T8" t="str">
        <v>Kit 8 Separadores Pequenos</v>
      </c>
      <c r="U8" t="str">
        <v>Kit 8 Separadores Pequenos</v>
      </c>
      <c r="V8" t="str">
        <v>Kit 8 Separadores Pequenos</v>
      </c>
      <c r="W8" t="str">
        <v>Kit 8 Separadores Pequenos</v>
      </c>
      <c r="X8" t="str">
        <v>Kit 8 Separadores Pequenos</v>
      </c>
      <c r="Y8" s="53" t="str">
        <v>Kit 8 Separadores Pequenos</v>
      </c>
    </row>
    <row r="9" spans="2:25">
      <c r="B9" s="8" t="s">
        <v>997</v>
      </c>
      <c r="C9" s="8" t="str">
        <f>VLOOKUP(B9,'Base_Fornecedores Extras'!$A$5:$C$385,3,FALSE)</f>
        <v>FIWARE</v>
      </c>
      <c r="D9" s="128">
        <v>2.3650000000000002</v>
      </c>
      <c r="E9" s="19">
        <f t="shared" si="3"/>
        <v>5.75</v>
      </c>
      <c r="F9" s="146">
        <f t="shared" si="1"/>
        <v>8.1150000000000002</v>
      </c>
      <c r="G9" s="147">
        <f t="shared" si="2"/>
        <v>13</v>
      </c>
      <c r="H9" t="s">
        <v>1124</v>
      </c>
      <c r="P9" s="49" t="str">
        <v>Porta-Talheres Star Cinza (M60)</v>
      </c>
      <c r="Q9" t="str">
        <v>Porta-Talheres Star Cinza (M60)</v>
      </c>
      <c r="R9" t="str">
        <v>Porta-Talheres Star Cinza (M60)</v>
      </c>
      <c r="S9" t="str">
        <v>Porta-Talheres Star Cinza (M60)</v>
      </c>
      <c r="T9" t="str">
        <v>Porta-Talheres Star Cinza (M60)</v>
      </c>
      <c r="U9" t="str">
        <v>Porta-Talheres Star Cinza (M60)</v>
      </c>
      <c r="V9" t="str">
        <v>Porta-Talheres Star Cinza (M60)</v>
      </c>
      <c r="W9" t="str">
        <v>Porta-Talheres Star Cinza (M60)</v>
      </c>
      <c r="X9" t="str">
        <v>Porta-Talheres Star Cinza (M60)</v>
      </c>
      <c r="Y9" s="53" t="str">
        <v>Porta-Talheres Star Cinza (M60)</v>
      </c>
    </row>
    <row r="10" spans="2:25">
      <c r="B10" s="8" t="s">
        <v>1006</v>
      </c>
      <c r="C10" s="8" t="str">
        <f>VLOOKUP(B10,'Base_Fornecedores Extras'!$A$5:$C$385,3,FALSE)</f>
        <v>FIWARE</v>
      </c>
      <c r="D10" s="128">
        <v>8.25</v>
      </c>
      <c r="E10" s="19">
        <f t="shared" si="3"/>
        <v>5.75</v>
      </c>
      <c r="F10" s="146">
        <f>D10+E10</f>
        <v>14</v>
      </c>
      <c r="G10" s="147">
        <f>ROUNDUP((F10)*1.6, 0)</f>
        <v>23</v>
      </c>
      <c r="H10" t="s">
        <v>1125</v>
      </c>
      <c r="P10" s="49" t="str">
        <v>Tapete Antiderrapante Gaveta (M60)</v>
      </c>
      <c r="Q10" t="str">
        <v>Tapete Antiderrapante Gaveta (M60)</v>
      </c>
      <c r="R10" t="str">
        <v>Tapete Antiderrapante Gaveta (M60)</v>
      </c>
      <c r="S10" t="str">
        <v>Tapete Antiderrapante Gaveta (M60)</v>
      </c>
      <c r="T10" t="str">
        <v>Tapete Antiderrapante Gaveta (M60)</v>
      </c>
      <c r="U10" t="str">
        <v>Tapete Antiderrapante Gaveta (M60)</v>
      </c>
      <c r="V10" t="str">
        <v>Tapete Antiderrapante Gaveta (M60)</v>
      </c>
      <c r="W10" t="str">
        <v>Tapete Antiderrapante Gaveta (M60)</v>
      </c>
      <c r="X10" t="str">
        <v>Tapete Antiderrapante Gaveta (M60)</v>
      </c>
      <c r="Y10" s="53" t="str">
        <v>Tapete Antiderrapante Gaveta (M60)</v>
      </c>
    </row>
    <row r="11" spans="2:25">
      <c r="B11" s="8" t="s">
        <v>950</v>
      </c>
      <c r="C11" s="8" t="str">
        <f>VLOOKUP(B11,'Base_Fornecedores Extras'!$A$5:$C$385,3,FALSE)</f>
        <v>LAGE &amp; SA</v>
      </c>
      <c r="D11" s="128">
        <v>5.3630000000000004</v>
      </c>
      <c r="E11" s="19">
        <f t="shared" si="3"/>
        <v>5.75</v>
      </c>
      <c r="F11" s="146">
        <f t="shared" si="1"/>
        <v>11.113</v>
      </c>
      <c r="G11" s="147">
        <f t="shared" si="2"/>
        <v>18</v>
      </c>
      <c r="H11" t="s">
        <v>1126</v>
      </c>
      <c r="P11" s="49" t="str">
        <v>Tapete Antiderrapante Gaveta (M90)</v>
      </c>
      <c r="Q11" t="str">
        <v>Tapete Antiderrapante Gaveta (M90)</v>
      </c>
      <c r="R11" t="str">
        <v>Tapete Antiderrapante Gaveta (M90)</v>
      </c>
      <c r="S11" t="str">
        <v>Tapete Antiderrapante Gaveta (M90)</v>
      </c>
      <c r="T11" t="str">
        <v>Tapete Antiderrapante Gaveta (M90)</v>
      </c>
      <c r="U11" t="str">
        <v>Tapete Antiderrapante Gaveta (M90)</v>
      </c>
      <c r="V11" t="str">
        <v>Tapete Antiderrapante Gaveta (M90)</v>
      </c>
      <c r="W11" t="str">
        <v>Tapete Antiderrapante Gaveta (M90)</v>
      </c>
      <c r="X11" t="str">
        <v>Tapete Antiderrapante Gaveta (M90)</v>
      </c>
      <c r="Y11" s="53" t="str">
        <v>Tapete Antiderrapante Gaveta (M90)</v>
      </c>
    </row>
    <row r="12" spans="2:25" ht="15.75" thickBot="1">
      <c r="B12" s="8" t="s">
        <v>1022</v>
      </c>
      <c r="C12" s="8" t="str">
        <f>VLOOKUP(B12,'Base_Fornecedores Extras'!$A$5:$C$385,3,FALSE)</f>
        <v>FIWARE</v>
      </c>
      <c r="D12" s="128">
        <v>4.68</v>
      </c>
      <c r="E12" s="19">
        <f t="shared" si="3"/>
        <v>5.75</v>
      </c>
      <c r="F12" s="146">
        <f t="shared" si="1"/>
        <v>10.43</v>
      </c>
      <c r="G12" s="147">
        <f t="shared" si="2"/>
        <v>17</v>
      </c>
      <c r="H12" t="s">
        <v>1127</v>
      </c>
      <c r="P12" s="51" t="str">
        <v>Tapete Antiderrapante Gaveta (M120)</v>
      </c>
      <c r="Q12" s="187" t="str">
        <v>Tapete Antiderrapante Gaveta (M120)</v>
      </c>
      <c r="R12" s="187" t="str">
        <v>Tapete Antiderrapante Gaveta (M120)</v>
      </c>
      <c r="S12" s="187" t="str">
        <v>Tapete Antiderrapante Gaveta (M120)</v>
      </c>
      <c r="T12" s="187" t="str">
        <v>Tapete Antiderrapante Gaveta (M120)</v>
      </c>
      <c r="U12" s="187" t="str">
        <v>Tapete Antiderrapante Gaveta (M120)</v>
      </c>
      <c r="V12" s="187" t="str">
        <v>Tapete Antiderrapante Gaveta (M120)</v>
      </c>
      <c r="W12" s="187" t="str">
        <v>Tapete Antiderrapante Gaveta (M120)</v>
      </c>
      <c r="X12" s="187" t="str">
        <v>Tapete Antiderrapante Gaveta (M120)</v>
      </c>
      <c r="Y12" s="188" t="str">
        <v>Tapete Antiderrapante Gaveta (M120)</v>
      </c>
    </row>
    <row r="13" spans="2:25">
      <c r="B13" s="8" t="s">
        <v>1023</v>
      </c>
      <c r="C13" s="8" t="str">
        <f>VLOOKUP(B13,'Base_Fornecedores Extras'!$A$5:$C$385,3,FALSE)</f>
        <v>FIWARE</v>
      </c>
      <c r="D13" s="128">
        <v>7.15</v>
      </c>
      <c r="E13" s="19">
        <f t="shared" si="3"/>
        <v>5.75</v>
      </c>
      <c r="F13" s="146">
        <f t="shared" si="1"/>
        <v>12.9</v>
      </c>
      <c r="G13" s="147">
        <f t="shared" si="2"/>
        <v>21</v>
      </c>
      <c r="H13" t="s">
        <v>1128</v>
      </c>
    </row>
    <row r="14" spans="2:25">
      <c r="B14" s="8" t="s">
        <v>1042</v>
      </c>
      <c r="C14" s="8" t="str">
        <f>VLOOKUP(B14,'Base_Fornecedores Extras'!$A$5:$C$385,3,FALSE)</f>
        <v>FIWARE</v>
      </c>
      <c r="D14" s="128">
        <v>7.9733330000000002</v>
      </c>
      <c r="E14" s="19">
        <f t="shared" si="3"/>
        <v>5.75</v>
      </c>
      <c r="F14" s="146">
        <f t="shared" si="1"/>
        <v>13.723333</v>
      </c>
      <c r="G14" s="147">
        <f t="shared" si="2"/>
        <v>22</v>
      </c>
      <c r="H14" t="s">
        <v>1129</v>
      </c>
    </row>
    <row r="15" spans="2:25">
      <c r="E15" s="80"/>
    </row>
    <row r="16" spans="2:25">
      <c r="E16" s="80"/>
    </row>
    <row r="17" spans="5:5">
      <c r="E17" s="80"/>
    </row>
    <row r="18" spans="5:5">
      <c r="E18" s="80"/>
    </row>
    <row r="19" spans="5:5">
      <c r="E19" s="80"/>
    </row>
    <row r="20" spans="5:5">
      <c r="E20" s="80"/>
    </row>
    <row r="21" spans="5:5">
      <c r="E21" s="80"/>
    </row>
    <row r="22" spans="5:5">
      <c r="E22" s="80"/>
    </row>
    <row r="23" spans="5:5">
      <c r="E23" s="80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C12EB-1A25-4B70-BE51-51A7B9E0DB00}">
  <sheetPr codeName="Folha17">
    <tabColor theme="0"/>
  </sheetPr>
  <dimension ref="B1:Q9"/>
  <sheetViews>
    <sheetView showGridLines="0" workbookViewId="0">
      <selection activeCell="G18" sqref="G18"/>
    </sheetView>
  </sheetViews>
  <sheetFormatPr defaultRowHeight="15"/>
  <cols>
    <col min="2" max="2" width="63.7109375" bestFit="1" customWidth="1"/>
    <col min="3" max="3" width="13.5703125" customWidth="1"/>
    <col min="4" max="4" width="10.140625" customWidth="1"/>
    <col min="5" max="5" width="12.7109375" customWidth="1"/>
    <col min="6" max="6" width="15.42578125" customWidth="1"/>
    <col min="7" max="7" width="14.42578125" customWidth="1"/>
    <col min="8" max="8" width="34.28515625" customWidth="1"/>
    <col min="13" max="13" width="45.7109375" customWidth="1"/>
    <col min="14" max="14" width="44.28515625" customWidth="1"/>
    <col min="15" max="15" width="45.140625" customWidth="1"/>
    <col min="16" max="16" width="43.7109375" customWidth="1"/>
    <col min="17" max="17" width="42.5703125" customWidth="1"/>
  </cols>
  <sheetData>
    <row r="1" spans="2:17">
      <c r="M1" s="190" t="str" cm="1">
        <f t="array" ref="M1:M4">_xlfn._xlws.FILTER(H6:H27, ISNUMBER(FIND(Orçamento_Final!C46,H6:H27)) * (H6:H27&lt;&gt;""), "Sem resultados")</f>
        <v>Fundo Gavetão - Balde Lixo - 9X BASE BALDE 70/80 - GOLLINUCCI</v>
      </c>
      <c r="N1" s="184" t="str" cm="1">
        <f t="array" ref="N1:N4">_xlfn._xlws.FILTER(H6:H27, ISNUMBER(FIND(Orçamento_Final!C47,H6:H27)) * (H6:H27&lt;&gt;""), "Sem resultados")</f>
        <v>Fundo Gavetão - Balde Lixo - 9X BASE BALDE 70/80 - GOLLINUCCI</v>
      </c>
      <c r="O1" s="184" t="str" cm="1">
        <f t="array" ref="O1:O4">_xlfn._xlws.FILTER(H6:H27, ISNUMBER(FIND(Orçamento_Final!C48,H6:H27)) * (H6:H27&lt;&gt;""), "Sem resultados")</f>
        <v>Fundo Gavetão - Balde Lixo - 9X BASE BALDE 70/80 - GOLLINUCCI</v>
      </c>
      <c r="P1" s="184" t="str" cm="1">
        <f t="array" ref="P1:P4">_xlfn._xlws.FILTER(H6:H27, ISNUMBER(FIND(Orçamento_Final!C49,H6:H27)) * (H6:H27&lt;&gt;""), "Sem resultados")</f>
        <v>Fundo Gavetão - Balde Lixo - 9X BASE BALDE 70/80 - GOLLINUCCI</v>
      </c>
      <c r="Q1" s="52" t="str" cm="1">
        <f t="array" ref="Q1:Q4">_xlfn._xlws.FILTER(H6:H27, ISNUMBER(FIND(Orçamento_Final!C50,H6:H27)) * (H6:H27&lt;&gt;""), "Sem resultados")</f>
        <v>Fundo Gavetão - Balde Lixo - 9X BASE BALDE 70/80 - GOLLINUCCI</v>
      </c>
    </row>
    <row r="2" spans="2:17">
      <c r="B2" s="6" t="s">
        <v>1110</v>
      </c>
      <c r="M2" s="49" t="str">
        <v>Balde Lixo - XLINE 60 - MULLEX</v>
      </c>
      <c r="N2" t="str">
        <v>Balde Lixo - XLINE 60 - MULLEX</v>
      </c>
      <c r="O2" t="str">
        <v>Balde Lixo - XLINE 60 - MULLEX</v>
      </c>
      <c r="P2" t="str">
        <v>Balde Lixo - XLINE 60 - MULLEX</v>
      </c>
      <c r="Q2" s="53" t="str">
        <v>Balde Lixo - XLINE 60 - MULLEX</v>
      </c>
    </row>
    <row r="3" spans="2:17">
      <c r="B3" t="s">
        <v>1107</v>
      </c>
      <c r="M3" s="49" t="str">
        <v>Balde Lixo - XLINE 80/90 - MULLEX</v>
      </c>
      <c r="N3" t="str">
        <v>Balde Lixo - XLINE 80/90 - MULLEX</v>
      </c>
      <c r="O3" t="str">
        <v>Balde Lixo - XLINE 80/90 - MULLEX</v>
      </c>
      <c r="P3" t="str">
        <v>Balde Lixo - XLINE 80/90 - MULLEX</v>
      </c>
      <c r="Q3" s="53" t="str">
        <v>Balde Lixo - XLINE 80/90 - MULLEX</v>
      </c>
    </row>
    <row r="4" spans="2:17">
      <c r="G4" t="s">
        <v>1553</v>
      </c>
      <c r="M4" s="49" t="str">
        <v>Balde Lixo - G2.0 40 - VIBO</v>
      </c>
      <c r="N4" t="str">
        <v>Balde Lixo - G2.0 40 - VIBO</v>
      </c>
      <c r="O4" t="str">
        <v>Balde Lixo - G2.0 40 - VIBO</v>
      </c>
      <c r="P4" t="str">
        <v>Balde Lixo - G2.0 40 - VIBO</v>
      </c>
      <c r="Q4" s="53" t="str">
        <v>Balde Lixo - G2.0 40 - VIBO</v>
      </c>
    </row>
    <row r="5" spans="2:17">
      <c r="B5" s="141" t="s">
        <v>1108</v>
      </c>
      <c r="C5" s="141" t="s">
        <v>916</v>
      </c>
      <c r="D5" s="148" t="s">
        <v>1109</v>
      </c>
      <c r="E5" s="148" t="s">
        <v>1054</v>
      </c>
      <c r="F5" s="145" t="s">
        <v>915</v>
      </c>
      <c r="G5" s="133" t="s">
        <v>1111</v>
      </c>
      <c r="H5" s="124" t="s">
        <v>1092</v>
      </c>
      <c r="M5" s="49"/>
      <c r="Q5" s="53"/>
    </row>
    <row r="6" spans="2:17">
      <c r="B6" s="8" t="s">
        <v>1027</v>
      </c>
      <c r="C6" s="8" t="str">
        <f>VLOOKUP(B6,'Base_Fornecedores Extras'!$A$5:$C$385,3,FALSE)</f>
        <v>FIWARE</v>
      </c>
      <c r="D6" s="128">
        <v>41.6</v>
      </c>
      <c r="E6" s="128">
        <f>IF(ISNUMBER(FIND("BALDE", B6)), 15, 0) * (23/60)</f>
        <v>5.75</v>
      </c>
      <c r="F6" s="146">
        <f>D6+E6</f>
        <v>47.35</v>
      </c>
      <c r="G6" s="147">
        <f>ROUNDUP((F6)*1.975, 0)</f>
        <v>94</v>
      </c>
      <c r="H6" t="s">
        <v>1552</v>
      </c>
      <c r="M6" s="49"/>
      <c r="Q6" s="53"/>
    </row>
    <row r="7" spans="2:17" ht="15.75" thickBot="1">
      <c r="B7" s="8" t="s">
        <v>1002</v>
      </c>
      <c r="C7" s="8" t="str">
        <f>VLOOKUP(B7,'Base_Fornecedores Extras'!$A$5:$C$385,3,FALSE)</f>
        <v>FIWARE</v>
      </c>
      <c r="D7" s="128">
        <v>88</v>
      </c>
      <c r="E7" s="128">
        <f>IF(ISNUMBER(FIND("BALDE", B7)), 15, 0) * (23/60)</f>
        <v>5.75</v>
      </c>
      <c r="F7" s="146">
        <f t="shared" ref="F7:F9" si="0">D7+E7</f>
        <v>93.75</v>
      </c>
      <c r="G7" s="147">
        <f t="shared" ref="G7" si="1">ROUNDUP((F7)*1.975, 0)</f>
        <v>186</v>
      </c>
      <c r="H7" t="s">
        <v>1112</v>
      </c>
      <c r="M7" s="51"/>
      <c r="N7" s="187"/>
      <c r="O7" s="187"/>
      <c r="P7" s="187"/>
      <c r="Q7" s="188"/>
    </row>
    <row r="8" spans="2:17">
      <c r="B8" s="8" t="s">
        <v>991</v>
      </c>
      <c r="C8" s="8" t="str">
        <f>VLOOKUP(B8,'Base_Fornecedores Extras'!$A$5:$C$385,3,FALSE)</f>
        <v>FIWARE</v>
      </c>
      <c r="D8" s="128">
        <v>137.36000000000001</v>
      </c>
      <c r="E8" s="128">
        <f t="shared" ref="E8:E9" si="2">IF(ISNUMBER(FIND("BALDE", B8)), 15, 0) * (23/60)</f>
        <v>5.75</v>
      </c>
      <c r="F8" s="146">
        <f t="shared" si="0"/>
        <v>143.11000000000001</v>
      </c>
      <c r="G8" s="147">
        <f>ROUNDUP((F8)*1.95, 0)</f>
        <v>280</v>
      </c>
      <c r="H8" t="s">
        <v>1113</v>
      </c>
    </row>
    <row r="9" spans="2:17">
      <c r="B9" s="8" t="s">
        <v>1007</v>
      </c>
      <c r="C9" s="8" t="str">
        <f>VLOOKUP(B9,'Base_Fornecedores Extras'!$A$5:$C$385,3,FALSE)</f>
        <v>FIWARE</v>
      </c>
      <c r="D9" s="128">
        <v>126.1</v>
      </c>
      <c r="E9" s="128">
        <f t="shared" si="2"/>
        <v>5.75</v>
      </c>
      <c r="F9" s="146">
        <f t="shared" si="0"/>
        <v>131.85</v>
      </c>
      <c r="G9" s="147">
        <f>ROUNDUP((F9)*1.97, 0)</f>
        <v>260</v>
      </c>
      <c r="H9" t="s">
        <v>1114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0F7A5-4F2E-498D-9ACD-C192AFCC4C02}">
  <sheetPr codeName="Folha18">
    <tabColor theme="0"/>
  </sheetPr>
  <dimension ref="B1:Y33"/>
  <sheetViews>
    <sheetView showGridLines="0" topLeftCell="F1" workbookViewId="0">
      <selection activeCell="Q11" sqref="Q11"/>
    </sheetView>
  </sheetViews>
  <sheetFormatPr defaultRowHeight="15"/>
  <cols>
    <col min="2" max="2" width="52.7109375" customWidth="1"/>
    <col min="3" max="3" width="12.7109375" customWidth="1"/>
    <col min="4" max="4" width="13" customWidth="1"/>
    <col min="5" max="5" width="18.140625" customWidth="1"/>
    <col min="6" max="7" width="13.7109375" customWidth="1"/>
    <col min="8" max="8" width="33.140625" customWidth="1"/>
    <col min="16" max="17" width="51" customWidth="1"/>
    <col min="18" max="18" width="51.140625" customWidth="1"/>
    <col min="19" max="19" width="49.85546875" customWidth="1"/>
    <col min="20" max="20" width="50.28515625" customWidth="1"/>
    <col min="21" max="21" width="50.42578125" customWidth="1"/>
    <col min="22" max="22" width="49.85546875" customWidth="1"/>
    <col min="23" max="24" width="50.7109375" customWidth="1"/>
    <col min="25" max="25" width="50.42578125" customWidth="1"/>
  </cols>
  <sheetData>
    <row r="1" spans="2:25">
      <c r="P1" s="190" t="str" cm="1">
        <f t="array" ref="P1:P25">_xlfn._xlws.FILTER(H9:H50, ISNUMBER(FIND(Orçamento_Final!C51,H9:H50)) * (H9:H50&lt;&gt;""), "Sem resultados")</f>
        <v>Perfil LED Exterior Alumínio (Leto)</v>
      </c>
      <c r="Q1" s="184" t="str" cm="1">
        <f t="array" ref="Q1:Q25">_xlfn._xlws.FILTER(H9:H50, ISNUMBER(FIND(Orçamento_Final!C52,H9:H50)) * (H9:H50&lt;&gt;""), "Sem resultados")</f>
        <v>Perfil LED Exterior Alumínio (Leto)</v>
      </c>
      <c r="R1" s="184" t="str" cm="1">
        <f t="array" ref="R1:R25">_xlfn._xlws.FILTER(H9:H50, ISNUMBER(FIND(Orçamento_Final!C53,H9:H50)) * (H9:H50&lt;&gt;""), "Sem resultados")</f>
        <v>Perfil LED Exterior Alumínio (Leto)</v>
      </c>
      <c r="S1" s="184" t="str" cm="1">
        <f t="array" ref="S1:S25">_xlfn._xlws.FILTER(H9:H50, ISNUMBER(FIND(Orçamento_Final!C54,H9:H50)) * (H9:H50&lt;&gt;""), "Sem resultados")</f>
        <v>Perfil LED Exterior Alumínio (Leto)</v>
      </c>
      <c r="T1" s="184" t="str" cm="1">
        <f t="array" ref="T1:T25">_xlfn._xlws.FILTER(H9:H50, ISNUMBER(FIND(Orçamento_Final!C55,H9:H50)) * (H9:H50&lt;&gt;""), "Sem resultados")</f>
        <v>Perfil LED Exterior Alumínio (Leto)</v>
      </c>
      <c r="U1" s="184" t="str" cm="1">
        <f t="array" ref="U1:U25">_xlfn._xlws.FILTER(H9:H50, ISNUMBER(FIND(Orçamento_Final!C56,H9:H50)) * (H9:H50&lt;&gt;""), "Sem resultados")</f>
        <v>Perfil LED Exterior Alumínio (Leto)</v>
      </c>
      <c r="V1" s="184" t="str" cm="1">
        <f t="array" ref="V1:V25">_xlfn._xlws.FILTER(H9:H50, ISNUMBER(FIND(Orçamento_Final!C57,H9:H50)) * (H9:H50&lt;&gt;""), "Sem resultados")</f>
        <v>Perfil LED Exterior Alumínio (Leto)</v>
      </c>
      <c r="W1" s="184" t="str" cm="1">
        <f t="array" ref="W1:W25">_xlfn._xlws.FILTER(H9:H50, ISNUMBER(FIND(Orçamento_Final!C58,H9:H50)) * (H9:H50&lt;&gt;""), "Sem resultados")</f>
        <v>Perfil LED Exterior Alumínio (Leto)</v>
      </c>
      <c r="X1" s="184" t="str" cm="1">
        <f t="array" ref="X1:X25">_xlfn._xlws.FILTER(H9:H50, ISNUMBER(FIND(Orçamento_Final!C59,H9:H50)) * (H9:H50&lt;&gt;""), "Sem resultados")</f>
        <v>Perfil LED Exterior Alumínio (Leto)</v>
      </c>
      <c r="Y1" s="52" t="str" cm="1">
        <f t="array" ref="Y1:Y25">_xlfn._xlws.FILTER(H9:H50, ISNUMBER(FIND(Orçamento_Final!C60,H9:H50)) * (H9:H50&lt;&gt;""), "Sem resultados")</f>
        <v>Perfil LED Exterior Alumínio (Leto)</v>
      </c>
    </row>
    <row r="2" spans="2:25">
      <c r="B2" s="6" t="s">
        <v>1148</v>
      </c>
      <c r="P2" s="49" t="str">
        <v>Perfil LED Exterior Preto (Leto)</v>
      </c>
      <c r="Q2" t="str">
        <v>Perfil LED Exterior Preto (Leto)</v>
      </c>
      <c r="R2" t="str">
        <v>Perfil LED Exterior Preto (Leto)</v>
      </c>
      <c r="S2" t="str">
        <v>Perfil LED Exterior Preto (Leto)</v>
      </c>
      <c r="T2" t="str">
        <v>Perfil LED Exterior Preto (Leto)</v>
      </c>
      <c r="U2" t="str">
        <v>Perfil LED Exterior Preto (Leto)</v>
      </c>
      <c r="V2" t="str">
        <v>Perfil LED Exterior Preto (Leto)</v>
      </c>
      <c r="W2" t="str">
        <v>Perfil LED Exterior Preto (Leto)</v>
      </c>
      <c r="X2" t="str">
        <v>Perfil LED Exterior Preto (Leto)</v>
      </c>
      <c r="Y2" s="53" t="str">
        <v>Perfil LED Exterior Preto (Leto)</v>
      </c>
    </row>
    <row r="3" spans="2:25">
      <c r="B3" t="s">
        <v>1149</v>
      </c>
      <c r="P3" s="49" t="str">
        <v>Perfil LED Embutir Alumínio (Ares)</v>
      </c>
      <c r="Q3" t="str">
        <v>Perfil LED Embutir Alumínio (Ares)</v>
      </c>
      <c r="R3" t="str">
        <v>Perfil LED Embutir Alumínio (Ares)</v>
      </c>
      <c r="S3" t="str">
        <v>Perfil LED Embutir Alumínio (Ares)</v>
      </c>
      <c r="T3" t="str">
        <v>Perfil LED Embutir Alumínio (Ares)</v>
      </c>
      <c r="U3" t="str">
        <v>Perfil LED Embutir Alumínio (Ares)</v>
      </c>
      <c r="V3" t="str">
        <v>Perfil LED Embutir Alumínio (Ares)</v>
      </c>
      <c r="W3" t="str">
        <v>Perfil LED Embutir Alumínio (Ares)</v>
      </c>
      <c r="X3" t="str">
        <v>Perfil LED Embutir Alumínio (Ares)</v>
      </c>
      <c r="Y3" s="53" t="str">
        <v>Perfil LED Embutir Alumínio (Ares)</v>
      </c>
    </row>
    <row r="4" spans="2:25">
      <c r="B4" s="6" t="s">
        <v>1164</v>
      </c>
      <c r="P4" s="49" t="str">
        <v>Perfil LED Canto 22º Preto (Alen)</v>
      </c>
      <c r="Q4" t="str">
        <v>Perfil LED Canto 22º Preto (Alen)</v>
      </c>
      <c r="R4" t="str">
        <v>Perfil LED Canto 22º Preto (Alen)</v>
      </c>
      <c r="S4" t="str">
        <v>Perfil LED Canto 22º Preto (Alen)</v>
      </c>
      <c r="T4" t="str">
        <v>Perfil LED Canto 22º Preto (Alen)</v>
      </c>
      <c r="U4" t="str">
        <v>Perfil LED Canto 22º Preto (Alen)</v>
      </c>
      <c r="V4" t="str">
        <v>Perfil LED Canto 22º Preto (Alen)</v>
      </c>
      <c r="W4" t="str">
        <v>Perfil LED Canto 22º Preto (Alen)</v>
      </c>
      <c r="X4" t="str">
        <v>Perfil LED Canto 22º Preto (Alen)</v>
      </c>
      <c r="Y4" s="53" t="str">
        <v>Perfil LED Canto 22º Preto (Alen)</v>
      </c>
    </row>
    <row r="5" spans="2:25">
      <c r="B5" t="s">
        <v>1163</v>
      </c>
      <c r="P5" s="49" t="str">
        <v>Difusor Fosco p/ Perfil (3MT)</v>
      </c>
      <c r="Q5" t="str">
        <v>Difusor Fosco p/ Perfil (3MT)</v>
      </c>
      <c r="R5" t="str">
        <v>Difusor Fosco p/ Perfil (3MT)</v>
      </c>
      <c r="S5" t="str">
        <v>Difusor Fosco p/ Perfil (3MT)</v>
      </c>
      <c r="T5" t="str">
        <v>Difusor Fosco p/ Perfil (3MT)</v>
      </c>
      <c r="U5" t="str">
        <v>Difusor Fosco p/ Perfil (3MT)</v>
      </c>
      <c r="V5" t="str">
        <v>Difusor Fosco p/ Perfil (3MT)</v>
      </c>
      <c r="W5" t="str">
        <v>Difusor Fosco p/ Perfil (3MT)</v>
      </c>
      <c r="X5" t="str">
        <v>Difusor Fosco p/ Perfil (3MT)</v>
      </c>
      <c r="Y5" s="53" t="str">
        <v>Difusor Fosco p/ Perfil (3MT)</v>
      </c>
    </row>
    <row r="6" spans="2:25">
      <c r="P6" s="49" t="str">
        <v>Difusor Fosco p/ Perfil (5MT)</v>
      </c>
      <c r="Q6" t="str">
        <v>Difusor Fosco p/ Perfil (5MT)</v>
      </c>
      <c r="R6" t="str">
        <v>Difusor Fosco p/ Perfil (5MT)</v>
      </c>
      <c r="S6" t="str">
        <v>Difusor Fosco p/ Perfil (5MT)</v>
      </c>
      <c r="T6" t="str">
        <v>Difusor Fosco p/ Perfil (5MT)</v>
      </c>
      <c r="U6" t="str">
        <v>Difusor Fosco p/ Perfil (5MT)</v>
      </c>
      <c r="V6" t="str">
        <v>Difusor Fosco p/ Perfil (5MT)</v>
      </c>
      <c r="W6" t="str">
        <v>Difusor Fosco p/ Perfil (5MT)</v>
      </c>
      <c r="X6" t="str">
        <v>Difusor Fosco p/ Perfil (5MT)</v>
      </c>
      <c r="Y6" s="53" t="str">
        <v>Difusor Fosco p/ Perfil (5MT)</v>
      </c>
    </row>
    <row r="7" spans="2:25">
      <c r="G7" t="s">
        <v>1236</v>
      </c>
      <c r="P7" s="49" t="str">
        <v>Difusor Preto p/ Perfil (3MT)</v>
      </c>
      <c r="Q7" t="str">
        <v>Difusor Preto p/ Perfil (3MT)</v>
      </c>
      <c r="R7" t="str">
        <v>Difusor Preto p/ Perfil (3MT)</v>
      </c>
      <c r="S7" t="str">
        <v>Difusor Preto p/ Perfil (3MT)</v>
      </c>
      <c r="T7" t="str">
        <v>Difusor Preto p/ Perfil (3MT)</v>
      </c>
      <c r="U7" t="str">
        <v>Difusor Preto p/ Perfil (3MT)</v>
      </c>
      <c r="V7" t="str">
        <v>Difusor Preto p/ Perfil (3MT)</v>
      </c>
      <c r="W7" t="str">
        <v>Difusor Preto p/ Perfil (3MT)</v>
      </c>
      <c r="X7" t="str">
        <v>Difusor Preto p/ Perfil (3MT)</v>
      </c>
      <c r="Y7" s="53" t="str">
        <v>Difusor Preto p/ Perfil (3MT)</v>
      </c>
    </row>
    <row r="8" spans="2:25">
      <c r="B8" s="124" t="s">
        <v>1115</v>
      </c>
      <c r="C8" s="124" t="s">
        <v>916</v>
      </c>
      <c r="D8" s="124" t="s">
        <v>1109</v>
      </c>
      <c r="E8" s="124" t="s">
        <v>1116</v>
      </c>
      <c r="F8" s="149" t="s">
        <v>915</v>
      </c>
      <c r="G8" s="132" t="s">
        <v>1111</v>
      </c>
      <c r="H8" s="124" t="s">
        <v>1117</v>
      </c>
      <c r="P8" s="49" t="str">
        <v>Rolo Fita LED Luz Neutra (50MT)</v>
      </c>
      <c r="Q8" t="str">
        <v>Rolo Fita LED Luz Neutra (50MT)</v>
      </c>
      <c r="R8" t="str">
        <v>Rolo Fita LED Luz Neutra (50MT)</v>
      </c>
      <c r="S8" t="str">
        <v>Rolo Fita LED Luz Neutra (50MT)</v>
      </c>
      <c r="T8" t="str">
        <v>Rolo Fita LED Luz Neutra (50MT)</v>
      </c>
      <c r="U8" t="str">
        <v>Rolo Fita LED Luz Neutra (50MT)</v>
      </c>
      <c r="V8" t="str">
        <v>Rolo Fita LED Luz Neutra (50MT)</v>
      </c>
      <c r="W8" t="str">
        <v>Rolo Fita LED Luz Neutra (50MT)</v>
      </c>
      <c r="X8" t="str">
        <v>Rolo Fita LED Luz Neutra (50MT)</v>
      </c>
      <c r="Y8" s="53" t="str">
        <v>Rolo Fita LED Luz Neutra (50MT)</v>
      </c>
    </row>
    <row r="9" spans="2:25">
      <c r="B9" s="8" t="s">
        <v>984</v>
      </c>
      <c r="C9" s="8" t="str">
        <f>VLOOKUP(B9,'Base_Fornecedores Extras'!$A$5:$C$385,3,FALSE)</f>
        <v>FIWARE</v>
      </c>
      <c r="D9" s="128">
        <v>1.925</v>
      </c>
      <c r="E9" s="19">
        <f>IF(ISNUMBER(FIND("PERFIL", B9)), 3, IF(ISNUMBER(FIND("PONTO", B9)), 2.5, 0))</f>
        <v>3</v>
      </c>
      <c r="F9" s="25">
        <f>E9+D9</f>
        <v>4.9249999999999998</v>
      </c>
      <c r="G9" s="147">
        <f>ROUNDUP((F9)*1.6, 0)</f>
        <v>8</v>
      </c>
      <c r="H9" t="s">
        <v>1138</v>
      </c>
      <c r="P9" s="49" t="str">
        <v>Rolo Fita LED Luz Quente (50MT)</v>
      </c>
      <c r="Q9" t="str">
        <v>Rolo Fita LED Luz Quente (50MT)</v>
      </c>
      <c r="R9" t="str">
        <v>Rolo Fita LED Luz Quente (50MT)</v>
      </c>
      <c r="S9" t="str">
        <v>Rolo Fita LED Luz Quente (50MT)</v>
      </c>
      <c r="T9" t="str">
        <v>Rolo Fita LED Luz Quente (50MT)</v>
      </c>
      <c r="U9" t="str">
        <v>Rolo Fita LED Luz Quente (50MT)</v>
      </c>
      <c r="V9" t="str">
        <v>Rolo Fita LED Luz Quente (50MT)</v>
      </c>
      <c r="W9" t="str">
        <v>Rolo Fita LED Luz Quente (50MT)</v>
      </c>
      <c r="X9" t="str">
        <v>Rolo Fita LED Luz Quente (50MT)</v>
      </c>
      <c r="Y9" s="53" t="str">
        <v>Rolo Fita LED Luz Quente (50MT)</v>
      </c>
    </row>
    <row r="10" spans="2:25">
      <c r="B10" s="8" t="s">
        <v>1009</v>
      </c>
      <c r="C10" s="8" t="str">
        <f>VLOOKUP(B10,'Base_Fornecedores Extras'!$A$5:$C$385,3,FALSE)</f>
        <v>FIWARE</v>
      </c>
      <c r="D10" s="128">
        <v>2.4733329999999998</v>
      </c>
      <c r="E10" s="19">
        <f t="shared" ref="E10:E18" si="0">IF(ISNUMBER(FIND("PERFIL", B10)), 3, IF(ISNUMBER(FIND("PONTO", B10)), 2.5, 0))</f>
        <v>3</v>
      </c>
      <c r="F10" s="25">
        <f t="shared" ref="F10:F18" si="1">E10+D10</f>
        <v>5.4733330000000002</v>
      </c>
      <c r="G10" s="147">
        <f t="shared" ref="G10:G31" si="2">ROUNDUP((F10)*1.6, 0)</f>
        <v>9</v>
      </c>
      <c r="H10" t="s">
        <v>1139</v>
      </c>
      <c r="P10" s="49" t="str">
        <v>Foco LED Spot Preto 4000K</v>
      </c>
      <c r="Q10" t="str">
        <v>Foco LED Spot Preto 4000K</v>
      </c>
      <c r="R10" t="str">
        <v>Foco LED Spot Preto 4000K</v>
      </c>
      <c r="S10" t="str">
        <v>Foco LED Spot Preto 4000K</v>
      </c>
      <c r="T10" t="str">
        <v>Foco LED Spot Preto 4000K</v>
      </c>
      <c r="U10" t="str">
        <v>Foco LED Spot Preto 4000K</v>
      </c>
      <c r="V10" t="str">
        <v>Foco LED Spot Preto 4000K</v>
      </c>
      <c r="W10" t="str">
        <v>Foco LED Spot Preto 4000K</v>
      </c>
      <c r="X10" t="str">
        <v>Foco LED Spot Preto 4000K</v>
      </c>
      <c r="Y10" s="53" t="str">
        <v>Foco LED Spot Preto 4000K</v>
      </c>
    </row>
    <row r="11" spans="2:25">
      <c r="B11" s="8" t="s">
        <v>1003</v>
      </c>
      <c r="C11" s="8" t="str">
        <f>VLOOKUP(B11,'Base_Fornecedores Extras'!$A$5:$C$385,3,FALSE)</f>
        <v>FIWARE</v>
      </c>
      <c r="D11" s="128">
        <v>1.925</v>
      </c>
      <c r="E11" s="19">
        <f t="shared" si="0"/>
        <v>3</v>
      </c>
      <c r="F11" s="25">
        <f t="shared" si="1"/>
        <v>4.9249999999999998</v>
      </c>
      <c r="G11" s="147">
        <f t="shared" si="2"/>
        <v>8</v>
      </c>
      <c r="H11" t="s">
        <v>1140</v>
      </c>
      <c r="P11" s="49" t="str">
        <v>Transformador LED 24V (100W)</v>
      </c>
      <c r="Q11" t="str">
        <v>Transformador LED 24V (100W)</v>
      </c>
      <c r="R11" t="str">
        <v>Transformador LED 24V (100W)</v>
      </c>
      <c r="S11" t="str">
        <v>Transformador LED 24V (100W)</v>
      </c>
      <c r="T11" t="str">
        <v>Transformador LED 24V (100W)</v>
      </c>
      <c r="U11" t="str">
        <v>Transformador LED 24V (100W)</v>
      </c>
      <c r="V11" t="str">
        <v>Transformador LED 24V (100W)</v>
      </c>
      <c r="W11" t="str">
        <v>Transformador LED 24V (100W)</v>
      </c>
      <c r="X11" t="str">
        <v>Transformador LED 24V (100W)</v>
      </c>
      <c r="Y11" s="53" t="str">
        <v>Transformador LED 24V (100W)</v>
      </c>
    </row>
    <row r="12" spans="2:25">
      <c r="B12" s="8" t="s">
        <v>1011</v>
      </c>
      <c r="C12" s="8" t="str">
        <f>VLOOKUP(B12,'Base_Fornecedores Extras'!$A$5:$C$385,3,FALSE)</f>
        <v>FIWARE</v>
      </c>
      <c r="D12" s="128">
        <v>2.75</v>
      </c>
      <c r="E12" s="19">
        <f t="shared" si="0"/>
        <v>3</v>
      </c>
      <c r="F12" s="25">
        <f t="shared" si="1"/>
        <v>5.75</v>
      </c>
      <c r="G12" s="147">
        <f t="shared" si="2"/>
        <v>10</v>
      </c>
      <c r="H12" t="s">
        <v>1141</v>
      </c>
      <c r="P12" s="49" t="str">
        <v>Transformador LED 24V (60W)</v>
      </c>
      <c r="Q12" t="str">
        <v>Transformador LED 24V (60W)</v>
      </c>
      <c r="R12" t="str">
        <v>Transformador LED 24V (60W)</v>
      </c>
      <c r="S12" t="str">
        <v>Transformador LED 24V (60W)</v>
      </c>
      <c r="T12" t="str">
        <v>Transformador LED 24V (60W)</v>
      </c>
      <c r="U12" t="str">
        <v>Transformador LED 24V (60W)</v>
      </c>
      <c r="V12" t="str">
        <v>Transformador LED 24V (60W)</v>
      </c>
      <c r="W12" t="str">
        <v>Transformador LED 24V (60W)</v>
      </c>
      <c r="X12" t="str">
        <v>Transformador LED 24V (60W)</v>
      </c>
      <c r="Y12" s="53" t="str">
        <v>Transformador LED 24V (60W)</v>
      </c>
    </row>
    <row r="13" spans="2:25">
      <c r="B13" s="8" t="s">
        <v>985</v>
      </c>
      <c r="C13" s="8" t="str">
        <f>VLOOKUP(B13,'Base_Fornecedores Extras'!$A$5:$C$385,3,FALSE)</f>
        <v>FIWARE</v>
      </c>
      <c r="D13" s="128">
        <v>1.17</v>
      </c>
      <c r="E13" s="19">
        <f t="shared" si="0"/>
        <v>3</v>
      </c>
      <c r="F13" s="25">
        <f t="shared" si="1"/>
        <v>4.17</v>
      </c>
      <c r="G13" s="147">
        <f t="shared" si="2"/>
        <v>7</v>
      </c>
      <c r="H13" t="s">
        <v>1142</v>
      </c>
      <c r="P13" s="49" t="str">
        <v>Transformador LED 24V (36W)</v>
      </c>
      <c r="Q13" t="str">
        <v>Transformador LED 24V (36W)</v>
      </c>
      <c r="R13" t="str">
        <v>Transformador LED 24V (36W)</v>
      </c>
      <c r="S13" t="str">
        <v>Transformador LED 24V (36W)</v>
      </c>
      <c r="T13" t="str">
        <v>Transformador LED 24V (36W)</v>
      </c>
      <c r="U13" t="str">
        <v>Transformador LED 24V (36W)</v>
      </c>
      <c r="V13" t="str">
        <v>Transformador LED 24V (36W)</v>
      </c>
      <c r="W13" t="str">
        <v>Transformador LED 24V (36W)</v>
      </c>
      <c r="X13" t="str">
        <v>Transformador LED 24V (36W)</v>
      </c>
      <c r="Y13" s="53" t="str">
        <v>Transformador LED 24V (36W)</v>
      </c>
    </row>
    <row r="14" spans="2:25">
      <c r="B14" s="8" t="s">
        <v>1004</v>
      </c>
      <c r="C14" s="8" t="str">
        <f>VLOOKUP(B14,'Base_Fornecedores Extras'!$A$5:$C$385,3,FALSE)</f>
        <v>FIWARE</v>
      </c>
      <c r="D14" s="128">
        <v>0.99</v>
      </c>
      <c r="E14" s="19">
        <f t="shared" si="0"/>
        <v>3</v>
      </c>
      <c r="F14" s="25">
        <f t="shared" si="1"/>
        <v>3.99</v>
      </c>
      <c r="G14" s="147">
        <f t="shared" si="2"/>
        <v>7</v>
      </c>
      <c r="H14" t="s">
        <v>1143</v>
      </c>
      <c r="P14" s="49" t="str">
        <v>Transformador LED 24V (20W)</v>
      </c>
      <c r="Q14" t="str">
        <v>Transformador LED 24V (20W)</v>
      </c>
      <c r="R14" t="str">
        <v>Transformador LED 24V (20W)</v>
      </c>
      <c r="S14" t="str">
        <v>Transformador LED 24V (20W)</v>
      </c>
      <c r="T14" t="str">
        <v>Transformador LED 24V (20W)</v>
      </c>
      <c r="U14" t="str">
        <v>Transformador LED 24V (20W)</v>
      </c>
      <c r="V14" t="str">
        <v>Transformador LED 24V (20W)</v>
      </c>
      <c r="W14" t="str">
        <v>Transformador LED 24V (20W)</v>
      </c>
      <c r="X14" t="str">
        <v>Transformador LED 24V (20W)</v>
      </c>
      <c r="Y14" s="53" t="str">
        <v>Transformador LED 24V (20W)</v>
      </c>
    </row>
    <row r="15" spans="2:25">
      <c r="B15" s="8" t="s">
        <v>1010</v>
      </c>
      <c r="C15" s="8" t="str">
        <f>VLOOKUP(B15,'Base_Fornecedores Extras'!$A$5:$C$385,3,FALSE)</f>
        <v>FIWARE</v>
      </c>
      <c r="D15" s="128">
        <v>1.32</v>
      </c>
      <c r="E15" s="19">
        <f t="shared" si="0"/>
        <v>3</v>
      </c>
      <c r="F15" s="25">
        <f t="shared" si="1"/>
        <v>4.32</v>
      </c>
      <c r="G15" s="147">
        <f t="shared" si="2"/>
        <v>7</v>
      </c>
      <c r="H15" t="s">
        <v>1144</v>
      </c>
      <c r="P15" s="49" t="str">
        <v>Transformador LED 24V (15W)</v>
      </c>
      <c r="Q15" t="str">
        <v>Transformador LED 24V (15W)</v>
      </c>
      <c r="R15" t="str">
        <v>Transformador LED 24V (15W)</v>
      </c>
      <c r="S15" t="str">
        <v>Transformador LED 24V (15W)</v>
      </c>
      <c r="T15" t="str">
        <v>Transformador LED 24V (15W)</v>
      </c>
      <c r="U15" t="str">
        <v>Transformador LED 24V (15W)</v>
      </c>
      <c r="V15" t="str">
        <v>Transformador LED 24V (15W)</v>
      </c>
      <c r="W15" t="str">
        <v>Transformador LED 24V (15W)</v>
      </c>
      <c r="X15" t="str">
        <v>Transformador LED 24V (15W)</v>
      </c>
      <c r="Y15" s="53" t="str">
        <v>Transformador LED 24V (15W)</v>
      </c>
    </row>
    <row r="16" spans="2:25">
      <c r="B16" s="8" t="s">
        <v>1005</v>
      </c>
      <c r="C16" s="8" t="str">
        <f>VLOOKUP(B16,'Base_Fornecedores Extras'!$A$5:$C$385,3,FALSE)</f>
        <v>FIWARE</v>
      </c>
      <c r="D16" s="128">
        <v>3.3</v>
      </c>
      <c r="E16" s="19">
        <f t="shared" si="0"/>
        <v>0</v>
      </c>
      <c r="F16" s="25">
        <f t="shared" si="1"/>
        <v>3.3</v>
      </c>
      <c r="G16" s="147">
        <f t="shared" si="2"/>
        <v>6</v>
      </c>
      <c r="H16" t="s">
        <v>1145</v>
      </c>
      <c r="P16" s="49" t="str">
        <v>Sensor Embutir p/ 1 Porta</v>
      </c>
      <c r="Q16" t="str">
        <v>Sensor Embutir p/ 1 Porta</v>
      </c>
      <c r="R16" t="str">
        <v>Sensor Embutir p/ 1 Porta</v>
      </c>
      <c r="S16" t="str">
        <v>Sensor Embutir p/ 1 Porta</v>
      </c>
      <c r="T16" t="str">
        <v>Sensor Embutir p/ 1 Porta</v>
      </c>
      <c r="U16" t="str">
        <v>Sensor Embutir p/ 1 Porta</v>
      </c>
      <c r="V16" t="str">
        <v>Sensor Embutir p/ 1 Porta</v>
      </c>
      <c r="W16" t="str">
        <v>Sensor Embutir p/ 1 Porta</v>
      </c>
      <c r="X16" t="str">
        <v>Sensor Embutir p/ 1 Porta</v>
      </c>
      <c r="Y16" s="53" t="str">
        <v>Sensor Embutir p/ 1 Porta</v>
      </c>
    </row>
    <row r="17" spans="2:25">
      <c r="B17" s="8" t="s">
        <v>1039</v>
      </c>
      <c r="C17" s="8" t="str">
        <f>VLOOKUP(B17,'Base_Fornecedores Extras'!$A$5:$C$385,3,FALSE)</f>
        <v>FIWARE</v>
      </c>
      <c r="D17" s="128">
        <v>3.3</v>
      </c>
      <c r="E17" s="19">
        <f t="shared" si="0"/>
        <v>0</v>
      </c>
      <c r="F17" s="25">
        <f t="shared" si="1"/>
        <v>3.3</v>
      </c>
      <c r="G17" s="147">
        <f t="shared" si="2"/>
        <v>6</v>
      </c>
      <c r="H17" t="s">
        <v>1146</v>
      </c>
      <c r="P17" s="49" t="str">
        <v>Sensor Embutir p/ 2 Portas</v>
      </c>
      <c r="Q17" t="str">
        <v>Sensor Embutir p/ 2 Portas</v>
      </c>
      <c r="R17" t="str">
        <v>Sensor Embutir p/ 2 Portas</v>
      </c>
      <c r="S17" t="str">
        <v>Sensor Embutir p/ 2 Portas</v>
      </c>
      <c r="T17" t="str">
        <v>Sensor Embutir p/ 2 Portas</v>
      </c>
      <c r="U17" t="str">
        <v>Sensor Embutir p/ 2 Portas</v>
      </c>
      <c r="V17" t="str">
        <v>Sensor Embutir p/ 2 Portas</v>
      </c>
      <c r="W17" t="str">
        <v>Sensor Embutir p/ 2 Portas</v>
      </c>
      <c r="X17" t="str">
        <v>Sensor Embutir p/ 2 Portas</v>
      </c>
      <c r="Y17" s="53" t="str">
        <v>Sensor Embutir p/ 2 Portas</v>
      </c>
    </row>
    <row r="18" spans="2:25">
      <c r="B18" s="8" t="s">
        <v>1020</v>
      </c>
      <c r="C18" s="8" t="str">
        <f>VLOOKUP(B18,'Base_Fornecedores Extras'!$A$5:$C$385,3,FALSE)</f>
        <v>FIWARE</v>
      </c>
      <c r="D18" s="128">
        <v>11.7</v>
      </c>
      <c r="E18" s="19">
        <f t="shared" si="0"/>
        <v>2.5</v>
      </c>
      <c r="F18" s="25">
        <f t="shared" si="1"/>
        <v>14.2</v>
      </c>
      <c r="G18" s="147">
        <f t="shared" si="2"/>
        <v>23</v>
      </c>
      <c r="H18" t="s">
        <v>1147</v>
      </c>
      <c r="P18" s="49" t="str">
        <v>Interruptor Touch Embutir Preto</v>
      </c>
      <c r="Q18" t="str">
        <v>Interruptor Touch Embutir Preto</v>
      </c>
      <c r="R18" t="str">
        <v>Interruptor Touch Embutir Preto</v>
      </c>
      <c r="S18" t="str">
        <v>Interruptor Touch Embutir Preto</v>
      </c>
      <c r="T18" t="str">
        <v>Interruptor Touch Embutir Preto</v>
      </c>
      <c r="U18" t="str">
        <v>Interruptor Touch Embutir Preto</v>
      </c>
      <c r="V18" t="str">
        <v>Interruptor Touch Embutir Preto</v>
      </c>
      <c r="W18" t="str">
        <v>Interruptor Touch Embutir Preto</v>
      </c>
      <c r="X18" t="str">
        <v>Interruptor Touch Embutir Preto</v>
      </c>
      <c r="Y18" s="53" t="str">
        <v>Interruptor Touch Embutir Preto</v>
      </c>
    </row>
    <row r="19" spans="2:25">
      <c r="B19" s="8" t="s">
        <v>976</v>
      </c>
      <c r="C19" s="8" t="str">
        <f>VLOOKUP(B19,'Base_Fornecedores Extras'!$A$5:$C$385,3,FALSE)</f>
        <v>FIWARE</v>
      </c>
      <c r="D19" s="128">
        <v>26.95</v>
      </c>
      <c r="E19" s="128">
        <f>IF(OR(ISNUMBER(FIND("CABO", B19)), ISNUMBER(FIND("EXTENSÃO", B19)), ISNUMBER(FIND("COMANDO", B19))), 0, 10) * (23/60)</f>
        <v>3.8333333333333335</v>
      </c>
      <c r="F19" s="146">
        <f>E19+D19</f>
        <v>30.783333333333331</v>
      </c>
      <c r="G19" s="147">
        <f t="shared" si="2"/>
        <v>50</v>
      </c>
      <c r="H19" t="s">
        <v>1150</v>
      </c>
      <c r="P19" s="49" t="str">
        <v>Comando Remoto LED 5 Canais</v>
      </c>
      <c r="Q19" t="str">
        <v>Comando Remoto LED 5 Canais</v>
      </c>
      <c r="R19" t="str">
        <v>Comando Remoto LED 5 Canais</v>
      </c>
      <c r="S19" t="str">
        <v>Comando Remoto LED 5 Canais</v>
      </c>
      <c r="T19" t="str">
        <v>Comando Remoto LED 5 Canais</v>
      </c>
      <c r="U19" t="str">
        <v>Comando Remoto LED 5 Canais</v>
      </c>
      <c r="V19" t="str">
        <v>Comando Remoto LED 5 Canais</v>
      </c>
      <c r="W19" t="str">
        <v>Comando Remoto LED 5 Canais</v>
      </c>
      <c r="X19" t="str">
        <v>Comando Remoto LED 5 Canais</v>
      </c>
      <c r="Y19" s="53" t="str">
        <v>Comando Remoto LED 5 Canais</v>
      </c>
    </row>
    <row r="20" spans="2:25">
      <c r="B20" s="8" t="s">
        <v>977</v>
      </c>
      <c r="C20" s="8" t="str">
        <f>VLOOKUP(B20,'Base_Fornecedores Extras'!$A$5:$C$385,3,FALSE)</f>
        <v>FIWARE</v>
      </c>
      <c r="D20" s="128">
        <v>17.88</v>
      </c>
      <c r="E20" s="128">
        <f t="shared" ref="E20:E33" si="3">IF(OR(ISNUMBER(FIND("CABO", B20)), ISNUMBER(FIND("EXTENSÃO", B20)), ISNUMBER(FIND("COMANDO", B20))), 0, 10) * (23/60)</f>
        <v>3.8333333333333335</v>
      </c>
      <c r="F20" s="146">
        <f t="shared" ref="F20:F22" si="4">E20+D20</f>
        <v>21.713333333333331</v>
      </c>
      <c r="G20" s="147">
        <f t="shared" si="2"/>
        <v>35</v>
      </c>
      <c r="H20" t="s">
        <v>1151</v>
      </c>
      <c r="P20" s="49" t="str">
        <v>Recetor Sinal p/ Comando LED</v>
      </c>
      <c r="Q20" t="str">
        <v>Recetor Sinal p/ Comando LED</v>
      </c>
      <c r="R20" t="str">
        <v>Recetor Sinal p/ Comando LED</v>
      </c>
      <c r="S20" t="str">
        <v>Recetor Sinal p/ Comando LED</v>
      </c>
      <c r="T20" t="str">
        <v>Recetor Sinal p/ Comando LED</v>
      </c>
      <c r="U20" t="str">
        <v>Recetor Sinal p/ Comando LED</v>
      </c>
      <c r="V20" t="str">
        <v>Recetor Sinal p/ Comando LED</v>
      </c>
      <c r="W20" t="str">
        <v>Recetor Sinal p/ Comando LED</v>
      </c>
      <c r="X20" t="str">
        <v>Recetor Sinal p/ Comando LED</v>
      </c>
      <c r="Y20" s="53" t="str">
        <v>Recetor Sinal p/ Comando LED</v>
      </c>
    </row>
    <row r="21" spans="2:25">
      <c r="B21" s="8" t="s">
        <v>998</v>
      </c>
      <c r="C21" s="8" t="str">
        <f>VLOOKUP(B21,'Base_Fornecedores Extras'!$A$5:$C$385,3,FALSE)</f>
        <v>FIWARE</v>
      </c>
      <c r="D21" s="128">
        <v>12.65</v>
      </c>
      <c r="E21" s="128">
        <f t="shared" si="3"/>
        <v>3.8333333333333335</v>
      </c>
      <c r="F21" s="146">
        <f t="shared" si="4"/>
        <v>16.483333333333334</v>
      </c>
      <c r="G21" s="147">
        <f t="shared" si="2"/>
        <v>27</v>
      </c>
      <c r="H21" t="s">
        <v>1152</v>
      </c>
      <c r="P21" s="49" t="str">
        <v>Cabo Extensão LED (2MT)</v>
      </c>
      <c r="Q21" t="str">
        <v>Cabo Extensão LED (2MT)</v>
      </c>
      <c r="R21" t="str">
        <v>Cabo Extensão LED (2MT)</v>
      </c>
      <c r="S21" t="str">
        <v>Cabo Extensão LED (2MT)</v>
      </c>
      <c r="T21" t="str">
        <v>Cabo Extensão LED (2MT)</v>
      </c>
      <c r="U21" t="str">
        <v>Cabo Extensão LED (2MT)</v>
      </c>
      <c r="V21" t="str">
        <v>Cabo Extensão LED (2MT)</v>
      </c>
      <c r="W21" t="str">
        <v>Cabo Extensão LED (2MT)</v>
      </c>
      <c r="X21" t="str">
        <v>Cabo Extensão LED (2MT)</v>
      </c>
      <c r="Y21" s="53" t="str">
        <v>Cabo Extensão LED (2MT)</v>
      </c>
    </row>
    <row r="22" spans="2:25">
      <c r="B22" s="8" t="s">
        <v>999</v>
      </c>
      <c r="C22" s="8" t="str">
        <f>VLOOKUP(B22,'Base_Fornecedores Extras'!$A$5:$C$385,3,FALSE)</f>
        <v>FIWARE</v>
      </c>
      <c r="D22" s="128">
        <v>10.45</v>
      </c>
      <c r="E22" s="128">
        <f t="shared" si="3"/>
        <v>3.8333333333333335</v>
      </c>
      <c r="F22" s="146">
        <f t="shared" si="4"/>
        <v>14.283333333333333</v>
      </c>
      <c r="G22" s="147">
        <f t="shared" si="2"/>
        <v>23</v>
      </c>
      <c r="H22" t="s">
        <v>1153</v>
      </c>
      <c r="P22" s="49" t="str">
        <v>Cabo Derivação "Y" LED (F/MM)</v>
      </c>
      <c r="Q22" t="str">
        <v>Cabo Derivação "Y" LED (F/MM)</v>
      </c>
      <c r="R22" t="str">
        <v>Cabo Derivação "Y" LED (F/MM)</v>
      </c>
      <c r="S22" t="str">
        <v>Cabo Derivação "Y" LED (F/MM)</v>
      </c>
      <c r="T22" t="str">
        <v>Cabo Derivação "Y" LED (F/MM)</v>
      </c>
      <c r="U22" t="str">
        <v>Cabo Derivação "Y" LED (F/MM)</v>
      </c>
      <c r="V22" t="str">
        <v>Cabo Derivação "Y" LED (F/MM)</v>
      </c>
      <c r="W22" t="str">
        <v>Cabo Derivação "Y" LED (F/MM)</v>
      </c>
      <c r="X22" t="str">
        <v>Cabo Derivação "Y" LED (F/MM)</v>
      </c>
      <c r="Y22" s="53" t="str">
        <v>Cabo Derivação "Y" LED (F/MM)</v>
      </c>
    </row>
    <row r="23" spans="2:25">
      <c r="B23" s="8" t="s">
        <v>1021</v>
      </c>
      <c r="C23" s="8" t="str">
        <f>VLOOKUP(B23,'Base_Fornecedores Extras'!$A$5:$C$385,3,FALSE)</f>
        <v>FIWARE</v>
      </c>
      <c r="D23" s="128">
        <v>8.8000000000000007</v>
      </c>
      <c r="E23" s="128">
        <f t="shared" si="3"/>
        <v>3.8333333333333335</v>
      </c>
      <c r="F23" s="146">
        <f>E23+D23</f>
        <v>12.633333333333335</v>
      </c>
      <c r="G23" s="147">
        <f t="shared" si="2"/>
        <v>21</v>
      </c>
      <c r="H23" t="s">
        <v>1154</v>
      </c>
      <c r="P23" s="49" t="str">
        <v>Cabo Derivação "Y" LED (M/FF)</v>
      </c>
      <c r="Q23" t="str">
        <v>Cabo Derivação "Y" LED (M/FF)</v>
      </c>
      <c r="R23" t="str">
        <v>Cabo Derivação "Y" LED (M/FF)</v>
      </c>
      <c r="S23" t="str">
        <v>Cabo Derivação "Y" LED (M/FF)</v>
      </c>
      <c r="T23" t="str">
        <v>Cabo Derivação "Y" LED (M/FF)</v>
      </c>
      <c r="U23" t="str">
        <v>Cabo Derivação "Y" LED (M/FF)</v>
      </c>
      <c r="V23" t="str">
        <v>Cabo Derivação "Y" LED (M/FF)</v>
      </c>
      <c r="W23" t="str">
        <v>Cabo Derivação "Y" LED (M/FF)</v>
      </c>
      <c r="X23" t="str">
        <v>Cabo Derivação "Y" LED (M/FF)</v>
      </c>
      <c r="Y23" s="53" t="str">
        <v>Cabo Derivação "Y" LED (M/FF)</v>
      </c>
    </row>
    <row r="24" spans="2:25">
      <c r="B24" s="8" t="s">
        <v>1014</v>
      </c>
      <c r="C24" s="8" t="str">
        <f>VLOOKUP(B24,'Base_Fornecedores Extras'!$A$5:$C$385,3,FALSE)</f>
        <v>FIWARE</v>
      </c>
      <c r="D24" s="128">
        <v>8.25</v>
      </c>
      <c r="E24" s="128">
        <f t="shared" si="3"/>
        <v>3.8333333333333335</v>
      </c>
      <c r="F24" s="146">
        <f t="shared" ref="F24:F31" si="5">E24+D24</f>
        <v>12.083333333333334</v>
      </c>
      <c r="G24" s="147">
        <f>ROUNDUP((F24)*1.6, 0)</f>
        <v>20</v>
      </c>
      <c r="H24" t="s">
        <v>1155</v>
      </c>
      <c r="P24" s="49" t="str">
        <v>KIT LED ARES (FITA LED + PERFIL ARES + DIFUSOR FOSCO)</v>
      </c>
      <c r="Q24" t="str">
        <v>KIT LED ARES (FITA LED + PERFIL ARES + DIFUSOR FOSCO)</v>
      </c>
      <c r="R24" t="str">
        <v>KIT LED ARES (FITA LED + PERFIL ARES + DIFUSOR FOSCO)</v>
      </c>
      <c r="S24" t="str">
        <v>KIT LED ARES (FITA LED + PERFIL ARES + DIFUSOR FOSCO)</v>
      </c>
      <c r="T24" t="str">
        <v>KIT LED ARES (FITA LED + PERFIL ARES + DIFUSOR FOSCO)</v>
      </c>
      <c r="U24" t="str">
        <v>KIT LED ARES (FITA LED + PERFIL ARES + DIFUSOR FOSCO)</v>
      </c>
      <c r="V24" t="str">
        <v>KIT LED ARES (FITA LED + PERFIL ARES + DIFUSOR FOSCO)</v>
      </c>
      <c r="W24" t="str">
        <v>KIT LED ARES (FITA LED + PERFIL ARES + DIFUSOR FOSCO)</v>
      </c>
      <c r="X24" t="str">
        <v>KIT LED ARES (FITA LED + PERFIL ARES + DIFUSOR FOSCO)</v>
      </c>
      <c r="Y24" s="53" t="str">
        <v>KIT LED ARES (FITA LED + PERFIL ARES + DIFUSOR FOSCO)</v>
      </c>
    </row>
    <row r="25" spans="2:25" ht="15.75" thickBot="1">
      <c r="B25" s="8" t="s">
        <v>1013</v>
      </c>
      <c r="C25" s="8" t="str">
        <f>VLOOKUP(B25,'Base_Fornecedores Extras'!$A$5:$C$385,3,FALSE)</f>
        <v>FIWARE</v>
      </c>
      <c r="D25" s="128">
        <v>16.5</v>
      </c>
      <c r="E25" s="128">
        <f t="shared" si="3"/>
        <v>3.8333333333333335</v>
      </c>
      <c r="F25" s="146">
        <f t="shared" si="5"/>
        <v>20.333333333333332</v>
      </c>
      <c r="G25" s="147">
        <f t="shared" si="2"/>
        <v>33</v>
      </c>
      <c r="H25" t="s">
        <v>1156</v>
      </c>
      <c r="P25" s="51" t="str">
        <v>KIT LED ALEN (FITA LED + PERFIL ARES + DIFUSOR FOSCO)</v>
      </c>
      <c r="Q25" s="187" t="str">
        <v>KIT LED ALEN (FITA LED + PERFIL ARES + DIFUSOR FOSCO)</v>
      </c>
      <c r="R25" s="187" t="str">
        <v>KIT LED ALEN (FITA LED + PERFIL ARES + DIFUSOR FOSCO)</v>
      </c>
      <c r="S25" s="187" t="str">
        <v>KIT LED ALEN (FITA LED + PERFIL ARES + DIFUSOR FOSCO)</v>
      </c>
      <c r="T25" s="187" t="str">
        <v>KIT LED ALEN (FITA LED + PERFIL ARES + DIFUSOR FOSCO)</v>
      </c>
      <c r="U25" s="187" t="str">
        <v>KIT LED ALEN (FITA LED + PERFIL ARES + DIFUSOR FOSCO)</v>
      </c>
      <c r="V25" s="187" t="str">
        <v>KIT LED ALEN (FITA LED + PERFIL ARES + DIFUSOR FOSCO)</v>
      </c>
      <c r="W25" s="187" t="str">
        <v>KIT LED ALEN (FITA LED + PERFIL ARES + DIFUSOR FOSCO)</v>
      </c>
      <c r="X25" s="187" t="str">
        <v>KIT LED ALEN (FITA LED + PERFIL ARES + DIFUSOR FOSCO)</v>
      </c>
      <c r="Y25" s="188" t="str">
        <v>KIT LED ALEN (FITA LED + PERFIL ARES + DIFUSOR FOSCO)</v>
      </c>
    </row>
    <row r="26" spans="2:25">
      <c r="B26" s="8" t="s">
        <v>978</v>
      </c>
      <c r="C26" s="8" t="str">
        <f>VLOOKUP(B26,'Base_Fornecedores Extras'!$A$5:$C$385,3,FALSE)</f>
        <v>FIWARE</v>
      </c>
      <c r="D26" s="128">
        <v>5.5</v>
      </c>
      <c r="E26" s="128">
        <f t="shared" si="3"/>
        <v>3.8333333333333335</v>
      </c>
      <c r="F26" s="146">
        <f t="shared" si="5"/>
        <v>9.3333333333333339</v>
      </c>
      <c r="G26" s="147">
        <f t="shared" si="2"/>
        <v>15</v>
      </c>
      <c r="H26" t="s">
        <v>1157</v>
      </c>
    </row>
    <row r="27" spans="2:25">
      <c r="B27" s="8" t="s">
        <v>975</v>
      </c>
      <c r="C27" s="8" t="str">
        <f>VLOOKUP(B27,'Base_Fornecedores Extras'!$A$5:$C$385,3,FALSE)</f>
        <v>FIWARE</v>
      </c>
      <c r="D27" s="128">
        <v>15.4</v>
      </c>
      <c r="E27" s="128">
        <f t="shared" si="3"/>
        <v>0</v>
      </c>
      <c r="F27" s="146">
        <f t="shared" si="5"/>
        <v>15.4</v>
      </c>
      <c r="G27" s="147">
        <f t="shared" si="2"/>
        <v>25</v>
      </c>
      <c r="H27" t="s">
        <v>1158</v>
      </c>
    </row>
    <row r="28" spans="2:25">
      <c r="B28" s="8" t="s">
        <v>1041</v>
      </c>
      <c r="C28" s="8" t="str">
        <f>VLOOKUP(B28,'Base_Fornecedores Extras'!$A$5:$C$385,3,FALSE)</f>
        <v>FIWARE</v>
      </c>
      <c r="D28" s="128">
        <v>18.7</v>
      </c>
      <c r="E28" s="128">
        <f t="shared" si="3"/>
        <v>3.8333333333333335</v>
      </c>
      <c r="F28" s="146">
        <f t="shared" si="5"/>
        <v>22.533333333333331</v>
      </c>
      <c r="G28" s="147">
        <f t="shared" si="2"/>
        <v>37</v>
      </c>
      <c r="H28" t="s">
        <v>1159</v>
      </c>
    </row>
    <row r="29" spans="2:25">
      <c r="B29" s="8" t="s">
        <v>1015</v>
      </c>
      <c r="C29" s="8" t="str">
        <f>VLOOKUP(B29,'Base_Fornecedores Extras'!$A$5:$C$385,3,FALSE)</f>
        <v>FIWARE</v>
      </c>
      <c r="D29" s="128">
        <v>1.1000000000000001</v>
      </c>
      <c r="E29" s="128">
        <f t="shared" si="3"/>
        <v>0</v>
      </c>
      <c r="F29" s="146">
        <f t="shared" si="5"/>
        <v>1.1000000000000001</v>
      </c>
      <c r="G29" s="147">
        <f t="shared" si="2"/>
        <v>2</v>
      </c>
      <c r="H29" t="s">
        <v>1160</v>
      </c>
    </row>
    <row r="30" spans="2:25">
      <c r="B30" s="8" t="s">
        <v>1017</v>
      </c>
      <c r="C30" s="8" t="str">
        <f>VLOOKUP(B30,'Base_Fornecedores Extras'!$A$5:$C$385,3,FALSE)</f>
        <v>FIWARE</v>
      </c>
      <c r="D30" s="128">
        <v>1.76</v>
      </c>
      <c r="E30" s="128">
        <f t="shared" si="3"/>
        <v>0</v>
      </c>
      <c r="F30" s="146">
        <f t="shared" si="5"/>
        <v>1.76</v>
      </c>
      <c r="G30" s="147">
        <f t="shared" si="2"/>
        <v>3</v>
      </c>
      <c r="H30" t="s">
        <v>1161</v>
      </c>
    </row>
    <row r="31" spans="2:25">
      <c r="B31" s="8" t="s">
        <v>1031</v>
      </c>
      <c r="C31" s="8" t="str">
        <f>VLOOKUP(B31,'Base_Fornecedores Extras'!$A$5:$C$385,3,FALSE)</f>
        <v>FIWARE</v>
      </c>
      <c r="D31" s="128">
        <v>1.76</v>
      </c>
      <c r="E31" s="128">
        <f t="shared" si="3"/>
        <v>0</v>
      </c>
      <c r="F31" s="146">
        <f t="shared" si="5"/>
        <v>1.76</v>
      </c>
      <c r="G31" s="147">
        <f t="shared" si="2"/>
        <v>3</v>
      </c>
      <c r="H31" t="s">
        <v>1162</v>
      </c>
    </row>
    <row r="32" spans="2:25">
      <c r="B32" s="8" t="s">
        <v>1567</v>
      </c>
      <c r="C32" s="8"/>
      <c r="D32" s="8">
        <v>0</v>
      </c>
      <c r="E32" s="128">
        <f t="shared" si="3"/>
        <v>3.8333333333333335</v>
      </c>
      <c r="F32" s="25">
        <f>F11+(F13/3)+F16</f>
        <v>9.6149999999999984</v>
      </c>
      <c r="G32" s="147">
        <v>30</v>
      </c>
      <c r="H32" t="s">
        <v>1567</v>
      </c>
    </row>
    <row r="33" spans="2:8">
      <c r="B33" s="8" t="s">
        <v>1568</v>
      </c>
      <c r="C33" s="8"/>
      <c r="D33" s="8">
        <v>0</v>
      </c>
      <c r="E33" s="128">
        <f t="shared" si="3"/>
        <v>3.8333333333333335</v>
      </c>
      <c r="F33" s="25">
        <f>F12+(F13/3)+F16</f>
        <v>10.44</v>
      </c>
      <c r="G33" s="150">
        <v>35</v>
      </c>
      <c r="H33" t="s">
        <v>1568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932CD-3B75-4080-94C5-1AA47F713676}">
  <sheetPr codeName="Folha19">
    <tabColor theme="0"/>
  </sheetPr>
  <dimension ref="B1:N9"/>
  <sheetViews>
    <sheetView showGridLines="0" topLeftCell="C1" workbookViewId="0">
      <selection activeCell="F25" sqref="F25"/>
    </sheetView>
  </sheetViews>
  <sheetFormatPr defaultRowHeight="15"/>
  <cols>
    <col min="2" max="2" width="56.5703125" customWidth="1"/>
    <col min="3" max="3" width="16.5703125" customWidth="1"/>
    <col min="5" max="5" width="18.5703125" customWidth="1"/>
    <col min="6" max="6" width="19.28515625" customWidth="1"/>
    <col min="7" max="7" width="13.7109375" customWidth="1"/>
    <col min="8" max="8" width="38" customWidth="1"/>
    <col min="13" max="13" width="36.85546875" customWidth="1"/>
    <col min="14" max="14" width="38.7109375" customWidth="1"/>
  </cols>
  <sheetData>
    <row r="1" spans="2:14">
      <c r="M1" s="190" t="str" cm="1">
        <f t="array" ref="M1:M3">_xlfn._xlws.FILTER(H7:H48, ISNUMBER(FIND(Orçamento_Final!C61,H7:H48)) * (H7:H48&lt;&gt;""), "Sem resultados")</f>
        <v>Tomada Embutir Rotativa Backflip (Preto)</v>
      </c>
      <c r="N1" s="52" t="str" cm="1">
        <f t="array" ref="N1:N3">_xlfn._xlws.FILTER(H7:H48, ISNUMBER(FIND(Orçamento_Final!C62,H7:H48)) * (H7:H48&lt;&gt;""), "Sem resultados")</f>
        <v>Tomada Embutir Rotativa Backflip (Preto)</v>
      </c>
    </row>
    <row r="2" spans="2:14">
      <c r="B2" s="6" t="s">
        <v>1168</v>
      </c>
      <c r="M2" s="49" t="str">
        <v>Tomada Embutir Redonda Twist2 (Branca)</v>
      </c>
      <c r="N2" s="53" t="str">
        <v>Tomada Embutir Redonda Twist2 (Branca)</v>
      </c>
    </row>
    <row r="3" spans="2:14" ht="15.75" thickBot="1">
      <c r="B3" t="s">
        <v>1165</v>
      </c>
      <c r="M3" s="51" t="str">
        <v>Tomada Suiça Superfície U-Dock (Preta)</v>
      </c>
      <c r="N3" s="188" t="str">
        <v>Tomada Suiça Superfície U-Dock (Preta)</v>
      </c>
    </row>
    <row r="5" spans="2:14">
      <c r="G5" t="s">
        <v>1169</v>
      </c>
    </row>
    <row r="6" spans="2:14">
      <c r="B6" s="141" t="s">
        <v>1115</v>
      </c>
      <c r="C6" s="141" t="s">
        <v>916</v>
      </c>
      <c r="D6" s="141" t="s">
        <v>1109</v>
      </c>
      <c r="E6" s="141" t="s">
        <v>1116</v>
      </c>
      <c r="F6" s="145" t="s">
        <v>915</v>
      </c>
      <c r="G6" s="133" t="s">
        <v>1111</v>
      </c>
      <c r="H6" s="141" t="s">
        <v>1117</v>
      </c>
    </row>
    <row r="7" spans="2:14">
      <c r="B7" s="8" t="s">
        <v>933</v>
      </c>
      <c r="C7" s="8" t="str">
        <f>VLOOKUP(B7,'Base_Fornecedores Extras'!$A$5:$C$385,3,FALSE)</f>
        <v>LAGE &amp; SA</v>
      </c>
      <c r="D7" s="128">
        <v>140.13999999999999</v>
      </c>
      <c r="E7" s="128">
        <f>IF(ISNUMBER(FIND("TOMADA", B7)), 30, 0) * (23/60)</f>
        <v>11.5</v>
      </c>
      <c r="F7" s="146">
        <f>E7+D7</f>
        <v>151.63999999999999</v>
      </c>
      <c r="G7" s="122">
        <f>ROUNDUP((F7)*1.4, 0)</f>
        <v>213</v>
      </c>
      <c r="H7" t="s">
        <v>1166</v>
      </c>
    </row>
    <row r="8" spans="2:14">
      <c r="B8" s="8" t="s">
        <v>1050</v>
      </c>
      <c r="C8" s="8" t="str">
        <f>VLOOKUP(B8,'Base_Fornecedores Extras'!$A$5:$C$385,3,FALSE)</f>
        <v>FIWARE</v>
      </c>
      <c r="D8" s="128">
        <v>123.55</v>
      </c>
      <c r="E8" s="128">
        <f t="shared" ref="E8:E9" si="0">IF(ISNUMBER(FIND("TOMADA", B8)), 30, 0) * (23/60)</f>
        <v>11.5</v>
      </c>
      <c r="F8" s="146">
        <f t="shared" ref="F8:F9" si="1">E8+D8</f>
        <v>135.05000000000001</v>
      </c>
      <c r="G8" s="122">
        <f>ROUNDUP((F8)*1.4, 0)</f>
        <v>190</v>
      </c>
      <c r="H8" t="s">
        <v>1167</v>
      </c>
    </row>
    <row r="9" spans="2:14">
      <c r="B9" s="8" t="s">
        <v>1001</v>
      </c>
      <c r="C9" s="8" t="str">
        <f>VLOOKUP(B9,'Base_Fornecedores Extras'!$A$5:$C$385,3,FALSE)</f>
        <v>FIWARE</v>
      </c>
      <c r="D9" s="128">
        <v>121</v>
      </c>
      <c r="E9" s="128">
        <f t="shared" si="0"/>
        <v>11.5</v>
      </c>
      <c r="F9" s="146">
        <f t="shared" si="1"/>
        <v>132.5</v>
      </c>
      <c r="G9" s="122">
        <f t="shared" ref="G9" si="2">ROUNDUP((F9)*1.4, 0)</f>
        <v>186</v>
      </c>
      <c r="H9" t="s">
        <v>1554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D59BD-9F2C-4BA5-B030-9E5CC524A997}">
  <sheetPr codeName="Folha20">
    <tabColor theme="0"/>
  </sheetPr>
  <dimension ref="B2:F31"/>
  <sheetViews>
    <sheetView showGridLines="0" workbookViewId="0">
      <selection activeCell="D29" sqref="D29"/>
    </sheetView>
  </sheetViews>
  <sheetFormatPr defaultRowHeight="15"/>
  <cols>
    <col min="2" max="2" width="54.85546875" customWidth="1"/>
    <col min="3" max="3" width="18.28515625" customWidth="1"/>
    <col min="4" max="4" width="27.140625" customWidth="1"/>
    <col min="5" max="5" width="17" customWidth="1"/>
    <col min="6" max="6" width="37.140625" customWidth="1"/>
  </cols>
  <sheetData>
    <row r="2" spans="2:6">
      <c r="B2" s="6" t="s">
        <v>1218</v>
      </c>
    </row>
    <row r="3" spans="2:6">
      <c r="B3" t="s">
        <v>1206</v>
      </c>
    </row>
    <row r="5" spans="2:6">
      <c r="E5" t="s">
        <v>1223</v>
      </c>
    </row>
    <row r="6" spans="2:6">
      <c r="B6" s="141" t="s">
        <v>1115</v>
      </c>
      <c r="C6" s="141" t="s">
        <v>916</v>
      </c>
      <c r="D6" s="145" t="s">
        <v>1052</v>
      </c>
      <c r="E6" s="133" t="s">
        <v>1111</v>
      </c>
      <c r="F6" s="141" t="s">
        <v>1117</v>
      </c>
    </row>
    <row r="7" spans="2:6">
      <c r="B7" s="8" t="s">
        <v>837</v>
      </c>
      <c r="C7" s="8" t="str">
        <f>VLOOKUP(B7,'Base_Fornecedores Extras'!$A$5:$C$385,3,FALSE)</f>
        <v>LAGE &amp; SA</v>
      </c>
      <c r="D7" s="146">
        <v>1.073</v>
      </c>
      <c r="E7" s="150">
        <f>ROUNDUP((D7)*1.5, 0)</f>
        <v>2</v>
      </c>
      <c r="F7" s="8" t="s">
        <v>1219</v>
      </c>
    </row>
    <row r="8" spans="2:6">
      <c r="B8" s="8" t="s">
        <v>838</v>
      </c>
      <c r="C8" s="8" t="str">
        <f>VLOOKUP(B8,'Base_Fornecedores Extras'!$A$5:$C$385,3,FALSE)</f>
        <v>LAGE &amp; SA</v>
      </c>
      <c r="D8" s="146">
        <v>1.073</v>
      </c>
      <c r="E8" s="150">
        <f t="shared" ref="E8:E21" si="0">ROUNDUP((D8)*1.5, 0)</f>
        <v>2</v>
      </c>
      <c r="F8" s="8" t="s">
        <v>1220</v>
      </c>
    </row>
    <row r="9" spans="2:6">
      <c r="B9" s="8" t="s">
        <v>941</v>
      </c>
      <c r="C9" s="8" t="str">
        <f>VLOOKUP(B9,'Base_Fornecedores Extras'!$A$5:$C$385,3,FALSE)</f>
        <v>LAGE &amp; SA</v>
      </c>
      <c r="D9" s="146">
        <v>4.4329999999999998</v>
      </c>
      <c r="E9" s="150">
        <f t="shared" si="0"/>
        <v>7</v>
      </c>
      <c r="F9" s="8" t="s">
        <v>1207</v>
      </c>
    </row>
    <row r="10" spans="2:6">
      <c r="B10" s="8" t="s">
        <v>931</v>
      </c>
      <c r="C10" s="8" t="str">
        <f>VLOOKUP(B10,'Base_Fornecedores Extras'!$A$5:$C$385,3,FALSE)</f>
        <v>LAGE &amp; SA</v>
      </c>
      <c r="D10" s="146">
        <v>0.85799999999999998</v>
      </c>
      <c r="E10" s="150">
        <f t="shared" si="0"/>
        <v>2</v>
      </c>
      <c r="F10" s="8" t="s">
        <v>1208</v>
      </c>
    </row>
    <row r="11" spans="2:6">
      <c r="B11" s="8" t="s">
        <v>934</v>
      </c>
      <c r="C11" s="8" t="str">
        <f>VLOOKUP(B11,'Base_Fornecedores Extras'!$A$5:$C$385,3,FALSE)</f>
        <v>LAGE &amp; SA</v>
      </c>
      <c r="D11" s="146">
        <v>12.813000000000001</v>
      </c>
      <c r="E11" s="150">
        <f t="shared" si="0"/>
        <v>20</v>
      </c>
      <c r="F11" s="8" t="s">
        <v>1209</v>
      </c>
    </row>
    <row r="12" spans="2:6">
      <c r="B12" s="8" t="s">
        <v>935</v>
      </c>
      <c r="C12" s="8" t="str">
        <f>VLOOKUP(B12,'Base_Fornecedores Extras'!$A$5:$C$385,3,FALSE)</f>
        <v>LAGE &amp; SA</v>
      </c>
      <c r="D12" s="146">
        <v>2.7530000000000001</v>
      </c>
      <c r="E12" s="150">
        <f t="shared" si="0"/>
        <v>5</v>
      </c>
      <c r="F12" s="8" t="s">
        <v>1210</v>
      </c>
    </row>
    <row r="13" spans="2:6">
      <c r="B13" s="8" t="s">
        <v>211</v>
      </c>
      <c r="C13" s="8" t="str">
        <f>VLOOKUP(B13,'Base_Fornecedores Extras'!$A$5:$C$385,3,FALSE)</f>
        <v>LAGE &amp; SA</v>
      </c>
      <c r="D13" s="146">
        <v>0.64400000000000002</v>
      </c>
      <c r="E13" s="150">
        <f t="shared" si="0"/>
        <v>1</v>
      </c>
      <c r="F13" s="8" t="s">
        <v>1211</v>
      </c>
    </row>
    <row r="14" spans="2:6">
      <c r="B14" s="8" t="s">
        <v>927</v>
      </c>
      <c r="C14" s="8" t="str">
        <f>VLOOKUP(B14,'Base_Fornecedores Extras'!$A$5:$C$385,3,FALSE)</f>
        <v>LAGE &amp; SA</v>
      </c>
      <c r="D14" s="146">
        <v>8.9019999999999992</v>
      </c>
      <c r="E14" s="150">
        <f t="shared" si="0"/>
        <v>14</v>
      </c>
      <c r="F14" s="8" t="s">
        <v>1212</v>
      </c>
    </row>
    <row r="15" spans="2:6">
      <c r="B15" s="8" t="s">
        <v>968</v>
      </c>
      <c r="C15" s="8" t="str">
        <f>VLOOKUP(B15,'Base_Fornecedores Extras'!$A$5:$C$385,3,FALSE)</f>
        <v>LAGE &amp; SA</v>
      </c>
      <c r="D15" s="146">
        <v>1.044</v>
      </c>
      <c r="E15" s="150">
        <f t="shared" si="0"/>
        <v>2</v>
      </c>
      <c r="F15" s="8" t="s">
        <v>1221</v>
      </c>
    </row>
    <row r="16" spans="2:6">
      <c r="B16" s="8" t="s">
        <v>946</v>
      </c>
      <c r="C16" s="8" t="str">
        <f>VLOOKUP(B16,'Base_Fornecedores Extras'!$A$5:$C$385,3,FALSE)</f>
        <v>LAGE &amp; SA</v>
      </c>
      <c r="D16" s="146">
        <v>1.3080000000000001</v>
      </c>
      <c r="E16" s="150">
        <f t="shared" si="0"/>
        <v>2</v>
      </c>
      <c r="F16" s="8" t="s">
        <v>1222</v>
      </c>
    </row>
    <row r="17" spans="2:6">
      <c r="B17" s="8" t="s">
        <v>972</v>
      </c>
      <c r="C17" s="8" t="str">
        <f>VLOOKUP(B17,'Base_Fornecedores Extras'!$A$5:$C$385,3,FALSE)</f>
        <v>LAGE &amp; SA</v>
      </c>
      <c r="D17" s="146">
        <v>0.35799999999999998</v>
      </c>
      <c r="E17" s="150">
        <f t="shared" si="0"/>
        <v>1</v>
      </c>
      <c r="F17" s="8" t="s">
        <v>1213</v>
      </c>
    </row>
    <row r="18" spans="2:6">
      <c r="B18" s="8" t="s">
        <v>962</v>
      </c>
      <c r="C18" s="8" t="str">
        <f>VLOOKUP(B18,'Base_Fornecedores Extras'!$A$5:$C$385,3,FALSE)</f>
        <v>LAGE &amp; SA</v>
      </c>
      <c r="D18" s="146">
        <v>2.431</v>
      </c>
      <c r="E18" s="150">
        <f t="shared" si="0"/>
        <v>4</v>
      </c>
      <c r="F18" s="8" t="s">
        <v>1214</v>
      </c>
    </row>
    <row r="19" spans="2:6">
      <c r="B19" s="8" t="s">
        <v>981</v>
      </c>
      <c r="C19" s="8" t="str">
        <f>VLOOKUP(B19,'Base_Fornecedores Extras'!$A$5:$C$385,3,FALSE)</f>
        <v>FIWARE</v>
      </c>
      <c r="D19" s="146">
        <v>202.69</v>
      </c>
      <c r="E19" s="150">
        <f t="shared" si="0"/>
        <v>305</v>
      </c>
      <c r="F19" s="8" t="s">
        <v>1215</v>
      </c>
    </row>
    <row r="20" spans="2:6">
      <c r="B20" s="8" t="s">
        <v>1044</v>
      </c>
      <c r="C20" s="8" t="str">
        <f>VLOOKUP(B20,'Base_Fornecedores Extras'!$A$5:$C$385,3,FALSE)</f>
        <v>FIWARE</v>
      </c>
      <c r="D20" s="146">
        <v>12.1</v>
      </c>
      <c r="E20" s="150">
        <f t="shared" si="0"/>
        <v>19</v>
      </c>
      <c r="F20" s="8" t="s">
        <v>1216</v>
      </c>
    </row>
    <row r="21" spans="2:6">
      <c r="B21" s="8" t="s">
        <v>1046</v>
      </c>
      <c r="C21" s="8" t="str">
        <f>VLOOKUP(B21,'Base_Fornecedores Extras'!$A$5:$C$385,3,FALSE)</f>
        <v>FIWARE</v>
      </c>
      <c r="D21" s="146">
        <v>18.149999999999999</v>
      </c>
      <c r="E21" s="150">
        <f t="shared" si="0"/>
        <v>28</v>
      </c>
      <c r="F21" s="8" t="s">
        <v>1217</v>
      </c>
    </row>
    <row r="24" spans="2:6" ht="30">
      <c r="B24" s="242" t="s">
        <v>1306</v>
      </c>
      <c r="C24" s="243" t="s">
        <v>1307</v>
      </c>
      <c r="D24" s="242" t="s">
        <v>1351</v>
      </c>
    </row>
    <row r="25" spans="2:6" ht="87">
      <c r="B25" s="242" t="s">
        <v>1389</v>
      </c>
      <c r="C25" s="244">
        <f>2*D7+2*D8</f>
        <v>4.2919999999999998</v>
      </c>
      <c r="D25" s="241" t="s">
        <v>1390</v>
      </c>
    </row>
    <row r="26" spans="2:6" ht="30">
      <c r="B26" s="242" t="s">
        <v>1402</v>
      </c>
      <c r="C26" s="146">
        <f>3*D7+3*D8</f>
        <v>6.4379999999999997</v>
      </c>
      <c r="D26" s="257" t="s">
        <v>1403</v>
      </c>
    </row>
    <row r="29" spans="2:6">
      <c r="B29" s="242" t="s">
        <v>1306</v>
      </c>
      <c r="C29" s="245" t="s">
        <v>1322</v>
      </c>
    </row>
    <row r="30" spans="2:6">
      <c r="B30" s="242" t="s">
        <v>1389</v>
      </c>
      <c r="C30" s="258">
        <f>ROUNDUP(C25,0)*2</f>
        <v>10</v>
      </c>
    </row>
    <row r="31" spans="2:6">
      <c r="B31" s="242" t="s">
        <v>1389</v>
      </c>
      <c r="C31" s="258">
        <f>ROUNDUP(C26,0)*2</f>
        <v>14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1F0A4-A024-43DA-BF86-E7B60E8E0D96}">
  <sheetPr codeName="Folha21">
    <tabColor theme="0"/>
  </sheetPr>
  <dimension ref="B2:R108"/>
  <sheetViews>
    <sheetView showGridLines="0" topLeftCell="A74" zoomScale="90" zoomScaleNormal="90" workbookViewId="0">
      <selection activeCell="H98" sqref="H98"/>
    </sheetView>
  </sheetViews>
  <sheetFormatPr defaultRowHeight="15"/>
  <cols>
    <col min="2" max="2" width="62.5703125" customWidth="1"/>
    <col min="3" max="3" width="13" customWidth="1"/>
    <col min="4" max="4" width="15.5703125" customWidth="1"/>
    <col min="5" max="5" width="39.140625" customWidth="1"/>
    <col min="7" max="7" width="18" customWidth="1"/>
    <col min="8" max="8" width="69.42578125" customWidth="1"/>
    <col min="9" max="9" width="12.140625" customWidth="1"/>
    <col min="10" max="10" width="15.5703125" customWidth="1"/>
    <col min="11" max="11" width="45" customWidth="1"/>
    <col min="14" max="14" width="49.42578125" customWidth="1"/>
    <col min="15" max="15" width="12.140625" customWidth="1"/>
    <col min="16" max="16" width="14.42578125" customWidth="1"/>
    <col min="17" max="17" width="37.42578125" customWidth="1"/>
  </cols>
  <sheetData>
    <row r="2" spans="2:18">
      <c r="I2" s="141" t="s">
        <v>1116</v>
      </c>
    </row>
    <row r="3" spans="2:18">
      <c r="I3" s="128">
        <v>9.58</v>
      </c>
    </row>
    <row r="9" spans="2:18" ht="18.75">
      <c r="B9" s="487" t="s">
        <v>1229</v>
      </c>
      <c r="C9" s="487"/>
      <c r="D9" s="487"/>
      <c r="E9" s="487"/>
      <c r="F9" s="487"/>
      <c r="H9" s="487" t="s">
        <v>1195</v>
      </c>
      <c r="I9" s="487"/>
      <c r="J9" s="487"/>
      <c r="K9" s="487"/>
      <c r="L9" s="487"/>
      <c r="N9" s="487" t="s">
        <v>1205</v>
      </c>
      <c r="O9" s="487"/>
      <c r="P9" s="487"/>
      <c r="Q9" s="487"/>
      <c r="R9" s="487"/>
    </row>
    <row r="11" spans="2:18">
      <c r="B11" s="151" t="s">
        <v>1115</v>
      </c>
      <c r="C11" s="151" t="s">
        <v>916</v>
      </c>
      <c r="D11" s="151" t="s">
        <v>1052</v>
      </c>
      <c r="E11" s="151" t="s">
        <v>1117</v>
      </c>
      <c r="H11" s="151" t="s">
        <v>1115</v>
      </c>
      <c r="I11" s="151" t="s">
        <v>916</v>
      </c>
      <c r="J11" s="151" t="s">
        <v>1052</v>
      </c>
      <c r="K11" s="151" t="s">
        <v>1117</v>
      </c>
      <c r="N11" s="151" t="s">
        <v>1115</v>
      </c>
      <c r="O11" s="151" t="s">
        <v>916</v>
      </c>
      <c r="P11" s="151" t="s">
        <v>1052</v>
      </c>
      <c r="Q11" s="151" t="s">
        <v>1117</v>
      </c>
    </row>
    <row r="12" spans="2:18">
      <c r="B12" s="8" t="s">
        <v>712</v>
      </c>
      <c r="C12" s="8" t="str">
        <f>VLOOKUP(B12,'Base_Fornecedores Extras'!$A$5:$C$385,3,FALSE)</f>
        <v>CASFERIM</v>
      </c>
      <c r="D12" s="19">
        <f>VLOOKUP(B12,'Base_Fornecedores Extras'!$A$5:$C$385,2,FALSE)</f>
        <v>11.59</v>
      </c>
      <c r="E12" s="8" t="s">
        <v>1170</v>
      </c>
      <c r="H12" s="8" t="s">
        <v>784</v>
      </c>
      <c r="I12" s="8" t="str">
        <f>VLOOKUP(H12,'Base_Fornecedores Extras'!$A$5:$C$385,3,FALSE)</f>
        <v>CASFERIM</v>
      </c>
      <c r="J12" s="128">
        <f>VLOOKUP(H12,'Base_Fornecedores Extras'!$A$5:$C$385,2,FALSE)</f>
        <v>15.301</v>
      </c>
      <c r="K12" s="8" t="s">
        <v>1186</v>
      </c>
      <c r="N12" s="8" t="s">
        <v>782</v>
      </c>
      <c r="O12" s="8" t="str">
        <f>VLOOKUP(N12,'Base_Fornecedores Extras'!$A$5:$C$385,3,FALSE)</f>
        <v>CASFERIM</v>
      </c>
      <c r="P12" s="128">
        <f>VLOOKUP(N12,'Base_Fornecedores Extras'!$A$5:$C$385,2,FALSE)</f>
        <v>18.5</v>
      </c>
      <c r="Q12" s="8" t="s">
        <v>1196</v>
      </c>
    </row>
    <row r="13" spans="2:18">
      <c r="B13" s="8" t="s">
        <v>806</v>
      </c>
      <c r="C13" s="8" t="str">
        <f>VLOOKUP(B13,'Base_Fornecedores Extras'!$A$5:$C$385,3,FALSE)</f>
        <v>LAGE &amp; SA</v>
      </c>
      <c r="D13" s="19">
        <f>VLOOKUP(B13,'Base_Fornecedores Extras'!$A$5:$C$385,2,FALSE)</f>
        <v>11.93</v>
      </c>
      <c r="E13" s="8" t="s">
        <v>1170</v>
      </c>
      <c r="H13" s="8" t="s">
        <v>834</v>
      </c>
      <c r="I13" s="8" t="str">
        <f>VLOOKUP(H13,'Base_Fornecedores Extras'!$A$5:$C$385,3,FALSE)</f>
        <v>LAGE &amp; SA</v>
      </c>
      <c r="J13" s="128">
        <f>VLOOKUP(H13,'Base_Fornecedores Extras'!$A$5:$C$385,2,FALSE)</f>
        <v>17.146000000000001</v>
      </c>
      <c r="K13" s="8" t="s">
        <v>1187</v>
      </c>
      <c r="N13" s="8" t="s">
        <v>865</v>
      </c>
      <c r="O13" s="8" t="str">
        <f>VLOOKUP(N13,'Base_Fornecedores Extras'!$A$5:$C$385,3,FALSE)</f>
        <v>LAGE &amp; SA</v>
      </c>
      <c r="P13" s="128">
        <f>VLOOKUP(N13,'Base_Fornecedores Extras'!$A$5:$C$385,2,FALSE)</f>
        <v>20.356000000000002</v>
      </c>
      <c r="Q13" s="8" t="s">
        <v>1197</v>
      </c>
    </row>
    <row r="14" spans="2:18">
      <c r="B14" s="8" t="s">
        <v>710</v>
      </c>
      <c r="C14" s="8" t="str">
        <f>VLOOKUP(B14,'Base_Fornecedores Extras'!$A$5:$C$385,3,FALSE)</f>
        <v>CASFERIM</v>
      </c>
      <c r="D14" s="19">
        <f>VLOOKUP(B14,'Base_Fornecedores Extras'!$A$5:$C$385,2,FALSE)</f>
        <v>4.9690000000000003</v>
      </c>
      <c r="E14" s="8" t="s">
        <v>1171</v>
      </c>
      <c r="H14" s="8" t="s">
        <v>786</v>
      </c>
      <c r="I14" s="8" t="str">
        <f>VLOOKUP(H14,'Base_Fornecedores Extras'!$A$5:$C$385,3,FALSE)</f>
        <v>CASFERIM</v>
      </c>
      <c r="J14" s="128">
        <f>VLOOKUP(H14,'Base_Fornecedores Extras'!$A$5:$C$385,2,FALSE)</f>
        <v>14.438000000000001</v>
      </c>
      <c r="K14" s="8" t="s">
        <v>1188</v>
      </c>
      <c r="N14" s="8" t="s">
        <v>863</v>
      </c>
      <c r="O14" s="8" t="str">
        <f>VLOOKUP(N14,'Base_Fornecedores Extras'!$A$5:$C$385,3,FALSE)</f>
        <v>LAGE &amp; SA</v>
      </c>
      <c r="P14" s="128">
        <f>VLOOKUP(N14,'Base_Fornecedores Extras'!$A$5:$C$385,2,FALSE)</f>
        <v>17.167000000000002</v>
      </c>
      <c r="Q14" s="8" t="s">
        <v>1198</v>
      </c>
    </row>
    <row r="15" spans="2:18">
      <c r="B15" s="8" t="s">
        <v>807</v>
      </c>
      <c r="C15" s="8" t="str">
        <f>VLOOKUP(B15,'Base_Fornecedores Extras'!$A$5:$C$385,3,FALSE)</f>
        <v>LAGE &amp; SA</v>
      </c>
      <c r="D15" s="19">
        <f>VLOOKUP(B15,'Base_Fornecedores Extras'!$A$5:$C$385,2,FALSE)</f>
        <v>4.96</v>
      </c>
      <c r="E15" s="8" t="s">
        <v>1172</v>
      </c>
      <c r="H15" s="8" t="s">
        <v>835</v>
      </c>
      <c r="I15" s="8" t="str">
        <f>VLOOKUP(H15,'Base_Fornecedores Extras'!$A$5:$C$385,3,FALSE)</f>
        <v>LAGE &amp; SA</v>
      </c>
      <c r="J15" s="128">
        <f>VLOOKUP(H15,'Base_Fornecedores Extras'!$A$5:$C$385,2,FALSE)</f>
        <v>16.18</v>
      </c>
      <c r="K15" s="8" t="s">
        <v>1188</v>
      </c>
      <c r="N15" s="8" t="s">
        <v>868</v>
      </c>
      <c r="O15" s="8" t="str">
        <f>VLOOKUP(N15,'Base_Fornecedores Extras'!$A$5:$C$385,3,FALSE)</f>
        <v>LAGE &amp; SA</v>
      </c>
      <c r="P15" s="128">
        <f>VLOOKUP(N15,'Base_Fornecedores Extras'!$A$5:$C$385,2,FALSE)</f>
        <v>44.695</v>
      </c>
      <c r="Q15" s="8" t="s">
        <v>1199</v>
      </c>
    </row>
    <row r="16" spans="2:18">
      <c r="B16" s="8" t="s">
        <v>808</v>
      </c>
      <c r="C16" s="8" t="str">
        <f>VLOOKUP(B16,'Base_Fornecedores Extras'!$A$5:$C$385,3,FALSE)</f>
        <v>LAGE &amp; SA</v>
      </c>
      <c r="D16" s="19">
        <f>VLOOKUP(B16,'Base_Fornecedores Extras'!$A$5:$C$385,2,FALSE)</f>
        <v>4.96</v>
      </c>
      <c r="E16" s="8" t="s">
        <v>1173</v>
      </c>
      <c r="H16" s="8" t="s">
        <v>788</v>
      </c>
      <c r="I16" s="8" t="str">
        <f>VLOOKUP(H16,'Base_Fornecedores Extras'!$A$5:$C$385,3,FALSE)</f>
        <v>CASFERIM</v>
      </c>
      <c r="J16" s="128">
        <f>VLOOKUP(H16,'Base_Fornecedores Extras'!$A$5:$C$385,2,FALSE)</f>
        <v>0.82499999999999996</v>
      </c>
      <c r="K16" s="8" t="s">
        <v>1189</v>
      </c>
      <c r="N16" s="8" t="s">
        <v>864</v>
      </c>
      <c r="O16" s="8" t="str">
        <f>VLOOKUP(N16,'Base_Fornecedores Extras'!$A$5:$C$385,3,FALSE)</f>
        <v>LAGE &amp; SA</v>
      </c>
      <c r="P16" s="128">
        <f>VLOOKUP(N16,'Base_Fornecedores Extras'!$A$5:$C$385,2,FALSE)</f>
        <v>1.022</v>
      </c>
      <c r="Q16" s="8" t="s">
        <v>1200</v>
      </c>
    </row>
    <row r="17" spans="2:18">
      <c r="B17" s="8" t="s">
        <v>804</v>
      </c>
      <c r="C17" s="8" t="str">
        <f>VLOOKUP(B17,'Base_Fornecedores Extras'!$A$5:$C$385,3,FALSE)</f>
        <v>LAGE &amp; SA</v>
      </c>
      <c r="D17" s="19">
        <f>VLOOKUP(B17,'Base_Fornecedores Extras'!$A$5:$C$385,2,FALSE)</f>
        <v>0.39</v>
      </c>
      <c r="E17" s="8" t="s">
        <v>1174</v>
      </c>
      <c r="H17" s="8" t="s">
        <v>855</v>
      </c>
      <c r="I17" s="8" t="str">
        <f>VLOOKUP(H17,'Base_Fornecedores Extras'!$A$5:$C$385,3,FALSE)</f>
        <v>LAGE &amp; SA</v>
      </c>
      <c r="J17" s="128">
        <f>VLOOKUP(H17,'Base_Fornecedores Extras'!$A$5:$C$385,2,FALSE)</f>
        <v>0.872</v>
      </c>
      <c r="K17" s="8" t="s">
        <v>1189</v>
      </c>
      <c r="N17" s="8" t="s">
        <v>869</v>
      </c>
      <c r="O17" s="8" t="str">
        <f>VLOOKUP(N17,'Base_Fornecedores Extras'!$A$5:$C$385,3,FALSE)</f>
        <v>LAGE &amp; SA</v>
      </c>
      <c r="P17" s="128">
        <f>VLOOKUP(N17,'Base_Fornecedores Extras'!$A$5:$C$385,2,FALSE)</f>
        <v>2.839</v>
      </c>
      <c r="Q17" s="8" t="s">
        <v>1201</v>
      </c>
    </row>
    <row r="18" spans="2:18">
      <c r="B18" s="8" t="s">
        <v>802</v>
      </c>
      <c r="C18" s="8" t="str">
        <f>VLOOKUP(B18,'Base_Fornecedores Extras'!$A$5:$C$385,3,FALSE)</f>
        <v>LAGE &amp; SA</v>
      </c>
      <c r="D18" s="19">
        <f>VLOOKUP(B18,'Base_Fornecedores Extras'!$A$5:$C$385,2,FALSE)</f>
        <v>0.47599999999999998</v>
      </c>
      <c r="E18" s="8" t="s">
        <v>1175</v>
      </c>
      <c r="H18" s="8" t="s">
        <v>858</v>
      </c>
      <c r="I18" s="8" t="str">
        <f>VLOOKUP(H18,'Base_Fornecedores Extras'!$A$5:$C$385,3,FALSE)</f>
        <v>LAGE &amp; SA</v>
      </c>
      <c r="J18" s="128">
        <f>VLOOKUP(H18,'Base_Fornecedores Extras'!$A$5:$C$385,2,FALSE)</f>
        <v>4.5620000000000003</v>
      </c>
      <c r="K18" s="8" t="s">
        <v>1190</v>
      </c>
      <c r="N18" s="8" t="s">
        <v>867</v>
      </c>
      <c r="O18" s="8" t="str">
        <f>VLOOKUP(N18,'Base_Fornecedores Extras'!$A$5:$C$385,3,FALSE)</f>
        <v>LAGE &amp; SA</v>
      </c>
      <c r="P18" s="128">
        <f>VLOOKUP(N18,'Base_Fornecedores Extras'!$A$5:$C$385,2,FALSE)</f>
        <v>0.22900000000000001</v>
      </c>
      <c r="Q18" s="8" t="s">
        <v>1202</v>
      </c>
    </row>
    <row r="19" spans="2:18">
      <c r="B19" s="8" t="s">
        <v>803</v>
      </c>
      <c r="C19" s="8" t="str">
        <f>VLOOKUP(B19,'Base_Fornecedores Extras'!$A$5:$C$385,3,FALSE)</f>
        <v>LAGE &amp; SA</v>
      </c>
      <c r="D19" s="19">
        <f>VLOOKUP(B19,'Base_Fornecedores Extras'!$A$5:$C$385,2,FALSE)</f>
        <v>0.47599999999999998</v>
      </c>
      <c r="E19" s="8" t="s">
        <v>1176</v>
      </c>
      <c r="H19" s="8" t="s">
        <v>771</v>
      </c>
      <c r="I19" s="8" t="str">
        <f>VLOOKUP(H19,'Base_Fornecedores Extras'!$A$5:$C$385,3,FALSE)</f>
        <v>CASFERIM</v>
      </c>
      <c r="J19" s="128">
        <f>VLOOKUP(H19,'Base_Fornecedores Extras'!$A$5:$C$385,2,FALSE)</f>
        <v>0.26600000000000001</v>
      </c>
      <c r="K19" s="8" t="s">
        <v>1191</v>
      </c>
      <c r="N19" s="8" t="s">
        <v>866</v>
      </c>
      <c r="O19" s="8" t="str">
        <f>VLOOKUP(N19,'Base_Fornecedores Extras'!$A$5:$C$385,3,FALSE)</f>
        <v>LAGE &amp; SA</v>
      </c>
      <c r="P19" s="128">
        <f>VLOOKUP(N19,'Base_Fornecedores Extras'!$A$5:$C$385,2,FALSE)</f>
        <v>0.54300000000000004</v>
      </c>
      <c r="Q19" s="8" t="s">
        <v>1203</v>
      </c>
    </row>
    <row r="20" spans="2:18">
      <c r="B20" s="8" t="s">
        <v>843</v>
      </c>
      <c r="C20" s="8" t="str">
        <f>VLOOKUP(B20,'Base_Fornecedores Extras'!$A$5:$C$385,3,FALSE)</f>
        <v>LAGE &amp; SA</v>
      </c>
      <c r="D20" s="19">
        <f>VLOOKUP(B20,'Base_Fornecedores Extras'!$A$5:$C$385,2,FALSE)</f>
        <v>0.94399999999999995</v>
      </c>
      <c r="E20" s="8" t="s">
        <v>1177</v>
      </c>
      <c r="H20" s="8" t="s">
        <v>822</v>
      </c>
      <c r="I20" s="8" t="str">
        <f>VLOOKUP(H20,'Base_Fornecedores Extras'!$A$5:$C$385,3,FALSE)</f>
        <v>LAGE &amp; SA</v>
      </c>
      <c r="J20" s="128">
        <f>VLOOKUP(H20,'Base_Fornecedores Extras'!$A$5:$C$385,2,FALSE)</f>
        <v>0.24299999999999999</v>
      </c>
      <c r="K20" s="8" t="s">
        <v>1192</v>
      </c>
      <c r="N20" s="8" t="s">
        <v>789</v>
      </c>
      <c r="O20" s="8" t="str">
        <f>VLOOKUP(N20,'Base_Fornecedores Extras'!$A$5:$C$385,3,FALSE)</f>
        <v>CASFERIM</v>
      </c>
      <c r="P20" s="128">
        <f>VLOOKUP(N20,'Base_Fornecedores Extras'!$A$5:$C$385,2,FALSE)</f>
        <v>11.426</v>
      </c>
      <c r="Q20" s="8" t="s">
        <v>1204</v>
      </c>
    </row>
    <row r="21" spans="2:18">
      <c r="B21" s="8" t="s">
        <v>844</v>
      </c>
      <c r="C21" s="8" t="str">
        <f>VLOOKUP(B21,'Base_Fornecedores Extras'!$A$5:$C$385,3,FALSE)</f>
        <v>LAGE &amp; SA</v>
      </c>
      <c r="D21" s="19">
        <f>VLOOKUP(B21,'Base_Fornecedores Extras'!$A$5:$C$385,2,FALSE)</f>
        <v>0.94399999999999995</v>
      </c>
      <c r="E21" s="8" t="s">
        <v>1178</v>
      </c>
      <c r="H21" s="8" t="s">
        <v>826</v>
      </c>
      <c r="I21" s="8" t="str">
        <f>VLOOKUP(H21,'Base_Fornecedores Extras'!$A$5:$C$385,3,FALSE)</f>
        <v>LAGE &amp; SA</v>
      </c>
      <c r="J21" s="128">
        <f>VLOOKUP(H21,'Base_Fornecedores Extras'!$A$5:$C$385,2,FALSE)</f>
        <v>13.22</v>
      </c>
      <c r="K21" s="8" t="s">
        <v>1193</v>
      </c>
    </row>
    <row r="22" spans="2:18">
      <c r="B22" s="8" t="s">
        <v>887</v>
      </c>
      <c r="C22" s="8" t="str">
        <f>VLOOKUP(B22,'Base_Fornecedores Extras'!$A$5:$C$385,3,FALSE)</f>
        <v>LAGE &amp; SA</v>
      </c>
      <c r="D22" s="19">
        <f>VLOOKUP(B22,'Base_Fornecedores Extras'!$A$5:$C$385,2,FALSE)</f>
        <v>2.3090000000000002</v>
      </c>
      <c r="E22" s="8" t="s">
        <v>1179</v>
      </c>
      <c r="H22" s="8" t="s">
        <v>791</v>
      </c>
      <c r="I22" s="8" t="str">
        <f>VLOOKUP(H22,'Base_Fornecedores Extras'!$A$5:$C$385,3,FALSE)</f>
        <v>CASFERIM</v>
      </c>
      <c r="J22" s="128">
        <f>VLOOKUP(H22,'Base_Fornecedores Extras'!$A$5:$C$385,2,FALSE)</f>
        <v>8.4390000000000001</v>
      </c>
      <c r="K22" s="8" t="s">
        <v>1194</v>
      </c>
    </row>
    <row r="23" spans="2:18">
      <c r="B23" s="8" t="s">
        <v>888</v>
      </c>
      <c r="C23" s="8" t="str">
        <f>VLOOKUP(B23,'Base_Fornecedores Extras'!$A$5:$C$385,3,FALSE)</f>
        <v>LAGE &amp; SA</v>
      </c>
      <c r="D23" s="19">
        <f>VLOOKUP(B23,'Base_Fornecedores Extras'!$A$5:$C$385,2,FALSE)</f>
        <v>2.3090000000000002</v>
      </c>
      <c r="E23" s="8" t="s">
        <v>1180</v>
      </c>
      <c r="H23" s="8" t="s">
        <v>790</v>
      </c>
      <c r="I23" s="8" t="str">
        <f>VLOOKUP(H23,'Base_Fornecedores Extras'!$A$5:$C$385,3,FALSE)</f>
        <v>CASFERIM</v>
      </c>
      <c r="J23" s="128">
        <f>VLOOKUP(H23,'Base_Fornecedores Extras'!$A$5:$C$385,2,FALSE)</f>
        <v>4.2830000000000004</v>
      </c>
      <c r="K23" s="8" t="s">
        <v>1185</v>
      </c>
      <c r="N23" s="488" t="s">
        <v>1230</v>
      </c>
      <c r="O23" s="488"/>
      <c r="P23" s="488"/>
      <c r="Q23" s="488"/>
      <c r="R23" s="488"/>
    </row>
    <row r="24" spans="2:18">
      <c r="B24" s="8" t="s">
        <v>805</v>
      </c>
      <c r="C24" s="8" t="str">
        <f>VLOOKUP(B24,'Base_Fornecedores Extras'!$A$5:$C$385,3,FALSE)</f>
        <v>LAGE &amp; SA</v>
      </c>
      <c r="D24" s="19">
        <f>VLOOKUP(B24,'Base_Fornecedores Extras'!$A$5:$C$385,2,FALSE)</f>
        <v>7.9000000000000001E-2</v>
      </c>
      <c r="E24" s="8" t="s">
        <v>1181</v>
      </c>
      <c r="H24" s="8" t="s">
        <v>856</v>
      </c>
      <c r="I24" s="8" t="str">
        <f>VLOOKUP(H24,'Base_Fornecedores Extras'!$A$5:$C$385,3,FALSE)</f>
        <v>LAGE &amp; SA</v>
      </c>
      <c r="J24" s="128">
        <f>VLOOKUP(H24,'Base_Fornecedores Extras'!$A$5:$C$385,2,FALSE)</f>
        <v>8.5999999999999993E-2</v>
      </c>
      <c r="K24" s="8" t="s">
        <v>1235</v>
      </c>
    </row>
    <row r="25" spans="2:18">
      <c r="B25" s="8" t="s">
        <v>696</v>
      </c>
      <c r="C25" s="8" t="str">
        <f>VLOOKUP(B25,'Base_Fornecedores Extras'!$A$5:$C$385,3,FALSE)</f>
        <v>CASFERIM</v>
      </c>
      <c r="D25" s="19">
        <f>VLOOKUP(B25,'Base_Fornecedores Extras'!$A$5:$C$385,2,FALSE)</f>
        <v>0.08</v>
      </c>
      <c r="E25" s="8" t="s">
        <v>1182</v>
      </c>
      <c r="N25" s="141" t="s">
        <v>1233</v>
      </c>
      <c r="O25" s="141" t="s">
        <v>916</v>
      </c>
      <c r="P25" s="141" t="s">
        <v>921</v>
      </c>
      <c r="Q25" s="141" t="s">
        <v>1225</v>
      </c>
      <c r="R25" s="145" t="s">
        <v>922</v>
      </c>
    </row>
    <row r="26" spans="2:18">
      <c r="B26" s="8" t="s">
        <v>725</v>
      </c>
      <c r="C26" s="8" t="str">
        <f>VLOOKUP(B26,'Base_Fornecedores Extras'!$A$5:$C$385,3,FALSE)</f>
        <v>CASFERIM</v>
      </c>
      <c r="D26" s="19">
        <f>VLOOKUP(B26,'Base_Fornecedores Extras'!$A$5:$C$385,2,FALSE)</f>
        <v>10.565</v>
      </c>
      <c r="E26" s="8" t="s">
        <v>1183</v>
      </c>
      <c r="H26" s="488" t="s">
        <v>1230</v>
      </c>
      <c r="I26" s="488"/>
      <c r="J26" s="488"/>
      <c r="K26" s="488"/>
      <c r="L26" s="488"/>
      <c r="N26" s="8" t="s">
        <v>865</v>
      </c>
      <c r="O26" s="8" t="str">
        <f>VLOOKUP(N26,'Base_Fornecedores Extras'!$A$5:$C$385,3,FALSE)</f>
        <v>LAGE &amp; SA</v>
      </c>
      <c r="P26" s="8">
        <v>1</v>
      </c>
      <c r="Q26" s="128">
        <f>VLOOKUP(N26,'Base_Fornecedores Extras'!$A$5:$C$385,2,FALSE)</f>
        <v>20.356000000000002</v>
      </c>
      <c r="R26" s="146">
        <f>P26*Q26</f>
        <v>20.356000000000002</v>
      </c>
    </row>
    <row r="27" spans="2:18">
      <c r="B27" s="8" t="s">
        <v>736</v>
      </c>
      <c r="C27" s="8" t="str">
        <f>VLOOKUP(B27,'Base_Fornecedores Extras'!$A$5:$C$385,3,FALSE)</f>
        <v>CASFERIM</v>
      </c>
      <c r="D27" s="19">
        <f>VLOOKUP(B27,'Base_Fornecedores Extras'!$A$5:$C$385,2,FALSE)</f>
        <v>0.66900000000000004</v>
      </c>
      <c r="E27" s="8" t="s">
        <v>1184</v>
      </c>
      <c r="N27" s="8" t="s">
        <v>863</v>
      </c>
      <c r="O27" s="8" t="str">
        <f>VLOOKUP(N27,'Base_Fornecedores Extras'!$A$5:$C$385,3,FALSE)</f>
        <v>LAGE &amp; SA</v>
      </c>
      <c r="P27" s="8">
        <v>1</v>
      </c>
      <c r="Q27" s="128">
        <f>VLOOKUP(N27,'Base_Fornecedores Extras'!$A$5:$C$385,2,FALSE)</f>
        <v>17.167000000000002</v>
      </c>
      <c r="R27" s="146">
        <f t="shared" ref="R27:R29" si="0">P27*Q27</f>
        <v>17.167000000000002</v>
      </c>
    </row>
    <row r="28" spans="2:18">
      <c r="B28" s="8" t="s">
        <v>779</v>
      </c>
      <c r="C28" s="8" t="str">
        <f>VLOOKUP(B28,'Base_Fornecedores Extras'!$A$5:$C$385,3,FALSE)</f>
        <v>CASFERIM</v>
      </c>
      <c r="D28" s="19">
        <f>VLOOKUP(B28,'Base_Fornecedores Extras'!$A$5:$C$385,2,FALSE)</f>
        <v>5.0999999999999996</v>
      </c>
      <c r="E28" s="8" t="s">
        <v>1185</v>
      </c>
      <c r="H28" s="141" t="s">
        <v>1233</v>
      </c>
      <c r="I28" s="141" t="s">
        <v>916</v>
      </c>
      <c r="J28" s="141" t="s">
        <v>921</v>
      </c>
      <c r="K28" s="141" t="s">
        <v>1225</v>
      </c>
      <c r="L28" s="145" t="s">
        <v>922</v>
      </c>
      <c r="N28" s="8" t="s">
        <v>864</v>
      </c>
      <c r="O28" s="8" t="str">
        <f>VLOOKUP(N28,'Base_Fornecedores Extras'!$A$5:$C$385,3,FALSE)</f>
        <v>LAGE &amp; SA</v>
      </c>
      <c r="P28" s="8">
        <v>1</v>
      </c>
      <c r="Q28" s="128">
        <f>VLOOKUP(N28,'Base_Fornecedores Extras'!$A$5:$C$385,2,FALSE)</f>
        <v>1.022</v>
      </c>
      <c r="R28" s="146">
        <f t="shared" si="0"/>
        <v>1.022</v>
      </c>
    </row>
    <row r="29" spans="2:18">
      <c r="H29" s="8" t="s">
        <v>784</v>
      </c>
      <c r="I29" s="8" t="str">
        <f>VLOOKUP(H29,'Base_Fornecedores Extras'!$A$5:$C$385,3,FALSE)</f>
        <v>CASFERIM</v>
      </c>
      <c r="J29" s="8">
        <v>1</v>
      </c>
      <c r="K29" s="128">
        <f>VLOOKUP(H29,'Base_Fornecedores Extras'!$A$5:$C$385,2,FALSE)</f>
        <v>15.301</v>
      </c>
      <c r="L29" s="146">
        <f>J29*K29</f>
        <v>15.301</v>
      </c>
      <c r="N29" s="8" t="s">
        <v>867</v>
      </c>
      <c r="O29" s="8" t="str">
        <f>VLOOKUP(N29,'Base_Fornecedores Extras'!$A$5:$C$385,3,FALSE)</f>
        <v>LAGE &amp; SA</v>
      </c>
      <c r="P29" s="8">
        <v>2</v>
      </c>
      <c r="Q29" s="128">
        <f>VLOOKUP(N29,'Base_Fornecedores Extras'!$A$5:$C$385,2,FALSE)</f>
        <v>0.22900000000000001</v>
      </c>
      <c r="R29" s="146">
        <f t="shared" si="0"/>
        <v>0.45800000000000002</v>
      </c>
    </row>
    <row r="30" spans="2:18">
      <c r="H30" s="8" t="s">
        <v>786</v>
      </c>
      <c r="I30" s="8" t="str">
        <f>VLOOKUP(H30,'Base_Fornecedores Extras'!$A$5:$C$385,3,FALSE)</f>
        <v>CASFERIM</v>
      </c>
      <c r="J30" s="8">
        <v>1</v>
      </c>
      <c r="K30" s="128">
        <f>VLOOKUP(H30,'Base_Fornecedores Extras'!$A$5:$C$385,2,FALSE)</f>
        <v>14.438000000000001</v>
      </c>
      <c r="L30" s="146">
        <f t="shared" ref="L30:L33" si="1">J30*K30</f>
        <v>14.438000000000001</v>
      </c>
      <c r="N30" s="8" t="s">
        <v>1226</v>
      </c>
      <c r="O30" s="8"/>
      <c r="P30" s="8"/>
      <c r="Q30" s="8"/>
      <c r="R30" s="146">
        <f>SUM(R26:R29)</f>
        <v>39.003</v>
      </c>
    </row>
    <row r="31" spans="2:18">
      <c r="B31" s="488" t="s">
        <v>1230</v>
      </c>
      <c r="C31" s="488"/>
      <c r="D31" s="488"/>
      <c r="E31" s="488"/>
      <c r="F31" s="488"/>
      <c r="H31" s="8" t="s">
        <v>788</v>
      </c>
      <c r="I31" s="8" t="str">
        <f>VLOOKUP(H31,'Base_Fornecedores Extras'!$A$5:$C$385,3,FALSE)</f>
        <v>CASFERIM</v>
      </c>
      <c r="J31" s="8">
        <v>1</v>
      </c>
      <c r="K31" s="128">
        <f>VLOOKUP(H31,'Base_Fornecedores Extras'!$A$5:$C$385,2,FALSE)</f>
        <v>0.82499999999999996</v>
      </c>
      <c r="L31" s="146">
        <f t="shared" si="1"/>
        <v>0.82499999999999996</v>
      </c>
      <c r="N31" s="8" t="s">
        <v>1227</v>
      </c>
      <c r="O31" s="8"/>
      <c r="P31" s="8"/>
      <c r="Q31" s="8"/>
      <c r="R31" s="146">
        <v>9.58</v>
      </c>
    </row>
    <row r="32" spans="2:18">
      <c r="H32" s="8" t="s">
        <v>822</v>
      </c>
      <c r="I32" s="8" t="str">
        <f>VLOOKUP(H32,'Base_Fornecedores Extras'!$A$5:$C$385,3,FALSE)</f>
        <v>LAGE &amp; SA</v>
      </c>
      <c r="J32" s="8">
        <v>2</v>
      </c>
      <c r="K32" s="128">
        <f>VLOOKUP(H32,'Base_Fornecedores Extras'!$A$5:$C$385,2,FALSE)</f>
        <v>0.24299999999999999</v>
      </c>
      <c r="L32" s="146">
        <f t="shared" si="1"/>
        <v>0.48599999999999999</v>
      </c>
      <c r="N32" s="154" t="s">
        <v>1234</v>
      </c>
      <c r="O32" s="154"/>
      <c r="P32" s="154"/>
      <c r="Q32" s="154"/>
      <c r="R32" s="153">
        <f>SUM(R30:R31)</f>
        <v>48.582999999999998</v>
      </c>
    </row>
    <row r="33" spans="2:18">
      <c r="B33" s="148" t="s">
        <v>1224</v>
      </c>
      <c r="C33" s="148" t="s">
        <v>916</v>
      </c>
      <c r="D33" s="148" t="s">
        <v>921</v>
      </c>
      <c r="E33" s="148" t="s">
        <v>1225</v>
      </c>
      <c r="F33" s="145" t="s">
        <v>922</v>
      </c>
      <c r="H33" s="8" t="s">
        <v>856</v>
      </c>
      <c r="I33" s="8" t="str">
        <f>VLOOKUP(H33,'Base_Fornecedores Extras'!$A$5:$C$385,3,FALSE)</f>
        <v>LAGE &amp; SA</v>
      </c>
      <c r="J33" s="8">
        <v>2</v>
      </c>
      <c r="K33" s="128">
        <f>VLOOKUP(H33,'Base_Fornecedores Extras'!$A$5:$C$385,2,FALSE)</f>
        <v>8.5999999999999993E-2</v>
      </c>
      <c r="L33" s="146">
        <f t="shared" si="1"/>
        <v>0.17199999999999999</v>
      </c>
    </row>
    <row r="34" spans="2:18">
      <c r="B34" s="8" t="s">
        <v>712</v>
      </c>
      <c r="C34" s="8" t="str">
        <f>VLOOKUP(B34,'Base_Fornecedores Extras'!$A$5:$C$385,3,FALSE)</f>
        <v>CASFERIM</v>
      </c>
      <c r="D34" s="8">
        <v>1</v>
      </c>
      <c r="E34" s="128">
        <f>VLOOKUP(B34,'Base_Fornecedores Extras'!$A$5:$C$385,2,FALSE)</f>
        <v>11.59</v>
      </c>
      <c r="F34" s="146">
        <f>D34*E34</f>
        <v>11.59</v>
      </c>
      <c r="H34" s="8" t="s">
        <v>1226</v>
      </c>
      <c r="I34" s="8"/>
      <c r="J34" s="8"/>
      <c r="K34" s="8"/>
      <c r="L34" s="146">
        <f>SUM(L29:L33)</f>
        <v>31.222000000000001</v>
      </c>
    </row>
    <row r="35" spans="2:18">
      <c r="B35" s="8" t="s">
        <v>807</v>
      </c>
      <c r="C35" s="8" t="str">
        <f>VLOOKUP(B35,'Base_Fornecedores Extras'!$A$5:$C$385,3,FALSE)</f>
        <v>LAGE &amp; SA</v>
      </c>
      <c r="D35" s="8">
        <v>1</v>
      </c>
      <c r="E35" s="128">
        <f>VLOOKUP(B35,'Base_Fornecedores Extras'!$A$5:$C$385,2,FALSE)</f>
        <v>4.96</v>
      </c>
      <c r="F35" s="146">
        <f t="shared" ref="F35:F40" si="2">D35*E35</f>
        <v>4.96</v>
      </c>
      <c r="H35" s="8" t="s">
        <v>1227</v>
      </c>
      <c r="I35" s="8"/>
      <c r="J35" s="8"/>
      <c r="K35" s="8"/>
      <c r="L35" s="146">
        <v>9.58</v>
      </c>
      <c r="N35" s="488" t="s">
        <v>1231</v>
      </c>
      <c r="O35" s="488"/>
      <c r="P35" s="488"/>
      <c r="Q35" s="488"/>
      <c r="R35" s="488"/>
    </row>
    <row r="36" spans="2:18">
      <c r="B36" s="8" t="s">
        <v>808</v>
      </c>
      <c r="C36" s="8" t="str">
        <f>VLOOKUP(B36,'Base_Fornecedores Extras'!$A$5:$C$385,3,FALSE)</f>
        <v>LAGE &amp; SA</v>
      </c>
      <c r="D36" s="8">
        <v>1</v>
      </c>
      <c r="E36" s="128">
        <f>VLOOKUP(B36,'Base_Fornecedores Extras'!$A$5:$C$385,2,FALSE)</f>
        <v>4.96</v>
      </c>
      <c r="F36" s="146">
        <f t="shared" si="2"/>
        <v>4.96</v>
      </c>
      <c r="H36" s="154" t="s">
        <v>1234</v>
      </c>
      <c r="I36" s="154"/>
      <c r="J36" s="154"/>
      <c r="K36" s="154"/>
      <c r="L36" s="153">
        <f>SUM(L34:L35)</f>
        <v>40.802</v>
      </c>
    </row>
    <row r="37" spans="2:18">
      <c r="B37" s="8" t="s">
        <v>802</v>
      </c>
      <c r="C37" s="8" t="str">
        <f>VLOOKUP(B37,'Base_Fornecedores Extras'!$A$5:$C$385,3,FALSE)</f>
        <v>LAGE &amp; SA</v>
      </c>
      <c r="D37" s="8">
        <v>1</v>
      </c>
      <c r="E37" s="128">
        <f>VLOOKUP(B37,'Base_Fornecedores Extras'!$A$5:$C$385,2,FALSE)</f>
        <v>0.47599999999999998</v>
      </c>
      <c r="F37" s="146">
        <f t="shared" si="2"/>
        <v>0.47599999999999998</v>
      </c>
      <c r="L37" s="155">
        <v>70</v>
      </c>
      <c r="N37" s="141" t="s">
        <v>1233</v>
      </c>
      <c r="O37" s="141" t="s">
        <v>916</v>
      </c>
      <c r="P37" s="141" t="s">
        <v>921</v>
      </c>
      <c r="Q37" s="141" t="s">
        <v>1225</v>
      </c>
      <c r="R37" s="145" t="s">
        <v>922</v>
      </c>
    </row>
    <row r="38" spans="2:18">
      <c r="B38" s="8" t="s">
        <v>803</v>
      </c>
      <c r="C38" s="8" t="str">
        <f>VLOOKUP(B38,'Base_Fornecedores Extras'!$A$5:$C$385,3,FALSE)</f>
        <v>LAGE &amp; SA</v>
      </c>
      <c r="D38" s="8">
        <v>1</v>
      </c>
      <c r="E38" s="128">
        <f>VLOOKUP(B38,'Base_Fornecedores Extras'!$A$5:$C$385,2,FALSE)</f>
        <v>0.47599999999999998</v>
      </c>
      <c r="F38" s="146">
        <f t="shared" si="2"/>
        <v>0.47599999999999998</v>
      </c>
      <c r="N38" s="8" t="s">
        <v>865</v>
      </c>
      <c r="O38" s="8" t="str">
        <f>VLOOKUP(N38,'Base_Fornecedores Extras'!$A$5:$C$385,3,FALSE)</f>
        <v>LAGE &amp; SA</v>
      </c>
      <c r="P38" s="8">
        <v>1</v>
      </c>
      <c r="Q38" s="128">
        <f>VLOOKUP(N38,'Base_Fornecedores Extras'!$A$5:$C$385,2,FALSE)</f>
        <v>20.356000000000002</v>
      </c>
      <c r="R38" s="146">
        <f>Q38*P38</f>
        <v>20.356000000000002</v>
      </c>
    </row>
    <row r="39" spans="2:18">
      <c r="B39" s="8" t="s">
        <v>804</v>
      </c>
      <c r="C39" s="8" t="str">
        <f>VLOOKUP(B39,'Base_Fornecedores Extras'!$A$5:$C$385,3,FALSE)</f>
        <v>LAGE &amp; SA</v>
      </c>
      <c r="D39" s="8">
        <v>2</v>
      </c>
      <c r="E39" s="128">
        <f>VLOOKUP(B39,'Base_Fornecedores Extras'!$A$5:$C$385,2,FALSE)</f>
        <v>0.39</v>
      </c>
      <c r="F39" s="146">
        <f t="shared" si="2"/>
        <v>0.78</v>
      </c>
      <c r="H39" s="488" t="s">
        <v>1231</v>
      </c>
      <c r="I39" s="488"/>
      <c r="J39" s="488"/>
      <c r="K39" s="488"/>
      <c r="L39" s="488"/>
      <c r="N39" s="8" t="s">
        <v>863</v>
      </c>
      <c r="O39" s="8" t="str">
        <f>VLOOKUP(N39,'Base_Fornecedores Extras'!$A$5:$C$385,3,FALSE)</f>
        <v>LAGE &amp; SA</v>
      </c>
      <c r="P39" s="8">
        <v>1</v>
      </c>
      <c r="Q39" s="128">
        <f>VLOOKUP(N39,'Base_Fornecedores Extras'!$A$5:$C$385,2,FALSE)</f>
        <v>17.167000000000002</v>
      </c>
      <c r="R39" s="146">
        <f t="shared" ref="R39:R42" si="3">Q39*P39</f>
        <v>17.167000000000002</v>
      </c>
    </row>
    <row r="40" spans="2:18">
      <c r="B40" s="8" t="s">
        <v>805</v>
      </c>
      <c r="C40" s="8" t="str">
        <f>VLOOKUP(B40,'Base_Fornecedores Extras'!$A$5:$C$385,3,FALSE)</f>
        <v>LAGE &amp; SA</v>
      </c>
      <c r="D40" s="8">
        <v>2</v>
      </c>
      <c r="E40" s="128">
        <f>VLOOKUP(B40,'Base_Fornecedores Extras'!$A$5:$C$385,2,FALSE)</f>
        <v>7.9000000000000001E-2</v>
      </c>
      <c r="F40" s="146">
        <f t="shared" si="2"/>
        <v>0.158</v>
      </c>
      <c r="N40" s="8" t="s">
        <v>864</v>
      </c>
      <c r="O40" s="8" t="str">
        <f>VLOOKUP(N40,'Base_Fornecedores Extras'!$A$5:$C$385,3,FALSE)</f>
        <v>LAGE &amp; SA</v>
      </c>
      <c r="P40" s="8">
        <v>1</v>
      </c>
      <c r="Q40" s="128">
        <f>VLOOKUP(N40,'Base_Fornecedores Extras'!$A$5:$C$385,2,FALSE)</f>
        <v>1.022</v>
      </c>
      <c r="R40" s="146">
        <f t="shared" si="3"/>
        <v>1.022</v>
      </c>
    </row>
    <row r="41" spans="2:18">
      <c r="B41" s="8" t="s">
        <v>1226</v>
      </c>
      <c r="C41" s="8"/>
      <c r="D41" s="8"/>
      <c r="E41" s="8"/>
      <c r="F41" s="146">
        <f>SUM(F34:F40)</f>
        <v>23.400000000000002</v>
      </c>
      <c r="H41" s="141" t="s">
        <v>1233</v>
      </c>
      <c r="I41" s="141" t="s">
        <v>916</v>
      </c>
      <c r="J41" s="141" t="s">
        <v>921</v>
      </c>
      <c r="K41" s="141" t="s">
        <v>1225</v>
      </c>
      <c r="L41" s="145" t="s">
        <v>922</v>
      </c>
      <c r="N41" s="8" t="s">
        <v>789</v>
      </c>
      <c r="O41" s="8" t="str">
        <f>VLOOKUP(N41,'Base_Fornecedores Extras'!$A$5:$C$385,3,FALSE)</f>
        <v>CASFERIM</v>
      </c>
      <c r="P41" s="8">
        <v>1</v>
      </c>
      <c r="Q41" s="128">
        <f>VLOOKUP(N41,'Base_Fornecedores Extras'!$A$5:$C$385,2,FALSE)</f>
        <v>11.426</v>
      </c>
      <c r="R41" s="146">
        <f t="shared" si="3"/>
        <v>11.426</v>
      </c>
    </row>
    <row r="42" spans="2:18">
      <c r="B42" s="8" t="s">
        <v>1232</v>
      </c>
      <c r="C42" s="8"/>
      <c r="D42" s="8"/>
      <c r="E42" s="8"/>
      <c r="F42" s="146">
        <v>9.58</v>
      </c>
      <c r="H42" s="8" t="s">
        <v>784</v>
      </c>
      <c r="I42" s="8" t="str">
        <f>VLOOKUP(H42,'Base_Fornecedores Extras'!$A$5:$C$385,3,FALSE)</f>
        <v>CASFERIM</v>
      </c>
      <c r="J42" s="8">
        <v>1</v>
      </c>
      <c r="K42" s="128">
        <f>VLOOKUP(H42,'Base_Fornecedores Extras'!$A$5:$C$385,2,FALSE)</f>
        <v>15.301</v>
      </c>
      <c r="L42" s="146">
        <f>K42*J42</f>
        <v>15.301</v>
      </c>
      <c r="N42" s="8" t="s">
        <v>919</v>
      </c>
      <c r="O42" s="8" t="str">
        <f>VLOOKUP(N42,'Base_Fornecedores Extras'!$A$5:$C$385,3,FALSE)</f>
        <v>CASFERIM</v>
      </c>
      <c r="P42" s="8">
        <v>1</v>
      </c>
      <c r="Q42" s="128">
        <f>VLOOKUP(N42,'Base_Fornecedores Extras'!$A$5:$C$385,2,FALSE)</f>
        <v>7.6580000000000004</v>
      </c>
      <c r="R42" s="146">
        <f t="shared" si="3"/>
        <v>7.6580000000000004</v>
      </c>
    </row>
    <row r="43" spans="2:18">
      <c r="B43" s="154" t="s">
        <v>1228</v>
      </c>
      <c r="C43" s="152"/>
      <c r="D43" s="152"/>
      <c r="E43" s="152"/>
      <c r="F43" s="153">
        <f>SUM(F41:F42)</f>
        <v>32.980000000000004</v>
      </c>
      <c r="H43" s="8" t="s">
        <v>786</v>
      </c>
      <c r="I43" s="8" t="str">
        <f>VLOOKUP(H43,'Base_Fornecedores Extras'!$A$5:$C$385,3,FALSE)</f>
        <v>CASFERIM</v>
      </c>
      <c r="J43" s="8">
        <v>1</v>
      </c>
      <c r="K43" s="128">
        <f>VLOOKUP(H43,'Base_Fornecedores Extras'!$A$5:$C$385,2,FALSE)</f>
        <v>14.438000000000001</v>
      </c>
      <c r="L43" s="146">
        <f t="shared" ref="L43:L47" si="4">K43*J43</f>
        <v>14.438000000000001</v>
      </c>
      <c r="N43" s="8" t="s">
        <v>1226</v>
      </c>
      <c r="O43" s="8"/>
      <c r="P43" s="8"/>
      <c r="Q43" s="8"/>
      <c r="R43" s="146">
        <f>SUM(R38:R42)</f>
        <v>57.629000000000005</v>
      </c>
    </row>
    <row r="44" spans="2:18">
      <c r="F44" s="155"/>
      <c r="H44" s="8" t="s">
        <v>788</v>
      </c>
      <c r="I44" s="8" t="str">
        <f>VLOOKUP(H44,'Base_Fornecedores Extras'!$A$5:$C$385,3,FALSE)</f>
        <v>CASFERIM</v>
      </c>
      <c r="J44" s="8">
        <v>1</v>
      </c>
      <c r="K44" s="128">
        <f>VLOOKUP(H44,'Base_Fornecedores Extras'!$A$5:$C$385,2,FALSE)</f>
        <v>0.82499999999999996</v>
      </c>
      <c r="L44" s="146">
        <f t="shared" si="4"/>
        <v>0.82499999999999996</v>
      </c>
      <c r="N44" s="8" t="s">
        <v>1227</v>
      </c>
      <c r="O44" s="8"/>
      <c r="P44" s="8"/>
      <c r="Q44" s="8"/>
      <c r="R44" s="146">
        <v>9.58</v>
      </c>
    </row>
    <row r="45" spans="2:18">
      <c r="H45" s="8" t="s">
        <v>826</v>
      </c>
      <c r="I45" s="8" t="str">
        <f>VLOOKUP(H45,'Base_Fornecedores Extras'!$A$5:$C$385,3,FALSE)</f>
        <v>LAGE &amp; SA</v>
      </c>
      <c r="J45" s="8">
        <v>1</v>
      </c>
      <c r="K45" s="128">
        <f>VLOOKUP(H45,'Base_Fornecedores Extras'!$A$5:$C$385,2,FALSE)</f>
        <v>13.22</v>
      </c>
      <c r="L45" s="146">
        <f t="shared" si="4"/>
        <v>13.22</v>
      </c>
      <c r="N45" s="154" t="s">
        <v>1234</v>
      </c>
      <c r="O45" s="154"/>
      <c r="P45" s="154"/>
      <c r="Q45" s="154"/>
      <c r="R45" s="153">
        <f>SUM(R43:R44)</f>
        <v>67.209000000000003</v>
      </c>
    </row>
    <row r="46" spans="2:18">
      <c r="B46" s="488" t="s">
        <v>1231</v>
      </c>
      <c r="C46" s="488"/>
      <c r="D46" s="488"/>
      <c r="E46" s="488"/>
      <c r="F46" s="488"/>
      <c r="H46" s="8" t="s">
        <v>791</v>
      </c>
      <c r="I46" s="8" t="str">
        <f>VLOOKUP(H46,'Base_Fornecedores Extras'!$A$5:$C$385,3,FALSE)</f>
        <v>CASFERIM</v>
      </c>
      <c r="J46" s="8">
        <v>1</v>
      </c>
      <c r="K46" s="128">
        <f>VLOOKUP(H46,'Base_Fornecedores Extras'!$A$5:$C$385,2,FALSE)</f>
        <v>8.4390000000000001</v>
      </c>
      <c r="L46" s="146">
        <f t="shared" si="4"/>
        <v>8.4390000000000001</v>
      </c>
    </row>
    <row r="47" spans="2:18">
      <c r="H47" s="8" t="s">
        <v>790</v>
      </c>
      <c r="I47" s="8" t="str">
        <f>VLOOKUP(H47,'Base_Fornecedores Extras'!$A$5:$C$385,3,FALSE)</f>
        <v>CASFERIM</v>
      </c>
      <c r="J47" s="8">
        <v>1</v>
      </c>
      <c r="K47" s="128">
        <f>VLOOKUP(H47,'Base_Fornecedores Extras'!$A$5:$C$385,2,FALSE)</f>
        <v>4.2830000000000004</v>
      </c>
      <c r="L47" s="146">
        <f t="shared" si="4"/>
        <v>4.2830000000000004</v>
      </c>
      <c r="N47" s="495" t="s">
        <v>1561</v>
      </c>
      <c r="O47" s="495"/>
      <c r="P47" s="495"/>
      <c r="Q47" s="495"/>
      <c r="R47" s="495"/>
    </row>
    <row r="48" spans="2:18">
      <c r="B48" s="141" t="s">
        <v>1224</v>
      </c>
      <c r="C48" s="141" t="s">
        <v>916</v>
      </c>
      <c r="D48" s="141" t="s">
        <v>921</v>
      </c>
      <c r="E48" s="141" t="s">
        <v>1225</v>
      </c>
      <c r="F48" s="145" t="s">
        <v>922</v>
      </c>
      <c r="H48" s="8" t="s">
        <v>1226</v>
      </c>
      <c r="I48" s="8"/>
      <c r="J48" s="8"/>
      <c r="K48" s="8"/>
      <c r="L48" s="146">
        <f>SUM(L42:L47)</f>
        <v>56.506</v>
      </c>
    </row>
    <row r="49" spans="2:18">
      <c r="B49" s="8" t="s">
        <v>712</v>
      </c>
      <c r="C49" s="8" t="str">
        <f>VLOOKUP(B49,'Base_Fornecedores Extras'!$A$5:$C$385,3,FALSE)</f>
        <v>CASFERIM</v>
      </c>
      <c r="D49" s="8">
        <v>1</v>
      </c>
      <c r="E49" s="128">
        <f>VLOOKUP(B49,'Base_Fornecedores Extras'!$A$5:$C$385,2,FALSE)</f>
        <v>11.59</v>
      </c>
      <c r="F49" s="146">
        <f>D49*E49</f>
        <v>11.59</v>
      </c>
      <c r="H49" s="8" t="s">
        <v>1227</v>
      </c>
      <c r="I49" s="8"/>
      <c r="J49" s="8"/>
      <c r="K49" s="8"/>
      <c r="L49" s="146">
        <v>9.58</v>
      </c>
      <c r="N49" s="124" t="s">
        <v>1233</v>
      </c>
      <c r="O49" s="124" t="s">
        <v>916</v>
      </c>
      <c r="P49" s="124" t="s">
        <v>921</v>
      </c>
      <c r="Q49" s="124" t="s">
        <v>1225</v>
      </c>
      <c r="R49" s="352" t="s">
        <v>922</v>
      </c>
    </row>
    <row r="50" spans="2:18">
      <c r="B50" s="8" t="s">
        <v>807</v>
      </c>
      <c r="C50" s="8" t="str">
        <f>VLOOKUP(B50,'Base_Fornecedores Extras'!$A$5:$C$385,3,FALSE)</f>
        <v>LAGE &amp; SA</v>
      </c>
      <c r="D50" s="8">
        <v>1</v>
      </c>
      <c r="E50" s="128">
        <f>VLOOKUP(B50,'Base_Fornecedores Extras'!$A$5:$C$385,2,FALSE)</f>
        <v>4.96</v>
      </c>
      <c r="F50" s="146">
        <f t="shared" ref="F50:F56" si="5">D50*E50</f>
        <v>4.96</v>
      </c>
      <c r="H50" s="154" t="s">
        <v>1234</v>
      </c>
      <c r="I50" s="154"/>
      <c r="J50" s="154"/>
      <c r="K50" s="154"/>
      <c r="L50" s="153">
        <f>SUM(L48:L49)</f>
        <v>66.085999999999999</v>
      </c>
      <c r="N50" s="8" t="s">
        <v>865</v>
      </c>
      <c r="O50" s="8" t="str">
        <f>VLOOKUP(N50,'Base_Fornecedores Extras'!$A$5:$C$385,3,FALSE)</f>
        <v>LAGE &amp; SA</v>
      </c>
      <c r="P50" s="8">
        <v>1</v>
      </c>
      <c r="Q50" s="128">
        <f>VLOOKUP(N50,'Base_Fornecedores Extras'!$A$5:$C$385,2,FALSE)</f>
        <v>20.356000000000002</v>
      </c>
      <c r="R50" s="146">
        <f>Q50*P50</f>
        <v>20.356000000000002</v>
      </c>
    </row>
    <row r="51" spans="2:18">
      <c r="B51" s="8" t="s">
        <v>808</v>
      </c>
      <c r="C51" s="8" t="str">
        <f>VLOOKUP(B51,'Base_Fornecedores Extras'!$A$5:$C$385,3,FALSE)</f>
        <v>LAGE &amp; SA</v>
      </c>
      <c r="D51" s="8">
        <v>1</v>
      </c>
      <c r="E51" s="128">
        <f>VLOOKUP(B51,'Base_Fornecedores Extras'!$A$5:$C$385,2,FALSE)</f>
        <v>4.96</v>
      </c>
      <c r="F51" s="146">
        <f t="shared" si="5"/>
        <v>4.96</v>
      </c>
      <c r="N51" s="8" t="s">
        <v>868</v>
      </c>
      <c r="O51" s="8" t="str">
        <f>VLOOKUP(N51,'Base_Fornecedores Extras'!$A$5:$C$385,3,FALSE)</f>
        <v>LAGE &amp; SA</v>
      </c>
      <c r="P51" s="8">
        <v>1</v>
      </c>
      <c r="Q51" s="128">
        <f>VLOOKUP(N51,'Base_Fornecedores Extras'!$A$5:$C$385,2,FALSE)</f>
        <v>44.695</v>
      </c>
      <c r="R51" s="146">
        <f t="shared" ref="R51:R53" si="6">Q51*P51</f>
        <v>44.695</v>
      </c>
    </row>
    <row r="52" spans="2:18">
      <c r="B52" s="8" t="s">
        <v>802</v>
      </c>
      <c r="C52" s="8" t="str">
        <f>VLOOKUP(B52,'Base_Fornecedores Extras'!$A$5:$C$385,3,FALSE)</f>
        <v>LAGE &amp; SA</v>
      </c>
      <c r="D52" s="8">
        <v>1</v>
      </c>
      <c r="E52" s="128">
        <f>VLOOKUP(B52,'Base_Fornecedores Extras'!$A$5:$C$385,2,FALSE)</f>
        <v>0.47599999999999998</v>
      </c>
      <c r="F52" s="146">
        <f t="shared" si="5"/>
        <v>0.47599999999999998</v>
      </c>
      <c r="N52" s="8" t="s">
        <v>869</v>
      </c>
      <c r="O52" s="8" t="str">
        <f>VLOOKUP(N52,'Base_Fornecedores Extras'!$A$5:$C$385,3,FALSE)</f>
        <v>LAGE &amp; SA</v>
      </c>
      <c r="P52" s="8">
        <v>1</v>
      </c>
      <c r="Q52" s="128">
        <f>VLOOKUP(N52,'Base_Fornecedores Extras'!$A$5:$C$385,2,FALSE)</f>
        <v>2.839</v>
      </c>
      <c r="R52" s="146">
        <f t="shared" si="6"/>
        <v>2.839</v>
      </c>
    </row>
    <row r="53" spans="2:18">
      <c r="B53" s="8" t="s">
        <v>803</v>
      </c>
      <c r="C53" s="8" t="str">
        <f>VLOOKUP(B53,'Base_Fornecedores Extras'!$A$5:$C$385,3,FALSE)</f>
        <v>LAGE &amp; SA</v>
      </c>
      <c r="D53" s="8">
        <v>1</v>
      </c>
      <c r="E53" s="128">
        <f>VLOOKUP(B53,'Base_Fornecedores Extras'!$A$5:$C$385,2,FALSE)</f>
        <v>0.47599999999999998</v>
      </c>
      <c r="F53" s="146">
        <f t="shared" si="5"/>
        <v>0.47599999999999998</v>
      </c>
      <c r="H53" s="493" t="s">
        <v>1561</v>
      </c>
      <c r="I53" s="493"/>
      <c r="J53" s="493"/>
      <c r="K53" s="493"/>
      <c r="L53" s="493"/>
      <c r="N53" s="8" t="s">
        <v>866</v>
      </c>
      <c r="O53" s="8" t="str">
        <f>VLOOKUP(N53,'Base_Fornecedores Extras'!$A$5:$C$385,3,FALSE)</f>
        <v>LAGE &amp; SA</v>
      </c>
      <c r="P53" s="8">
        <v>2</v>
      </c>
      <c r="Q53" s="128">
        <f>VLOOKUP(N53,'Base_Fornecedores Extras'!$A$5:$C$385,2,FALSE)</f>
        <v>0.54300000000000004</v>
      </c>
      <c r="R53" s="146">
        <f t="shared" si="6"/>
        <v>1.0860000000000001</v>
      </c>
    </row>
    <row r="54" spans="2:18">
      <c r="B54" s="8" t="s">
        <v>725</v>
      </c>
      <c r="C54" s="8" t="str">
        <f>VLOOKUP(B54,'Base_Fornecedores Extras'!$A$5:$C$385,3,FALSE)</f>
        <v>CASFERIM</v>
      </c>
      <c r="D54" s="8">
        <v>1</v>
      </c>
      <c r="E54" s="128">
        <f>VLOOKUP(B54,'Base_Fornecedores Extras'!$A$5:$C$385,2,FALSE)</f>
        <v>10.565</v>
      </c>
      <c r="F54" s="146">
        <f t="shared" si="5"/>
        <v>10.565</v>
      </c>
      <c r="N54" s="8" t="s">
        <v>1226</v>
      </c>
      <c r="O54" s="8"/>
      <c r="P54" s="8"/>
      <c r="Q54" s="8"/>
      <c r="R54" s="146">
        <f>SUM(R50:R53)</f>
        <v>68.975999999999999</v>
      </c>
    </row>
    <row r="55" spans="2:18">
      <c r="B55" s="8" t="s">
        <v>736</v>
      </c>
      <c r="C55" s="8" t="str">
        <f>VLOOKUP(B55,'Base_Fornecedores Extras'!$A$5:$C$385,3,FALSE)</f>
        <v>CASFERIM</v>
      </c>
      <c r="D55" s="8">
        <v>2</v>
      </c>
      <c r="E55" s="128">
        <f>VLOOKUP(B55,'Base_Fornecedores Extras'!$A$5:$C$385,2,FALSE)</f>
        <v>0.66900000000000004</v>
      </c>
      <c r="F55" s="146">
        <f t="shared" si="5"/>
        <v>1.3380000000000001</v>
      </c>
      <c r="H55" s="124" t="s">
        <v>1233</v>
      </c>
      <c r="I55" s="124" t="s">
        <v>916</v>
      </c>
      <c r="J55" s="124" t="s">
        <v>921</v>
      </c>
      <c r="K55" s="124" t="s">
        <v>1225</v>
      </c>
      <c r="L55" s="353" t="s">
        <v>922</v>
      </c>
      <c r="N55" s="8" t="s">
        <v>1227</v>
      </c>
      <c r="O55" s="8"/>
      <c r="P55" s="8"/>
      <c r="Q55" s="8"/>
      <c r="R55" s="146">
        <v>9.58</v>
      </c>
    </row>
    <row r="56" spans="2:18">
      <c r="B56" s="8" t="s">
        <v>779</v>
      </c>
      <c r="C56" s="8" t="str">
        <f>VLOOKUP(B56,'Base_Fornecedores Extras'!$A$5:$C$385,3,FALSE)</f>
        <v>CASFERIM</v>
      </c>
      <c r="D56" s="8">
        <v>1</v>
      </c>
      <c r="E56" s="128">
        <f>VLOOKUP(B56,'Base_Fornecedores Extras'!$A$5:$C$385,2,FALSE)</f>
        <v>5.0999999999999996</v>
      </c>
      <c r="F56" s="146">
        <f t="shared" si="5"/>
        <v>5.0999999999999996</v>
      </c>
      <c r="H56" s="8" t="s">
        <v>784</v>
      </c>
      <c r="I56" s="8" t="str">
        <f>VLOOKUP(H56,'Base_Fornecedores Extras'!$A$5:$C$385,3,FALSE)</f>
        <v>CASFERIM</v>
      </c>
      <c r="J56" s="8">
        <v>1</v>
      </c>
      <c r="K56" s="128">
        <f>VLOOKUP(H56,'Base_Fornecedores Extras'!$A$5:$C$385,2,FALSE)</f>
        <v>15.301</v>
      </c>
      <c r="L56" s="146">
        <f>K56*J56</f>
        <v>15.301</v>
      </c>
      <c r="N56" s="154" t="s">
        <v>1234</v>
      </c>
      <c r="O56" s="154"/>
      <c r="P56" s="154"/>
      <c r="Q56" s="154"/>
      <c r="R56" s="153">
        <f>R54+R55</f>
        <v>78.555999999999997</v>
      </c>
    </row>
    <row r="57" spans="2:18">
      <c r="B57" s="8" t="s">
        <v>1226</v>
      </c>
      <c r="C57" s="8"/>
      <c r="D57" s="8"/>
      <c r="E57" s="8"/>
      <c r="F57" s="146">
        <f>SUM(F49:F56)</f>
        <v>39.465000000000003</v>
      </c>
      <c r="H57" s="8" t="s">
        <v>786</v>
      </c>
      <c r="I57" s="8" t="str">
        <f>VLOOKUP(H57,'Base_Fornecedores Extras'!$A$5:$C$385,3,FALSE)</f>
        <v>CASFERIM</v>
      </c>
      <c r="J57" s="8">
        <v>1</v>
      </c>
      <c r="K57" s="128">
        <f>VLOOKUP(H57,'Base_Fornecedores Extras'!$A$5:$C$385,2,FALSE)</f>
        <v>14.438000000000001</v>
      </c>
      <c r="L57" s="146">
        <f t="shared" ref="L57:L61" si="7">K57*J57</f>
        <v>14.438000000000001</v>
      </c>
    </row>
    <row r="58" spans="2:18">
      <c r="B58" s="8" t="s">
        <v>1232</v>
      </c>
      <c r="C58" s="8"/>
      <c r="D58" s="8"/>
      <c r="E58" s="8"/>
      <c r="F58" s="146">
        <v>9.58</v>
      </c>
      <c r="H58" s="8" t="s">
        <v>788</v>
      </c>
      <c r="I58" s="8" t="str">
        <f>VLOOKUP(H58,'Base_Fornecedores Extras'!$A$5:$C$385,3,FALSE)</f>
        <v>CASFERIM</v>
      </c>
      <c r="J58" s="8">
        <v>1</v>
      </c>
      <c r="K58" s="128">
        <f>VLOOKUP(H58,'Base_Fornecedores Extras'!$A$5:$C$385,2,FALSE)</f>
        <v>0.82499999999999996</v>
      </c>
      <c r="L58" s="146">
        <f t="shared" si="7"/>
        <v>0.82499999999999996</v>
      </c>
      <c r="N58" s="493" t="s">
        <v>1563</v>
      </c>
      <c r="O58" s="493"/>
      <c r="P58" s="493"/>
      <c r="Q58" s="493"/>
      <c r="R58" s="493"/>
    </row>
    <row r="59" spans="2:18">
      <c r="B59" s="154" t="s">
        <v>1228</v>
      </c>
      <c r="C59" s="154"/>
      <c r="D59" s="154"/>
      <c r="E59" s="154"/>
      <c r="F59" s="153">
        <f>SUM(F57:F58)</f>
        <v>49.045000000000002</v>
      </c>
      <c r="H59" s="8" t="s">
        <v>858</v>
      </c>
      <c r="I59" s="8" t="str">
        <f>VLOOKUP(H59,'Base_Fornecedores Extras'!$A$5:$C$385,3,FALSE)</f>
        <v>LAGE &amp; SA</v>
      </c>
      <c r="J59" s="8">
        <v>1</v>
      </c>
      <c r="K59" s="128">
        <f>VLOOKUP(H59,'Base_Fornecedores Extras'!$A$5:$C$385,2,FALSE)</f>
        <v>4.5620000000000003</v>
      </c>
      <c r="L59" s="146">
        <f t="shared" si="7"/>
        <v>4.5620000000000003</v>
      </c>
    </row>
    <row r="60" spans="2:18">
      <c r="F60" s="155"/>
      <c r="H60" s="8" t="s">
        <v>822</v>
      </c>
      <c r="I60" s="8" t="str">
        <f>VLOOKUP(H60,'Base_Fornecedores Extras'!$A$5:$C$385,3,FALSE)</f>
        <v>LAGE &amp; SA</v>
      </c>
      <c r="J60" s="8">
        <v>2</v>
      </c>
      <c r="K60" s="128">
        <f>VLOOKUP(H60,'Base_Fornecedores Extras'!$A$5:$C$385,2,FALSE)</f>
        <v>0.24299999999999999</v>
      </c>
      <c r="L60" s="146">
        <f t="shared" si="7"/>
        <v>0.48599999999999999</v>
      </c>
      <c r="N60" s="141" t="s">
        <v>1233</v>
      </c>
      <c r="O60" s="141" t="s">
        <v>916</v>
      </c>
      <c r="P60" s="141" t="s">
        <v>921</v>
      </c>
      <c r="Q60" s="141" t="s">
        <v>1225</v>
      </c>
      <c r="R60" s="353" t="s">
        <v>922</v>
      </c>
    </row>
    <row r="61" spans="2:18">
      <c r="H61" s="8" t="s">
        <v>856</v>
      </c>
      <c r="I61" s="8" t="str">
        <f>VLOOKUP(H61,'Base_Fornecedores Extras'!$A$5:$C$385,3,FALSE)</f>
        <v>LAGE &amp; SA</v>
      </c>
      <c r="J61" s="8">
        <v>2</v>
      </c>
      <c r="K61" s="128">
        <f>VLOOKUP(H61,'Base_Fornecedores Extras'!$A$5:$C$385,2,FALSE)</f>
        <v>8.5999999999999993E-2</v>
      </c>
      <c r="L61" s="146">
        <f t="shared" si="7"/>
        <v>0.17199999999999999</v>
      </c>
      <c r="N61" s="8" t="s">
        <v>865</v>
      </c>
      <c r="O61" s="8" t="str">
        <f>VLOOKUP(N61,'Base_Fornecedores Extras'!$A$5:$C$385,3,FALSE)</f>
        <v>LAGE &amp; SA</v>
      </c>
      <c r="P61" s="8">
        <v>1</v>
      </c>
      <c r="Q61" s="128">
        <f>VLOOKUP(N61,'Base_Fornecedores Extras'!$A$5:$C$385,2,FALSE)</f>
        <v>20.356000000000002</v>
      </c>
      <c r="R61" s="146">
        <f>Q61*P61</f>
        <v>20.356000000000002</v>
      </c>
    </row>
    <row r="62" spans="2:18">
      <c r="B62" s="493" t="s">
        <v>1561</v>
      </c>
      <c r="C62" s="493"/>
      <c r="D62" s="493"/>
      <c r="E62" s="493"/>
      <c r="F62" s="493"/>
      <c r="H62" s="8" t="s">
        <v>1226</v>
      </c>
      <c r="I62" s="8"/>
      <c r="J62" s="8"/>
      <c r="K62" s="8"/>
      <c r="L62" s="146">
        <f>SUM(L56:L61)</f>
        <v>35.783999999999992</v>
      </c>
      <c r="N62" s="8" t="s">
        <v>868</v>
      </c>
      <c r="O62" s="8" t="str">
        <f>VLOOKUP(N62,'Base_Fornecedores Extras'!$A$5:$C$385,3,FALSE)</f>
        <v>LAGE &amp; SA</v>
      </c>
      <c r="P62" s="8">
        <v>1</v>
      </c>
      <c r="Q62" s="128">
        <f>VLOOKUP(N62,'Base_Fornecedores Extras'!$A$5:$C$385,2,FALSE)</f>
        <v>44.695</v>
      </c>
      <c r="R62" s="146">
        <f t="shared" ref="R62:R65" si="8">Q62*P62</f>
        <v>44.695</v>
      </c>
    </row>
    <row r="63" spans="2:18">
      <c r="H63" s="8" t="s">
        <v>1227</v>
      </c>
      <c r="I63" s="8"/>
      <c r="J63" s="8"/>
      <c r="K63" s="8"/>
      <c r="L63" s="146">
        <v>9.58</v>
      </c>
      <c r="N63" s="8" t="s">
        <v>869</v>
      </c>
      <c r="O63" s="8" t="str">
        <f>VLOOKUP(N63,'Base_Fornecedores Extras'!$A$5:$C$385,3,FALSE)</f>
        <v>LAGE &amp; SA</v>
      </c>
      <c r="P63" s="8">
        <v>1</v>
      </c>
      <c r="Q63" s="128">
        <f>VLOOKUP(N63,'Base_Fornecedores Extras'!$A$5:$C$385,2,FALSE)</f>
        <v>2.839</v>
      </c>
      <c r="R63" s="146">
        <f t="shared" si="8"/>
        <v>2.839</v>
      </c>
    </row>
    <row r="64" spans="2:18">
      <c r="B64" s="124" t="s">
        <v>1224</v>
      </c>
      <c r="C64" s="124" t="s">
        <v>916</v>
      </c>
      <c r="D64" s="124" t="s">
        <v>921</v>
      </c>
      <c r="E64" s="124" t="s">
        <v>1225</v>
      </c>
      <c r="F64" s="353" t="s">
        <v>922</v>
      </c>
      <c r="H64" s="154" t="s">
        <v>1234</v>
      </c>
      <c r="I64" s="154"/>
      <c r="J64" s="154"/>
      <c r="K64" s="154"/>
      <c r="L64" s="153">
        <f>L62+L63</f>
        <v>45.36399999999999</v>
      </c>
      <c r="N64" s="8" t="s">
        <v>789</v>
      </c>
      <c r="O64" s="8" t="str">
        <f>VLOOKUP(N64,'Base_Fornecedores Extras'!$A$5:$C$385,3,FALSE)</f>
        <v>CASFERIM</v>
      </c>
      <c r="P64" s="8">
        <v>1</v>
      </c>
      <c r="Q64" s="128">
        <f>VLOOKUP(N64,'Base_Fornecedores Extras'!$A$5:$C$385,2,FALSE)</f>
        <v>11.426</v>
      </c>
      <c r="R64" s="146">
        <f t="shared" si="8"/>
        <v>11.426</v>
      </c>
    </row>
    <row r="65" spans="2:18">
      <c r="B65" s="8" t="s">
        <v>712</v>
      </c>
      <c r="C65" s="8" t="str">
        <f>VLOOKUP(B65,'Base_Fornecedores Extras'!$A$5:$C$385,3,FALSE)</f>
        <v>CASFERIM</v>
      </c>
      <c r="D65" s="8">
        <v>1</v>
      </c>
      <c r="E65" s="128">
        <f>VLOOKUP(B65,'Base_Fornecedores Extras'!$A$5:$C$385,2,FALSE)</f>
        <v>11.59</v>
      </c>
      <c r="F65" s="146">
        <f>D65*E65</f>
        <v>11.59</v>
      </c>
      <c r="N65" s="8" t="s">
        <v>919</v>
      </c>
      <c r="O65" s="8" t="str">
        <f>VLOOKUP(N65,'Base_Fornecedores Extras'!$A$5:$C$385,3,FALSE)</f>
        <v>CASFERIM</v>
      </c>
      <c r="P65" s="8">
        <v>1</v>
      </c>
      <c r="Q65" s="128">
        <f>VLOOKUP(N65,'Base_Fornecedores Extras'!$A$5:$C$385,2,FALSE)</f>
        <v>7.6580000000000004</v>
      </c>
      <c r="R65" s="146">
        <f t="shared" si="8"/>
        <v>7.6580000000000004</v>
      </c>
    </row>
    <row r="66" spans="2:18">
      <c r="B66" s="8" t="s">
        <v>807</v>
      </c>
      <c r="C66" s="8" t="str">
        <f>VLOOKUP(B66,'Base_Fornecedores Extras'!$A$5:$C$385,3,FALSE)</f>
        <v>LAGE &amp; SA</v>
      </c>
      <c r="D66" s="8">
        <v>1</v>
      </c>
      <c r="E66" s="128">
        <f>VLOOKUP(B66,'Base_Fornecedores Extras'!$A$5:$C$385,2,FALSE)</f>
        <v>4.96</v>
      </c>
      <c r="F66" s="146">
        <f t="shared" ref="F66:F73" si="9">D66*E66</f>
        <v>4.96</v>
      </c>
      <c r="N66" s="8" t="s">
        <v>1226</v>
      </c>
      <c r="O66" s="8"/>
      <c r="P66" s="8"/>
      <c r="Q66" s="8"/>
      <c r="R66" s="146">
        <f>SUM(R61:R65)</f>
        <v>86.974000000000004</v>
      </c>
    </row>
    <row r="67" spans="2:18">
      <c r="B67" s="8" t="s">
        <v>808</v>
      </c>
      <c r="C67" s="8" t="str">
        <f>VLOOKUP(B67,'Base_Fornecedores Extras'!$A$5:$C$385,3,FALSE)</f>
        <v>LAGE &amp; SA</v>
      </c>
      <c r="D67" s="8">
        <v>1</v>
      </c>
      <c r="E67" s="128">
        <f>VLOOKUP(B67,'Base_Fornecedores Extras'!$A$5:$C$385,2,FALSE)</f>
        <v>4.96</v>
      </c>
      <c r="F67" s="146">
        <f t="shared" si="9"/>
        <v>4.96</v>
      </c>
      <c r="H67" s="494" t="s">
        <v>1562</v>
      </c>
      <c r="I67" s="494"/>
      <c r="J67" s="494"/>
      <c r="K67" s="494"/>
      <c r="L67" s="494"/>
      <c r="N67" s="8" t="s">
        <v>1227</v>
      </c>
      <c r="O67" s="8"/>
      <c r="P67" s="8"/>
      <c r="Q67" s="8"/>
      <c r="R67" s="146">
        <v>9.58</v>
      </c>
    </row>
    <row r="68" spans="2:18">
      <c r="B68" s="8" t="s">
        <v>843</v>
      </c>
      <c r="C68" s="8" t="str">
        <f>VLOOKUP(B68,'Base_Fornecedores Extras'!$A$5:$C$385,3,FALSE)</f>
        <v>LAGE &amp; SA</v>
      </c>
      <c r="D68" s="8">
        <v>1</v>
      </c>
      <c r="E68" s="128">
        <f>VLOOKUP(B68,'Base_Fornecedores Extras'!$A$5:$C$385,2,FALSE)</f>
        <v>0.94399999999999995</v>
      </c>
      <c r="F68" s="146">
        <f t="shared" si="9"/>
        <v>0.94399999999999995</v>
      </c>
      <c r="N68" s="154" t="s">
        <v>1234</v>
      </c>
      <c r="O68" s="154"/>
      <c r="P68" s="154"/>
      <c r="Q68" s="154"/>
      <c r="R68" s="153">
        <f>R66+R67</f>
        <v>96.554000000000002</v>
      </c>
    </row>
    <row r="69" spans="2:18">
      <c r="B69" s="8" t="s">
        <v>844</v>
      </c>
      <c r="C69" s="8" t="str">
        <f>VLOOKUP(B69,'Base_Fornecedores Extras'!$A$5:$C$385,3,FALSE)</f>
        <v>LAGE &amp; SA</v>
      </c>
      <c r="D69" s="8">
        <v>1</v>
      </c>
      <c r="E69" s="128">
        <f>VLOOKUP(B69,'Base_Fornecedores Extras'!$A$5:$C$385,2,FALSE)</f>
        <v>0.94399999999999995</v>
      </c>
      <c r="F69" s="146">
        <f t="shared" si="9"/>
        <v>0.94399999999999995</v>
      </c>
      <c r="H69" s="124" t="s">
        <v>1233</v>
      </c>
      <c r="I69" s="124" t="s">
        <v>916</v>
      </c>
      <c r="J69" s="124" t="s">
        <v>921</v>
      </c>
      <c r="K69" s="124" t="s">
        <v>1225</v>
      </c>
      <c r="L69" s="354" t="s">
        <v>922</v>
      </c>
    </row>
    <row r="70" spans="2:18">
      <c r="B70" s="8" t="s">
        <v>887</v>
      </c>
      <c r="C70" s="8" t="str">
        <f>VLOOKUP(B70,'Base_Fornecedores Extras'!$A$5:$C$385,3,FALSE)</f>
        <v>LAGE &amp; SA</v>
      </c>
      <c r="D70" s="8">
        <v>1</v>
      </c>
      <c r="E70" s="128">
        <f>VLOOKUP(B70,'Base_Fornecedores Extras'!$A$5:$C$385,2,FALSE)</f>
        <v>2.3090000000000002</v>
      </c>
      <c r="F70" s="146">
        <f t="shared" si="9"/>
        <v>2.3090000000000002</v>
      </c>
      <c r="H70" s="8" t="s">
        <v>784</v>
      </c>
      <c r="I70" s="8" t="str">
        <f>VLOOKUP(H70,'Base_Fornecedores Extras'!$A$5:$C$385,3,FALSE)</f>
        <v>CASFERIM</v>
      </c>
      <c r="J70" s="8">
        <v>1</v>
      </c>
      <c r="K70" s="128">
        <f>VLOOKUP(H70,'Base_Fornecedores Extras'!$A$5:$C$385,2,FALSE)</f>
        <v>15.301</v>
      </c>
      <c r="L70" s="146">
        <f>K70*J70</f>
        <v>15.301</v>
      </c>
    </row>
    <row r="71" spans="2:18">
      <c r="B71" s="8" t="s">
        <v>888</v>
      </c>
      <c r="C71" s="8" t="str">
        <f>VLOOKUP(B71,'Base_Fornecedores Extras'!$A$5:$C$385,3,FALSE)</f>
        <v>LAGE &amp; SA</v>
      </c>
      <c r="D71" s="8">
        <v>1</v>
      </c>
      <c r="E71" s="128">
        <f>VLOOKUP(B71,'Base_Fornecedores Extras'!$A$5:$C$385,2,FALSE)</f>
        <v>2.3090000000000002</v>
      </c>
      <c r="F71" s="146">
        <f t="shared" si="9"/>
        <v>2.3090000000000002</v>
      </c>
      <c r="H71" s="8" t="s">
        <v>786</v>
      </c>
      <c r="I71" s="8" t="str">
        <f>VLOOKUP(H71,'Base_Fornecedores Extras'!$A$5:$C$385,3,FALSE)</f>
        <v>CASFERIM</v>
      </c>
      <c r="J71" s="8">
        <v>1</v>
      </c>
      <c r="K71" s="128">
        <f>VLOOKUP(H71,'Base_Fornecedores Extras'!$A$5:$C$385,2,FALSE)</f>
        <v>14.438000000000001</v>
      </c>
      <c r="L71" s="146">
        <f t="shared" ref="L71:L76" si="10">K71*J71</f>
        <v>14.438000000000001</v>
      </c>
    </row>
    <row r="72" spans="2:18">
      <c r="B72" s="8" t="s">
        <v>804</v>
      </c>
      <c r="C72" s="8" t="str">
        <f>VLOOKUP(B72,'Base_Fornecedores Extras'!$A$5:$C$385,3,FALSE)</f>
        <v>LAGE &amp; SA</v>
      </c>
      <c r="D72" s="8">
        <v>2</v>
      </c>
      <c r="E72" s="128">
        <f>VLOOKUP(B72,'Base_Fornecedores Extras'!$A$5:$C$385,2,FALSE)</f>
        <v>0.39</v>
      </c>
      <c r="F72" s="146">
        <f t="shared" si="9"/>
        <v>0.78</v>
      </c>
      <c r="H72" s="8" t="s">
        <v>788</v>
      </c>
      <c r="I72" s="8" t="str">
        <f>VLOOKUP(H72,'Base_Fornecedores Extras'!$A$5:$C$385,3,FALSE)</f>
        <v>CASFERIM</v>
      </c>
      <c r="J72" s="8">
        <v>1</v>
      </c>
      <c r="K72" s="128">
        <f>VLOOKUP(H72,'Base_Fornecedores Extras'!$A$5:$C$385,2,FALSE)</f>
        <v>0.82499999999999996</v>
      </c>
      <c r="L72" s="146">
        <f t="shared" si="10"/>
        <v>0.82499999999999996</v>
      </c>
    </row>
    <row r="73" spans="2:18">
      <c r="B73" s="8" t="s">
        <v>805</v>
      </c>
      <c r="C73" s="8" t="str">
        <f>VLOOKUP(B73,'Base_Fornecedores Extras'!$A$5:$C$385,3,FALSE)</f>
        <v>LAGE &amp; SA</v>
      </c>
      <c r="D73" s="8">
        <v>2</v>
      </c>
      <c r="E73" s="128">
        <f>VLOOKUP(B73,'Base_Fornecedores Extras'!$A$5:$C$385,2,FALSE)</f>
        <v>7.9000000000000001E-2</v>
      </c>
      <c r="F73" s="146">
        <f t="shared" si="9"/>
        <v>0.158</v>
      </c>
      <c r="H73" s="8" t="s">
        <v>858</v>
      </c>
      <c r="I73" s="8" t="str">
        <f>VLOOKUP(H73,'Base_Fornecedores Extras'!$A$5:$C$385,3,FALSE)</f>
        <v>LAGE &amp; SA</v>
      </c>
      <c r="J73" s="8">
        <v>1</v>
      </c>
      <c r="K73" s="128">
        <f>VLOOKUP(H73,'Base_Fornecedores Extras'!$A$5:$C$385,2,FALSE)</f>
        <v>4.5620000000000003</v>
      </c>
      <c r="L73" s="146">
        <f t="shared" si="10"/>
        <v>4.5620000000000003</v>
      </c>
    </row>
    <row r="74" spans="2:18">
      <c r="B74" s="8" t="s">
        <v>1226</v>
      </c>
      <c r="C74" s="8"/>
      <c r="D74" s="8"/>
      <c r="E74" s="8"/>
      <c r="F74" s="146">
        <f>SUM(F65:F73)</f>
        <v>28.954000000000004</v>
      </c>
      <c r="H74" s="8" t="s">
        <v>826</v>
      </c>
      <c r="I74" s="8" t="str">
        <f>VLOOKUP(H74,'Base_Fornecedores Extras'!$A$5:$C$385,3,FALSE)</f>
        <v>LAGE &amp; SA</v>
      </c>
      <c r="J74" s="8">
        <v>1</v>
      </c>
      <c r="K74" s="128">
        <f>VLOOKUP(H74,'Base_Fornecedores Extras'!$A$5:$C$385,2,FALSE)</f>
        <v>13.22</v>
      </c>
      <c r="L74" s="146">
        <f t="shared" si="10"/>
        <v>13.22</v>
      </c>
    </row>
    <row r="75" spans="2:18">
      <c r="B75" s="8" t="s">
        <v>1232</v>
      </c>
      <c r="C75" s="8"/>
      <c r="D75" s="8"/>
      <c r="E75" s="8"/>
      <c r="F75" s="146">
        <v>9.58</v>
      </c>
      <c r="H75" s="8" t="s">
        <v>791</v>
      </c>
      <c r="I75" s="8" t="str">
        <f>VLOOKUP(H75,'Base_Fornecedores Extras'!$A$5:$C$385,3,FALSE)</f>
        <v>CASFERIM</v>
      </c>
      <c r="J75" s="8">
        <v>1</v>
      </c>
      <c r="K75" s="128">
        <f>VLOOKUP(H75,'Base_Fornecedores Extras'!$A$5:$C$385,2,FALSE)</f>
        <v>8.4390000000000001</v>
      </c>
      <c r="L75" s="146">
        <f t="shared" si="10"/>
        <v>8.4390000000000001</v>
      </c>
    </row>
    <row r="76" spans="2:18">
      <c r="B76" s="154" t="s">
        <v>1228</v>
      </c>
      <c r="C76" s="154"/>
      <c r="D76" s="154"/>
      <c r="E76" s="154"/>
      <c r="F76" s="153">
        <f>F74+F75</f>
        <v>38.534000000000006</v>
      </c>
      <c r="H76" s="8" t="s">
        <v>790</v>
      </c>
      <c r="I76" s="8" t="str">
        <f>VLOOKUP(H76,'Base_Fornecedores Extras'!$A$5:$C$385,3,FALSE)</f>
        <v>CASFERIM</v>
      </c>
      <c r="J76" s="8">
        <v>1</v>
      </c>
      <c r="K76" s="128">
        <f>VLOOKUP(H76,'Base_Fornecedores Extras'!$A$5:$C$385,2,FALSE)</f>
        <v>4.2830000000000004</v>
      </c>
      <c r="L76" s="146">
        <f t="shared" si="10"/>
        <v>4.2830000000000004</v>
      </c>
    </row>
    <row r="77" spans="2:18">
      <c r="H77" s="8" t="s">
        <v>1226</v>
      </c>
      <c r="I77" s="8"/>
      <c r="J77" s="8"/>
      <c r="K77" s="8"/>
      <c r="L77" s="146">
        <f>SUM(L70:L76)</f>
        <v>61.067999999999998</v>
      </c>
    </row>
    <row r="78" spans="2:18">
      <c r="B78" s="493" t="s">
        <v>1562</v>
      </c>
      <c r="C78" s="493"/>
      <c r="D78" s="493"/>
      <c r="E78" s="493"/>
      <c r="F78" s="493"/>
      <c r="H78" s="8" t="s">
        <v>1227</v>
      </c>
      <c r="I78" s="8"/>
      <c r="J78" s="8"/>
      <c r="K78" s="8"/>
      <c r="L78" s="146">
        <v>9.58</v>
      </c>
    </row>
    <row r="79" spans="2:18">
      <c r="H79" s="152" t="s">
        <v>1234</v>
      </c>
      <c r="I79" s="152"/>
      <c r="J79" s="152"/>
      <c r="K79" s="152"/>
      <c r="L79" s="351">
        <f>L77+L78</f>
        <v>70.647999999999996</v>
      </c>
    </row>
    <row r="80" spans="2:18">
      <c r="B80" s="124" t="s">
        <v>1224</v>
      </c>
      <c r="C80" s="124" t="s">
        <v>916</v>
      </c>
      <c r="D80" s="124" t="s">
        <v>921</v>
      </c>
      <c r="E80" s="124" t="s">
        <v>1225</v>
      </c>
      <c r="F80" s="353" t="s">
        <v>922</v>
      </c>
    </row>
    <row r="81" spans="2:6">
      <c r="B81" s="8" t="s">
        <v>712</v>
      </c>
      <c r="C81" s="8" t="str">
        <f>VLOOKUP(B81,'Base_Fornecedores Extras'!$A$5:$C$385,3,FALSE)</f>
        <v>CASFERIM</v>
      </c>
      <c r="D81" s="8">
        <v>1</v>
      </c>
      <c r="E81" s="128">
        <f>VLOOKUP(B81,'Base_Fornecedores Extras'!$A$5:$C$385,2,FALSE)</f>
        <v>11.59</v>
      </c>
      <c r="F81" s="146">
        <f>D81*E81</f>
        <v>11.59</v>
      </c>
    </row>
    <row r="82" spans="2:6">
      <c r="B82" s="8" t="s">
        <v>807</v>
      </c>
      <c r="C82" s="8" t="str">
        <f>VLOOKUP(B82,'Base_Fornecedores Extras'!$A$5:$C$385,3,FALSE)</f>
        <v>LAGE &amp; SA</v>
      </c>
      <c r="D82" s="8">
        <v>1</v>
      </c>
      <c r="E82" s="128">
        <f>VLOOKUP(B82,'Base_Fornecedores Extras'!$A$5:$C$385,2,FALSE)</f>
        <v>4.96</v>
      </c>
      <c r="F82" s="146">
        <f t="shared" ref="F82:F90" si="11">D82*E82</f>
        <v>4.96</v>
      </c>
    </row>
    <row r="83" spans="2:6">
      <c r="B83" s="8" t="s">
        <v>808</v>
      </c>
      <c r="C83" s="8" t="str">
        <f>VLOOKUP(B83,'Base_Fornecedores Extras'!$A$5:$C$385,3,FALSE)</f>
        <v>LAGE &amp; SA</v>
      </c>
      <c r="D83" s="8">
        <v>1</v>
      </c>
      <c r="E83" s="128">
        <f>VLOOKUP(B83,'Base_Fornecedores Extras'!$A$5:$C$385,2,FALSE)</f>
        <v>4.96</v>
      </c>
      <c r="F83" s="146">
        <f t="shared" si="11"/>
        <v>4.96</v>
      </c>
    </row>
    <row r="84" spans="2:6">
      <c r="B84" s="8" t="s">
        <v>843</v>
      </c>
      <c r="C84" s="8" t="str">
        <f>VLOOKUP(B84,'Base_Fornecedores Extras'!$A$5:$C$385,3,FALSE)</f>
        <v>LAGE &amp; SA</v>
      </c>
      <c r="D84" s="8">
        <v>1</v>
      </c>
      <c r="E84" s="128">
        <f>VLOOKUP(B84,'Base_Fornecedores Extras'!$A$5:$C$385,2,FALSE)</f>
        <v>0.94399999999999995</v>
      </c>
      <c r="F84" s="146">
        <f t="shared" si="11"/>
        <v>0.94399999999999995</v>
      </c>
    </row>
    <row r="85" spans="2:6">
      <c r="B85" s="8" t="s">
        <v>844</v>
      </c>
      <c r="C85" s="8" t="str">
        <f>VLOOKUP(B85,'Base_Fornecedores Extras'!$A$5:$C$385,3,FALSE)</f>
        <v>LAGE &amp; SA</v>
      </c>
      <c r="D85" s="8">
        <v>1</v>
      </c>
      <c r="E85" s="128">
        <f>VLOOKUP(B85,'Base_Fornecedores Extras'!$A$5:$C$385,2,FALSE)</f>
        <v>0.94399999999999995</v>
      </c>
      <c r="F85" s="146">
        <f t="shared" si="11"/>
        <v>0.94399999999999995</v>
      </c>
    </row>
    <row r="86" spans="2:6">
      <c r="B86" s="8" t="s">
        <v>887</v>
      </c>
      <c r="C86" s="8" t="str">
        <f>VLOOKUP(B86,'Base_Fornecedores Extras'!$A$5:$C$385,3,FALSE)</f>
        <v>LAGE &amp; SA</v>
      </c>
      <c r="D86" s="8">
        <v>1</v>
      </c>
      <c r="E86" s="128">
        <f>VLOOKUP(B86,'Base_Fornecedores Extras'!$A$5:$C$385,2,FALSE)</f>
        <v>2.3090000000000002</v>
      </c>
      <c r="F86" s="146">
        <f t="shared" si="11"/>
        <v>2.3090000000000002</v>
      </c>
    </row>
    <row r="87" spans="2:6">
      <c r="B87" s="8" t="s">
        <v>888</v>
      </c>
      <c r="C87" s="8" t="str">
        <f>VLOOKUP(B87,'Base_Fornecedores Extras'!$A$5:$C$385,3,FALSE)</f>
        <v>LAGE &amp; SA</v>
      </c>
      <c r="D87" s="8">
        <v>1</v>
      </c>
      <c r="E87" s="128">
        <f>VLOOKUP(B87,'Base_Fornecedores Extras'!$A$5:$C$385,2,FALSE)</f>
        <v>2.3090000000000002</v>
      </c>
      <c r="F87" s="146">
        <f t="shared" si="11"/>
        <v>2.3090000000000002</v>
      </c>
    </row>
    <row r="88" spans="2:6">
      <c r="B88" s="8" t="s">
        <v>725</v>
      </c>
      <c r="C88" s="8" t="str">
        <f>VLOOKUP(B88,'Base_Fornecedores Extras'!$A$5:$C$385,3,FALSE)</f>
        <v>CASFERIM</v>
      </c>
      <c r="D88" s="8">
        <v>1</v>
      </c>
      <c r="E88" s="128">
        <f>VLOOKUP(B88,'Base_Fornecedores Extras'!$A$5:$C$385,2,FALSE)</f>
        <v>10.565</v>
      </c>
      <c r="F88" s="146">
        <f t="shared" si="11"/>
        <v>10.565</v>
      </c>
    </row>
    <row r="89" spans="2:6">
      <c r="B89" s="8" t="s">
        <v>736</v>
      </c>
      <c r="C89" s="8" t="str">
        <f>VLOOKUP(B89,'Base_Fornecedores Extras'!$A$5:$C$385,3,FALSE)</f>
        <v>CASFERIM</v>
      </c>
      <c r="D89" s="8">
        <v>2</v>
      </c>
      <c r="E89" s="128">
        <f>VLOOKUP(B89,'Base_Fornecedores Extras'!$A$5:$C$385,2,FALSE)</f>
        <v>0.66900000000000004</v>
      </c>
      <c r="F89" s="146">
        <f t="shared" si="11"/>
        <v>1.3380000000000001</v>
      </c>
    </row>
    <row r="90" spans="2:6">
      <c r="B90" s="8" t="s">
        <v>779</v>
      </c>
      <c r="C90" s="8" t="str">
        <f>VLOOKUP(B90,'Base_Fornecedores Extras'!$A$5:$C$385,3,FALSE)</f>
        <v>CASFERIM</v>
      </c>
      <c r="D90" s="8">
        <v>1</v>
      </c>
      <c r="E90" s="128">
        <f>VLOOKUP(B90,'Base_Fornecedores Extras'!$A$5:$C$385,2,FALSE)</f>
        <v>5.0999999999999996</v>
      </c>
      <c r="F90" s="146">
        <f t="shared" si="11"/>
        <v>5.0999999999999996</v>
      </c>
    </row>
    <row r="91" spans="2:6">
      <c r="B91" s="8" t="s">
        <v>1226</v>
      </c>
      <c r="C91" s="8"/>
      <c r="D91" s="8"/>
      <c r="E91" s="8"/>
      <c r="F91" s="146">
        <f>SUM(F81:F90)</f>
        <v>45.019000000000005</v>
      </c>
    </row>
    <row r="92" spans="2:6">
      <c r="B92" s="8" t="s">
        <v>1232</v>
      </c>
      <c r="C92" s="8"/>
      <c r="D92" s="8"/>
      <c r="E92" s="8"/>
      <c r="F92" s="146">
        <v>9.58</v>
      </c>
    </row>
    <row r="93" spans="2:6">
      <c r="B93" s="154" t="s">
        <v>1228</v>
      </c>
      <c r="C93" s="154"/>
      <c r="D93" s="154"/>
      <c r="E93" s="154"/>
      <c r="F93" s="153">
        <f>F91+F92</f>
        <v>54.599000000000004</v>
      </c>
    </row>
    <row r="94" spans="2:6">
      <c r="F94" s="123"/>
    </row>
    <row r="95" spans="2:6" ht="15.75" thickBot="1">
      <c r="F95" s="123"/>
    </row>
    <row r="96" spans="2:6" ht="15.75" thickBot="1">
      <c r="B96" s="489" t="s">
        <v>1333</v>
      </c>
      <c r="C96" s="490"/>
      <c r="E96" s="491" t="s">
        <v>1334</v>
      </c>
      <c r="F96" s="492"/>
    </row>
    <row r="97" spans="2:6">
      <c r="B97" s="176" t="s">
        <v>1330</v>
      </c>
      <c r="C97" s="224">
        <v>70</v>
      </c>
      <c r="E97" s="174" t="s">
        <v>1330</v>
      </c>
      <c r="F97" s="262">
        <f>F43</f>
        <v>32.980000000000004</v>
      </c>
    </row>
    <row r="98" spans="2:6">
      <c r="B98" s="177" t="s">
        <v>1331</v>
      </c>
      <c r="C98" s="147">
        <v>90</v>
      </c>
      <c r="E98" s="175" t="s">
        <v>1331</v>
      </c>
      <c r="F98" s="146">
        <f>L36</f>
        <v>40.802</v>
      </c>
    </row>
    <row r="99" spans="2:6">
      <c r="B99" s="177" t="s">
        <v>1332</v>
      </c>
      <c r="C99" s="147">
        <v>110</v>
      </c>
      <c r="E99" s="175" t="s">
        <v>1332</v>
      </c>
      <c r="F99" s="146">
        <f>R32</f>
        <v>48.582999999999998</v>
      </c>
    </row>
    <row r="100" spans="2:6">
      <c r="B100" s="176" t="s">
        <v>1555</v>
      </c>
      <c r="C100" s="147">
        <v>100</v>
      </c>
      <c r="E100" s="175" t="s">
        <v>34</v>
      </c>
      <c r="F100" s="146">
        <f>F59</f>
        <v>49.045000000000002</v>
      </c>
    </row>
    <row r="101" spans="2:6">
      <c r="B101" s="177" t="s">
        <v>1556</v>
      </c>
      <c r="C101" s="147">
        <v>120</v>
      </c>
      <c r="E101" s="175" t="s">
        <v>1342</v>
      </c>
      <c r="F101" s="146">
        <f>L50</f>
        <v>66.085999999999999</v>
      </c>
    </row>
    <row r="102" spans="2:6">
      <c r="B102" s="177" t="s">
        <v>1557</v>
      </c>
      <c r="C102" s="147">
        <v>140</v>
      </c>
      <c r="E102" s="175" t="s">
        <v>1343</v>
      </c>
      <c r="F102" s="146">
        <f>R45</f>
        <v>67.209000000000003</v>
      </c>
    </row>
    <row r="103" spans="2:6">
      <c r="B103" s="177" t="s">
        <v>34</v>
      </c>
      <c r="C103" s="147">
        <v>90</v>
      </c>
      <c r="E103" s="174" t="s">
        <v>1555</v>
      </c>
      <c r="F103" s="146">
        <f>F76</f>
        <v>38.534000000000006</v>
      </c>
    </row>
    <row r="104" spans="2:6">
      <c r="B104" s="177" t="s">
        <v>1342</v>
      </c>
      <c r="C104" s="147">
        <v>110</v>
      </c>
      <c r="E104" s="175" t="s">
        <v>1556</v>
      </c>
      <c r="F104" s="146">
        <f>L64</f>
        <v>45.36399999999999</v>
      </c>
    </row>
    <row r="105" spans="2:6">
      <c r="B105" s="177" t="s">
        <v>1343</v>
      </c>
      <c r="C105" s="147">
        <v>140</v>
      </c>
      <c r="E105" s="175" t="s">
        <v>1557</v>
      </c>
      <c r="F105" s="146">
        <f>R56</f>
        <v>78.555999999999997</v>
      </c>
    </row>
    <row r="106" spans="2:6">
      <c r="B106" s="177" t="s">
        <v>1558</v>
      </c>
      <c r="C106" s="147">
        <v>120</v>
      </c>
      <c r="E106" s="175" t="s">
        <v>1558</v>
      </c>
      <c r="F106" s="146">
        <f>F93</f>
        <v>54.599000000000004</v>
      </c>
    </row>
    <row r="107" spans="2:6">
      <c r="B107" s="177" t="s">
        <v>1559</v>
      </c>
      <c r="C107" s="147">
        <v>140</v>
      </c>
      <c r="E107" s="175" t="s">
        <v>1559</v>
      </c>
      <c r="F107" s="146">
        <f>L79</f>
        <v>70.647999999999996</v>
      </c>
    </row>
    <row r="108" spans="2:6">
      <c r="B108" s="177" t="s">
        <v>1560</v>
      </c>
      <c r="C108" s="147">
        <v>170</v>
      </c>
      <c r="E108" s="175" t="s">
        <v>1560</v>
      </c>
      <c r="F108" s="146">
        <f>R68</f>
        <v>96.554000000000002</v>
      </c>
    </row>
  </sheetData>
  <mergeCells count="17">
    <mergeCell ref="N47:R47"/>
    <mergeCell ref="N58:R58"/>
    <mergeCell ref="N9:R9"/>
    <mergeCell ref="N23:R23"/>
    <mergeCell ref="N35:R35"/>
    <mergeCell ref="B9:F9"/>
    <mergeCell ref="H9:L9"/>
    <mergeCell ref="B31:F31"/>
    <mergeCell ref="B96:C96"/>
    <mergeCell ref="E96:F96"/>
    <mergeCell ref="B46:F46"/>
    <mergeCell ref="H26:L26"/>
    <mergeCell ref="H39:L39"/>
    <mergeCell ref="B62:F62"/>
    <mergeCell ref="B78:F78"/>
    <mergeCell ref="H53:L53"/>
    <mergeCell ref="H67:L6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6BFC7-62C8-4400-AAD2-1D3F116AEFFB}">
  <sheetPr codeName="Folha11">
    <tabColor theme="0"/>
  </sheetPr>
  <dimension ref="A1:AJ53"/>
  <sheetViews>
    <sheetView showGridLines="0" topLeftCell="A42" zoomScale="80" zoomScaleNormal="80" workbookViewId="0">
      <selection activeCell="D48" sqref="D48"/>
    </sheetView>
  </sheetViews>
  <sheetFormatPr defaultRowHeight="15"/>
  <cols>
    <col min="1" max="1" width="24.7109375" customWidth="1"/>
    <col min="2" max="2" width="17.28515625" customWidth="1"/>
    <col min="4" max="4" width="52.7109375" customWidth="1"/>
    <col min="5" max="5" width="28.28515625" customWidth="1"/>
    <col min="6" max="6" width="32" customWidth="1"/>
    <col min="7" max="7" width="40.85546875" customWidth="1"/>
    <col min="8" max="8" width="40.42578125" customWidth="1"/>
    <col min="9" max="9" width="42" customWidth="1"/>
    <col min="10" max="10" width="57" customWidth="1"/>
    <col min="13" max="13" width="46.5703125" customWidth="1"/>
    <col min="14" max="14" width="14" customWidth="1"/>
    <col min="15" max="15" width="16.5703125" customWidth="1"/>
    <col min="16" max="16" width="10.5703125" customWidth="1"/>
    <col min="17" max="17" width="12.7109375" customWidth="1"/>
    <col min="18" max="18" width="34.7109375" customWidth="1"/>
    <col min="22" max="22" width="57.5703125" customWidth="1"/>
    <col min="23" max="23" width="13" customWidth="1"/>
    <col min="24" max="24" width="15.140625" customWidth="1"/>
    <col min="25" max="26" width="14.7109375" customWidth="1"/>
    <col min="27" max="27" width="45" customWidth="1"/>
    <col min="31" max="31" width="49.28515625" customWidth="1"/>
    <col min="32" max="32" width="13.7109375" customWidth="1"/>
    <col min="33" max="33" width="15.28515625" customWidth="1"/>
    <col min="34" max="35" width="12.85546875" customWidth="1"/>
    <col min="36" max="36" width="38.7109375" customWidth="1"/>
  </cols>
  <sheetData>
    <row r="1" spans="1:36">
      <c r="B1" s="2" t="s">
        <v>16</v>
      </c>
    </row>
    <row r="2" spans="1:36">
      <c r="A2" s="4" t="s">
        <v>2</v>
      </c>
      <c r="B2" s="4" t="s">
        <v>3</v>
      </c>
    </row>
    <row r="3" spans="1:36">
      <c r="A3" s="1" t="s">
        <v>4</v>
      </c>
      <c r="B3" s="3">
        <v>7.4291999999999997E-2</v>
      </c>
    </row>
    <row r="4" spans="1:36">
      <c r="A4" s="1" t="s">
        <v>5</v>
      </c>
      <c r="B4" s="3">
        <v>3.3947999999999999E-2</v>
      </c>
    </row>
    <row r="5" spans="1:36">
      <c r="A5" s="1" t="s">
        <v>6</v>
      </c>
      <c r="B5" s="3">
        <v>2.89296E-2</v>
      </c>
    </row>
    <row r="6" spans="1:36">
      <c r="A6" s="1" t="s">
        <v>7</v>
      </c>
      <c r="B6" s="3">
        <v>6.1253999999999899E-2</v>
      </c>
    </row>
    <row r="7" spans="1:36">
      <c r="A7" s="1" t="s">
        <v>8</v>
      </c>
      <c r="B7" s="3">
        <v>0.12516479999999999</v>
      </c>
    </row>
    <row r="8" spans="1:36">
      <c r="D8" s="500" t="s">
        <v>1260</v>
      </c>
      <c r="E8" s="501"/>
      <c r="F8" s="501"/>
      <c r="G8" s="501"/>
      <c r="H8" s="501"/>
      <c r="I8" s="501"/>
      <c r="M8" s="500" t="s">
        <v>1277</v>
      </c>
      <c r="N8" s="501"/>
      <c r="O8" s="501"/>
      <c r="P8" s="501"/>
      <c r="Q8" s="501"/>
      <c r="R8" s="501"/>
      <c r="V8" s="500" t="s">
        <v>1278</v>
      </c>
      <c r="W8" s="500"/>
      <c r="X8" s="500"/>
      <c r="Y8" s="500"/>
      <c r="Z8" s="500"/>
      <c r="AA8" s="500"/>
      <c r="AE8" s="500" t="s">
        <v>1291</v>
      </c>
      <c r="AF8" s="500"/>
      <c r="AG8" s="500"/>
      <c r="AH8" s="500"/>
      <c r="AI8" s="500"/>
      <c r="AJ8" s="500"/>
    </row>
    <row r="10" spans="1:36">
      <c r="D10" s="141" t="s">
        <v>1276</v>
      </c>
      <c r="E10" s="141" t="s">
        <v>916</v>
      </c>
      <c r="F10" s="141" t="s">
        <v>1052</v>
      </c>
      <c r="G10" s="141" t="s">
        <v>1116</v>
      </c>
      <c r="H10" s="141" t="s">
        <v>1299</v>
      </c>
      <c r="I10" s="141" t="s">
        <v>1237</v>
      </c>
      <c r="M10" s="141" t="s">
        <v>1115</v>
      </c>
      <c r="N10" s="141" t="s">
        <v>916</v>
      </c>
      <c r="O10" s="141" t="s">
        <v>1052</v>
      </c>
      <c r="P10" s="141" t="s">
        <v>1116</v>
      </c>
      <c r="Q10" s="141" t="s">
        <v>1299</v>
      </c>
      <c r="R10" s="141" t="s">
        <v>1237</v>
      </c>
      <c r="V10" s="141" t="s">
        <v>1115</v>
      </c>
      <c r="W10" s="141" t="s">
        <v>916</v>
      </c>
      <c r="X10" s="141" t="s">
        <v>1052</v>
      </c>
      <c r="Y10" s="141" t="s">
        <v>1116</v>
      </c>
      <c r="Z10" s="141" t="s">
        <v>1299</v>
      </c>
      <c r="AA10" s="141" t="s">
        <v>1237</v>
      </c>
      <c r="AE10" s="141" t="s">
        <v>1115</v>
      </c>
      <c r="AF10" s="141" t="s">
        <v>916</v>
      </c>
      <c r="AG10" s="141" t="s">
        <v>1052</v>
      </c>
      <c r="AH10" s="141" t="s">
        <v>1116</v>
      </c>
      <c r="AI10" s="141" t="s">
        <v>1299</v>
      </c>
      <c r="AJ10" s="141" t="s">
        <v>1237</v>
      </c>
    </row>
    <row r="11" spans="1:36">
      <c r="D11" s="8" t="s">
        <v>191</v>
      </c>
      <c r="E11" s="8" t="str">
        <f>VLOOKUP(D11,'Base_Fornecedores Extras'!$A$5:$C$385,3,FALSE)</f>
        <v>CASFERIM</v>
      </c>
      <c r="F11" s="128">
        <v>2.0489999999999999</v>
      </c>
      <c r="G11" s="128">
        <f>IF(AND(ISNUMBER(FIND("DOBRAD", D11)), ISERROR(FIND("ESPELHO", D11)), ISERROR(FIND("BASE", D11)), ISERROR(FIND("TAMPA", D11))), 5, 0) * (23/60)</f>
        <v>1.9166666666666667</v>
      </c>
      <c r="H11" s="128">
        <f>F11+G11</f>
        <v>3.9656666666666665</v>
      </c>
      <c r="I11" s="8" t="s">
        <v>1238</v>
      </c>
      <c r="M11" s="8" t="s">
        <v>1275</v>
      </c>
      <c r="N11" s="8" t="str">
        <f>VLOOKUP(M11,'Base_Fornecedores Extras'!$A$5:$C$385,3,FALSE)</f>
        <v>CASFERIM</v>
      </c>
      <c r="O11" s="128">
        <v>2.6280000000000001</v>
      </c>
      <c r="P11" s="128">
        <f>IF(ISNUMBER(FIND("MECANISMO", M11)), 40, IF(ISNUMBER(FIND("PEDAL", M11)), 20, IF(ISNUMBER(FIND("FECHO", M11)), 5, IF(AND(ISNUMBER(FIND("TIP-ON", M11)), ISERROR(FIND("EIXO", M11))), 5, 0)))) * (23/60)</f>
        <v>1.9166666666666667</v>
      </c>
      <c r="Q11" s="128">
        <f>O11+P11</f>
        <v>4.5446666666666671</v>
      </c>
      <c r="R11" s="8" t="s">
        <v>1262</v>
      </c>
      <c r="V11" s="8" t="s">
        <v>700</v>
      </c>
      <c r="W11" s="8" t="str">
        <f>VLOOKUP(V11,'Base_Fornecedores Extras'!$A$5:$C$385,3,FALSE)</f>
        <v>CASFERIM</v>
      </c>
      <c r="X11" s="128">
        <v>42.46</v>
      </c>
      <c r="Y11" s="128">
        <f>IF(ISNUMBER(FIND("FREE SLIDE", V11)), 25, IF(AND(ISNUMBER(FIND("ACUMULADOR", V11)), ISERROR(FIND("CAPA", V11))), 20, 0)) * (23/60)</f>
        <v>7.666666666666667</v>
      </c>
      <c r="Z11" s="128">
        <f>X11+Y11</f>
        <v>50.126666666666665</v>
      </c>
      <c r="AA11" s="8" t="s">
        <v>1279</v>
      </c>
      <c r="AE11" s="8" t="s">
        <v>697</v>
      </c>
      <c r="AF11" s="8" t="str">
        <f>VLOOKUP(AE11,'Base_Fornecedores Extras'!$A$5:$C$385,3,FALSE)</f>
        <v>CASFERIM</v>
      </c>
      <c r="AG11" s="128">
        <f>VLOOKUP(AE11,'Base_Fornecedores Extras'!$A$5:$C$385,2,FALSE)</f>
        <v>9.4700000000000006</v>
      </c>
      <c r="AH11" s="128">
        <f>IF(ISNUMBER(FIND("SISTEMA CORRER", AE11)), 40, IF(OR(ISNUMBER(FIND("CORRED", AE11)), ISNUMBER(FIND("KLEIN", AE11))), 25, 0)) * (23/60)</f>
        <v>9.5833333333333339</v>
      </c>
      <c r="AI11" s="128">
        <f>AG11+AH11</f>
        <v>19.053333333333335</v>
      </c>
      <c r="AJ11" s="8" t="s">
        <v>1292</v>
      </c>
    </row>
    <row r="12" spans="1:36">
      <c r="D12" s="8" t="s">
        <v>966</v>
      </c>
      <c r="E12" s="8" t="str">
        <f>VLOOKUP(D12,'Base_Fornecedores Extras'!$A$5:$C$385,3,FALSE)</f>
        <v>LAGE &amp; SA</v>
      </c>
      <c r="F12" s="128">
        <v>1.1000000000000001</v>
      </c>
      <c r="G12" s="128">
        <f t="shared" ref="G12:G32" si="0">IF(AND(ISNUMBER(FIND("DOBRAD", D12)), ISERROR(FIND("ESPELHO", D12)), ISERROR(FIND("BASE", D12)), ISERROR(FIND("TAMPA", D12))), 5, 0) * (23/60)</f>
        <v>1.9166666666666667</v>
      </c>
      <c r="H12" s="128">
        <f t="shared" ref="H12:H32" si="1">F12+G12</f>
        <v>3.0166666666666666</v>
      </c>
      <c r="I12" s="8" t="s">
        <v>1239</v>
      </c>
      <c r="M12" s="8" t="s">
        <v>880</v>
      </c>
      <c r="N12" s="8" t="str">
        <f>VLOOKUP(M12,'Base_Fornecedores Extras'!$A$5:$C$385,3,FALSE)</f>
        <v>LAGE &amp; SA</v>
      </c>
      <c r="O12" s="128">
        <v>13.113</v>
      </c>
      <c r="P12" s="128">
        <f t="shared" ref="P12:P23" si="2">IF(ISNUMBER(FIND("MECANISMO", M12)), 40, IF(ISNUMBER(FIND("PEDAL", M12)), 20, IF(ISNUMBER(FIND("FECHO", M12)), 5, IF(AND(ISNUMBER(FIND("TIP-ON", M12)), ISERROR(FIND("EIXO", M12))), 5, 0)))) * (23/60)</f>
        <v>1.9166666666666667</v>
      </c>
      <c r="Q12" s="128">
        <f t="shared" ref="Q12:Q23" si="3">O12+P12</f>
        <v>15.029666666666666</v>
      </c>
      <c r="R12" s="8" t="s">
        <v>1263</v>
      </c>
      <c r="V12" s="8" t="s">
        <v>758</v>
      </c>
      <c r="W12" s="8" t="str">
        <f>VLOOKUP(V12,'Base_Fornecedores Extras'!$A$5:$C$385,3,FALSE)</f>
        <v>CASFERIM</v>
      </c>
      <c r="X12" s="128">
        <v>36.287999999999997</v>
      </c>
      <c r="Y12" s="128">
        <f t="shared" ref="Y12:Y22" si="4">IF(ISNUMBER(FIND("FREE SLIDE", V12)), 25, IF(AND(ISNUMBER(FIND("ACUMULADOR", V12)), ISERROR(FIND("CAPA", V12))), 20, 0)) * (23/60)</f>
        <v>7.666666666666667</v>
      </c>
      <c r="Z12" s="128">
        <f t="shared" ref="Z12:Z22" si="5">X12+Y12</f>
        <v>43.954666666666661</v>
      </c>
      <c r="AA12" s="8" t="s">
        <v>1280</v>
      </c>
      <c r="AE12" s="8" t="s">
        <v>698</v>
      </c>
      <c r="AF12" s="8" t="str">
        <f>VLOOKUP(AE12,'Base_Fornecedores Extras'!$A$5:$C$385,3,FALSE)</f>
        <v>CASFERIM</v>
      </c>
      <c r="AG12" s="128">
        <f>VLOOKUP(AE12,'Base_Fornecedores Extras'!$A$5:$C$385,2,FALSE)</f>
        <v>9.4700000000000006</v>
      </c>
      <c r="AH12" s="128">
        <f t="shared" ref="AH12:AH18" si="6">IF(ISNUMBER(FIND("SISTEMA CORRER", AE12)), 40, IF(OR(ISNUMBER(FIND("CORRED", AE12)), ISNUMBER(FIND("KLEIN", AE12))), 25, 0)) * (23/60)</f>
        <v>9.5833333333333339</v>
      </c>
      <c r="AI12" s="128">
        <f t="shared" ref="AI12:AI18" si="7">AG12+AH12</f>
        <v>19.053333333333335</v>
      </c>
      <c r="AJ12" s="8" t="s">
        <v>1292</v>
      </c>
    </row>
    <row r="13" spans="1:36">
      <c r="D13" s="8" t="s">
        <v>1308</v>
      </c>
      <c r="E13" s="8" t="str">
        <f>VLOOKUP(D13,'Base_Fornecedores Extras'!$A$5:$C$385,3,FALSE)</f>
        <v>CASFERIM</v>
      </c>
      <c r="F13" s="128">
        <v>1.01</v>
      </c>
      <c r="G13" s="128">
        <f t="shared" si="0"/>
        <v>1.9166666666666667</v>
      </c>
      <c r="H13" s="128">
        <f t="shared" si="1"/>
        <v>2.9266666666666667</v>
      </c>
      <c r="I13" s="8" t="s">
        <v>1240</v>
      </c>
      <c r="M13" s="8" t="s">
        <v>708</v>
      </c>
      <c r="N13" s="8" t="str">
        <f>VLOOKUP(M13,'Base_Fornecedores Extras'!$A$5:$C$385,3,FALSE)</f>
        <v>CASFERIM</v>
      </c>
      <c r="O13" s="128">
        <v>2.786</v>
      </c>
      <c r="P13" s="128">
        <f t="shared" si="2"/>
        <v>0</v>
      </c>
      <c r="Q13" s="128">
        <f t="shared" si="3"/>
        <v>2.786</v>
      </c>
      <c r="R13" s="8" t="s">
        <v>1264</v>
      </c>
      <c r="V13" s="8" t="s">
        <v>701</v>
      </c>
      <c r="W13" s="8" t="str">
        <f>VLOOKUP(V13,'Base_Fornecedores Extras'!$A$5:$C$385,3,FALSE)</f>
        <v>CASFERIM</v>
      </c>
      <c r="X13" s="128">
        <v>5.59</v>
      </c>
      <c r="Y13" s="128">
        <f t="shared" si="4"/>
        <v>0</v>
      </c>
      <c r="Z13" s="128">
        <f t="shared" si="5"/>
        <v>5.59</v>
      </c>
      <c r="AA13" s="8" t="s">
        <v>1281</v>
      </c>
      <c r="AE13" s="8" t="s">
        <v>720</v>
      </c>
      <c r="AF13" s="8" t="str">
        <f>VLOOKUP(AE13,'Base_Fornecedores Extras'!$A$5:$C$385,3,FALSE)</f>
        <v>CASFERIM</v>
      </c>
      <c r="AG13" s="128">
        <f>VLOOKUP(AE13,'Base_Fornecedores Extras'!$A$5:$C$385,2,FALSE)</f>
        <v>21.347999999999999</v>
      </c>
      <c r="AH13" s="128">
        <f t="shared" si="6"/>
        <v>9.5833333333333339</v>
      </c>
      <c r="AI13" s="128">
        <f t="shared" si="7"/>
        <v>30.931333333333335</v>
      </c>
      <c r="AJ13" s="8" t="s">
        <v>1293</v>
      </c>
    </row>
    <row r="14" spans="1:36">
      <c r="D14" s="8" t="s">
        <v>194</v>
      </c>
      <c r="E14" s="8" t="str">
        <f>VLOOKUP(D14,'Base_Fornecedores Extras'!$A$5:$C$385,3,FALSE)</f>
        <v>CASFERIM</v>
      </c>
      <c r="F14" s="128">
        <v>1.06</v>
      </c>
      <c r="G14" s="128">
        <f t="shared" si="0"/>
        <v>1.9166666666666667</v>
      </c>
      <c r="H14" s="128">
        <f t="shared" si="1"/>
        <v>2.9766666666666666</v>
      </c>
      <c r="I14" s="8" t="s">
        <v>1241</v>
      </c>
      <c r="M14" s="8" t="s">
        <v>206</v>
      </c>
      <c r="N14" s="8" t="str">
        <f>VLOOKUP(M14,'Base_Fornecedores Extras'!$A$5:$C$385,3,FALSE)</f>
        <v>LAGE &amp; SA</v>
      </c>
      <c r="O14" s="128">
        <v>3.3460000000000001</v>
      </c>
      <c r="P14" s="128">
        <f t="shared" si="2"/>
        <v>1.9166666666666667</v>
      </c>
      <c r="Q14" s="128">
        <f t="shared" si="3"/>
        <v>5.262666666666667</v>
      </c>
      <c r="R14" s="8" t="s">
        <v>1265</v>
      </c>
      <c r="V14" s="8" t="s">
        <v>702</v>
      </c>
      <c r="W14" s="8" t="str">
        <f>VLOOKUP(V14,'Base_Fornecedores Extras'!$A$5:$C$385,3,FALSE)</f>
        <v>CASFERIM</v>
      </c>
      <c r="X14" s="128">
        <v>2.2200000000000002</v>
      </c>
      <c r="Y14" s="128">
        <f t="shared" si="4"/>
        <v>0</v>
      </c>
      <c r="Z14" s="128">
        <f t="shared" si="5"/>
        <v>2.2200000000000002</v>
      </c>
      <c r="AA14" s="8" t="s">
        <v>1282</v>
      </c>
      <c r="AE14" s="8" t="s">
        <v>717</v>
      </c>
      <c r="AF14" s="8" t="str">
        <f>VLOOKUP(AE14,'Base_Fornecedores Extras'!$A$5:$C$385,3,FALSE)</f>
        <v>CASFERIM</v>
      </c>
      <c r="AG14" s="128">
        <f>VLOOKUP(AE14,'Base_Fornecedores Extras'!$A$5:$C$385,2,FALSE)</f>
        <v>35.131</v>
      </c>
      <c r="AH14" s="128">
        <f t="shared" si="6"/>
        <v>9.5833333333333339</v>
      </c>
      <c r="AI14" s="128">
        <f t="shared" si="7"/>
        <v>44.714333333333336</v>
      </c>
      <c r="AJ14" s="8" t="s">
        <v>1294</v>
      </c>
    </row>
    <row r="15" spans="1:36">
      <c r="D15" s="8" t="s">
        <v>925</v>
      </c>
      <c r="E15" s="8" t="str">
        <f>VLOOKUP(D15,'Base_Fornecedores Extras'!$A$5:$C$385,3,FALSE)</f>
        <v>CASFERIM</v>
      </c>
      <c r="F15" s="128">
        <v>1.228</v>
      </c>
      <c r="G15" s="128">
        <f t="shared" si="0"/>
        <v>1.9166666666666667</v>
      </c>
      <c r="H15" s="128">
        <f t="shared" si="1"/>
        <v>3.1446666666666667</v>
      </c>
      <c r="I15" s="8" t="s">
        <v>1242</v>
      </c>
      <c r="M15" s="8" t="s">
        <v>208</v>
      </c>
      <c r="N15" s="8" t="str">
        <f>VLOOKUP(M15,'Base_Fornecedores Extras'!$A$5:$C$385,3,FALSE)</f>
        <v>LAGE &amp; SA</v>
      </c>
      <c r="O15" s="128">
        <v>0.32200000000000001</v>
      </c>
      <c r="P15" s="128">
        <f t="shared" si="2"/>
        <v>1.9166666666666667</v>
      </c>
      <c r="Q15" s="128">
        <f t="shared" si="3"/>
        <v>2.2386666666666666</v>
      </c>
      <c r="R15" s="8" t="s">
        <v>1266</v>
      </c>
      <c r="V15" s="8" t="s">
        <v>845</v>
      </c>
      <c r="W15" s="8" t="str">
        <f>VLOOKUP(V15,'Base_Fornecedores Extras'!$A$5:$C$385,3,FALSE)</f>
        <v>LAGE &amp; SA</v>
      </c>
      <c r="X15" s="128">
        <v>51.122999999999998</v>
      </c>
      <c r="Y15" s="128">
        <f t="shared" si="4"/>
        <v>7.666666666666667</v>
      </c>
      <c r="Z15" s="128">
        <f t="shared" si="5"/>
        <v>58.789666666666662</v>
      </c>
      <c r="AA15" s="8" t="s">
        <v>1283</v>
      </c>
      <c r="AE15" s="8" t="s">
        <v>721</v>
      </c>
      <c r="AF15" s="8" t="str">
        <f>VLOOKUP(AE15,'Base_Fornecedores Extras'!$A$5:$C$385,3,FALSE)</f>
        <v>CASFERIM</v>
      </c>
      <c r="AG15" s="128">
        <f>VLOOKUP(AE15,'Base_Fornecedores Extras'!$A$5:$C$385,2,FALSE)</f>
        <v>8.49</v>
      </c>
      <c r="AH15" s="128">
        <f t="shared" si="6"/>
        <v>9.5833333333333339</v>
      </c>
      <c r="AI15" s="128">
        <f t="shared" si="7"/>
        <v>18.073333333333334</v>
      </c>
      <c r="AJ15" s="8" t="s">
        <v>1295</v>
      </c>
    </row>
    <row r="16" spans="1:36">
      <c r="D16" s="8" t="s">
        <v>795</v>
      </c>
      <c r="E16" s="8" t="str">
        <f>VLOOKUP(D16,'Base_Fornecedores Extras'!$A$5:$C$385,3,FALSE)</f>
        <v>LAGE &amp; SA</v>
      </c>
      <c r="F16" s="128">
        <v>3.5459999999999998</v>
      </c>
      <c r="G16" s="128">
        <f t="shared" si="0"/>
        <v>1.9166666666666667</v>
      </c>
      <c r="H16" s="128">
        <f t="shared" si="1"/>
        <v>5.4626666666666663</v>
      </c>
      <c r="I16" s="8" t="s">
        <v>1243</v>
      </c>
      <c r="M16" s="8" t="s">
        <v>210</v>
      </c>
      <c r="N16" s="8" t="str">
        <f>VLOOKUP(M16,'Base_Fornecedores Extras'!$A$5:$C$385,3,FALSE)</f>
        <v>LAGE &amp; SA</v>
      </c>
      <c r="O16" s="128">
        <v>0.32200000000000001</v>
      </c>
      <c r="P16" s="128">
        <f t="shared" si="2"/>
        <v>1.9166666666666667</v>
      </c>
      <c r="Q16" s="128">
        <f t="shared" si="3"/>
        <v>2.2386666666666666</v>
      </c>
      <c r="R16" s="8" t="s">
        <v>1267</v>
      </c>
      <c r="V16" s="8" t="s">
        <v>846</v>
      </c>
      <c r="W16" s="8" t="str">
        <f>VLOOKUP(V16,'Base_Fornecedores Extras'!$A$5:$C$385,3,FALSE)</f>
        <v>LAGE &amp; SA</v>
      </c>
      <c r="X16" s="128">
        <v>34.749000000000002</v>
      </c>
      <c r="Y16" s="128">
        <f t="shared" si="4"/>
        <v>0</v>
      </c>
      <c r="Z16" s="128">
        <f t="shared" si="5"/>
        <v>34.749000000000002</v>
      </c>
      <c r="AA16" s="8" t="s">
        <v>1284</v>
      </c>
      <c r="AE16" s="8" t="s">
        <v>718</v>
      </c>
      <c r="AF16" s="8" t="str">
        <f>VLOOKUP(AE16,'Base_Fornecedores Extras'!$A$5:$C$385,3,FALSE)</f>
        <v>CASFERIM</v>
      </c>
      <c r="AG16" s="128">
        <f>VLOOKUP(AE16,'Base_Fornecedores Extras'!$A$5:$C$385,2,FALSE)</f>
        <v>1.3839999999999999</v>
      </c>
      <c r="AH16" s="128">
        <f t="shared" si="6"/>
        <v>0</v>
      </c>
      <c r="AI16" s="128">
        <f t="shared" si="7"/>
        <v>1.3839999999999999</v>
      </c>
      <c r="AJ16" s="8" t="s">
        <v>1296</v>
      </c>
    </row>
    <row r="17" spans="4:36">
      <c r="D17" s="8" t="s">
        <v>778</v>
      </c>
      <c r="E17" s="8" t="str">
        <f>VLOOKUP(D17,'Base_Fornecedores Extras'!$A$5:$C$385,3,FALSE)</f>
        <v>CASFERIM</v>
      </c>
      <c r="F17" s="128">
        <v>4.18</v>
      </c>
      <c r="G17" s="128">
        <f t="shared" si="0"/>
        <v>1.9166666666666667</v>
      </c>
      <c r="H17" s="128">
        <f t="shared" si="1"/>
        <v>6.0966666666666667</v>
      </c>
      <c r="I17" s="8" t="s">
        <v>1244</v>
      </c>
      <c r="M17" s="8" t="s">
        <v>211</v>
      </c>
      <c r="N17" s="8" t="str">
        <f>VLOOKUP(M17,'Base_Fornecedores Extras'!$A$5:$C$385,3,FALSE)</f>
        <v>LAGE &amp; SA</v>
      </c>
      <c r="O17" s="128">
        <v>0.64400000000000002</v>
      </c>
      <c r="P17" s="128">
        <f t="shared" si="2"/>
        <v>1.9166666666666667</v>
      </c>
      <c r="Q17" s="128">
        <f t="shared" si="3"/>
        <v>2.5606666666666666</v>
      </c>
      <c r="R17" s="8" t="s">
        <v>1268</v>
      </c>
      <c r="V17" s="8" t="s">
        <v>199</v>
      </c>
      <c r="W17" s="8" t="str">
        <f>VLOOKUP(V17,'Base_Fornecedores Extras'!$A$5:$C$385,3,FALSE)</f>
        <v>LAGE &amp; SA</v>
      </c>
      <c r="X17" s="128">
        <v>9.0809999999999995</v>
      </c>
      <c r="Y17" s="128">
        <f t="shared" si="4"/>
        <v>0</v>
      </c>
      <c r="Z17" s="128">
        <f t="shared" si="5"/>
        <v>9.0809999999999995</v>
      </c>
      <c r="AA17" s="8" t="s">
        <v>1285</v>
      </c>
      <c r="AE17" s="8" t="s">
        <v>958</v>
      </c>
      <c r="AF17" s="8" t="str">
        <f>VLOOKUP(AE17,'Base_Fornecedores Extras'!$A$5:$C$385,3,FALSE)</f>
        <v>LAGE &amp; SA</v>
      </c>
      <c r="AG17" s="128">
        <f>VLOOKUP(AE17,'Base_Fornecedores Extras'!$A$5:$C$385,2,FALSE)</f>
        <v>153.72499999999999</v>
      </c>
      <c r="AH17" s="128">
        <f t="shared" si="6"/>
        <v>15.333333333333334</v>
      </c>
      <c r="AI17" s="128">
        <f t="shared" si="7"/>
        <v>169.05833333333334</v>
      </c>
      <c r="AJ17" s="8" t="s">
        <v>1297</v>
      </c>
    </row>
    <row r="18" spans="4:36">
      <c r="D18" s="8" t="s">
        <v>774</v>
      </c>
      <c r="E18" s="8" t="str">
        <f>VLOOKUP(D18,'Base_Fornecedores Extras'!$A$5:$C$385,3,FALSE)</f>
        <v>CASFERIM</v>
      </c>
      <c r="F18" s="128">
        <v>2.738</v>
      </c>
      <c r="G18" s="128">
        <f t="shared" si="0"/>
        <v>1.9166666666666667</v>
      </c>
      <c r="H18" s="128">
        <f t="shared" si="1"/>
        <v>4.6546666666666665</v>
      </c>
      <c r="I18" s="8" t="s">
        <v>1245</v>
      </c>
      <c r="M18" s="8" t="s">
        <v>212</v>
      </c>
      <c r="N18" s="8" t="str">
        <f>VLOOKUP(M18,'Base_Fornecedores Extras'!$A$5:$C$385,3,FALSE)</f>
        <v>LAGE &amp; SA</v>
      </c>
      <c r="O18" s="128">
        <v>0.47199999999999998</v>
      </c>
      <c r="P18" s="128">
        <f t="shared" si="2"/>
        <v>1.9166666666666667</v>
      </c>
      <c r="Q18" s="128">
        <f t="shared" si="3"/>
        <v>2.3886666666666665</v>
      </c>
      <c r="R18" s="8" t="s">
        <v>1269</v>
      </c>
      <c r="V18" s="8" t="s">
        <v>200</v>
      </c>
      <c r="W18" s="8" t="str">
        <f>VLOOKUP(V18,'Base_Fornecedores Extras'!$A$5:$C$385,3,FALSE)</f>
        <v>LAGE &amp; SA</v>
      </c>
      <c r="X18" s="128">
        <v>3.79</v>
      </c>
      <c r="Y18" s="128">
        <f t="shared" si="4"/>
        <v>0</v>
      </c>
      <c r="Z18" s="128">
        <f t="shared" si="5"/>
        <v>3.79</v>
      </c>
      <c r="AA18" s="8" t="s">
        <v>1286</v>
      </c>
      <c r="AE18" s="8" t="s">
        <v>957</v>
      </c>
      <c r="AF18" s="8" t="str">
        <f>VLOOKUP(AE18,'Base_Fornecedores Extras'!$A$5:$C$385,3,FALSE)</f>
        <v>LAGE &amp; SA</v>
      </c>
      <c r="AG18" s="128">
        <f>VLOOKUP(AE18,'Base_Fornecedores Extras'!$A$5:$C$385,2,FALSE)</f>
        <v>38.716999999999999</v>
      </c>
      <c r="AH18" s="128">
        <f t="shared" si="6"/>
        <v>9.5833333333333339</v>
      </c>
      <c r="AI18" s="128">
        <f t="shared" si="7"/>
        <v>48.300333333333334</v>
      </c>
      <c r="AJ18" s="8" t="s">
        <v>1298</v>
      </c>
    </row>
    <row r="19" spans="4:36">
      <c r="D19" s="8" t="s">
        <v>775</v>
      </c>
      <c r="E19" s="8" t="str">
        <f>VLOOKUP(D19,'Base_Fornecedores Extras'!$A$5:$C$385,3,FALSE)</f>
        <v>CASFERIM</v>
      </c>
      <c r="F19" s="128">
        <v>2.2370000000000001</v>
      </c>
      <c r="G19" s="128">
        <f t="shared" si="0"/>
        <v>0</v>
      </c>
      <c r="H19" s="128">
        <f t="shared" si="1"/>
        <v>2.2370000000000001</v>
      </c>
      <c r="I19" s="8" t="s">
        <v>1246</v>
      </c>
      <c r="M19" s="8" t="s">
        <v>215</v>
      </c>
      <c r="N19" s="8" t="str">
        <f>VLOOKUP(M19,'Base_Fornecedores Extras'!$A$5:$C$385,3,FALSE)</f>
        <v>LAGE &amp; SA</v>
      </c>
      <c r="O19" s="128">
        <v>1.087</v>
      </c>
      <c r="P19" s="128">
        <f t="shared" si="2"/>
        <v>1.9166666666666667</v>
      </c>
      <c r="Q19" s="128">
        <f t="shared" si="3"/>
        <v>3.0036666666666667</v>
      </c>
      <c r="R19" s="8" t="s">
        <v>1270</v>
      </c>
      <c r="V19" s="8" t="s">
        <v>201</v>
      </c>
      <c r="W19" s="8" t="str">
        <f>VLOOKUP(V19,'Base_Fornecedores Extras'!$A$5:$C$385,3,FALSE)</f>
        <v>LAGE &amp; SA</v>
      </c>
      <c r="X19" s="128">
        <v>3.79</v>
      </c>
      <c r="Y19" s="128">
        <f t="shared" si="4"/>
        <v>0</v>
      </c>
      <c r="Z19" s="128">
        <f t="shared" si="5"/>
        <v>3.79</v>
      </c>
      <c r="AA19" s="8" t="s">
        <v>1287</v>
      </c>
    </row>
    <row r="20" spans="4:36">
      <c r="D20" s="8" t="s">
        <v>196</v>
      </c>
      <c r="E20" s="8" t="str">
        <f>VLOOKUP(D20,'Base_Fornecedores Extras'!$A$5:$C$385,3,FALSE)</f>
        <v>LAGE &amp; SA</v>
      </c>
      <c r="F20" s="128">
        <v>2.5379999999999998</v>
      </c>
      <c r="G20" s="128">
        <f t="shared" si="0"/>
        <v>1.9166666666666667</v>
      </c>
      <c r="H20" s="128">
        <f t="shared" si="1"/>
        <v>4.4546666666666663</v>
      </c>
      <c r="I20" s="8" t="s">
        <v>1247</v>
      </c>
      <c r="M20" s="8" t="s">
        <v>195</v>
      </c>
      <c r="N20" s="8" t="str">
        <f>VLOOKUP(M20,'Base_Fornecedores Extras'!$A$5:$C$385,3,FALSE)</f>
        <v>LAGE &amp; SA</v>
      </c>
      <c r="O20" s="128">
        <v>2.653</v>
      </c>
      <c r="P20" s="128">
        <f t="shared" si="2"/>
        <v>0</v>
      </c>
      <c r="Q20" s="128">
        <f t="shared" si="3"/>
        <v>2.653</v>
      </c>
      <c r="R20" s="8" t="s">
        <v>1271</v>
      </c>
      <c r="V20" s="8" t="s">
        <v>203</v>
      </c>
      <c r="W20" s="8" t="str">
        <f>VLOOKUP(V20,'Base_Fornecedores Extras'!$A$5:$C$385,3,FALSE)</f>
        <v>LAGE &amp; SA</v>
      </c>
      <c r="X20" s="128">
        <v>1.58</v>
      </c>
      <c r="Y20" s="128">
        <f t="shared" si="4"/>
        <v>0</v>
      </c>
      <c r="Z20" s="128">
        <f t="shared" si="5"/>
        <v>1.58</v>
      </c>
      <c r="AA20" s="8" t="s">
        <v>1288</v>
      </c>
    </row>
    <row r="21" spans="4:36">
      <c r="D21" s="8" t="s">
        <v>197</v>
      </c>
      <c r="E21" s="8" t="str">
        <f>VLOOKUP(D21,'Base_Fornecedores Extras'!$A$5:$C$385,3,FALSE)</f>
        <v>LAGE &amp; SA</v>
      </c>
      <c r="F21" s="128">
        <v>2.145</v>
      </c>
      <c r="G21" s="128">
        <f t="shared" si="0"/>
        <v>1.9166666666666667</v>
      </c>
      <c r="H21" s="128">
        <f t="shared" si="1"/>
        <v>4.0616666666666665</v>
      </c>
      <c r="I21" s="8" t="s">
        <v>1248</v>
      </c>
      <c r="M21" s="8" t="s">
        <v>209</v>
      </c>
      <c r="N21" s="8" t="str">
        <f>VLOOKUP(M21,'Base_Fornecedores Extras'!$A$5:$C$385,3,FALSE)</f>
        <v>LAGE &amp; SA</v>
      </c>
      <c r="O21" s="128">
        <v>1.2869999999999999</v>
      </c>
      <c r="P21" s="128">
        <f t="shared" si="2"/>
        <v>0</v>
      </c>
      <c r="Q21" s="128">
        <f t="shared" si="3"/>
        <v>1.2869999999999999</v>
      </c>
      <c r="R21" s="8" t="s">
        <v>1272</v>
      </c>
      <c r="V21" s="8" t="s">
        <v>204</v>
      </c>
      <c r="W21" s="8" t="str">
        <f>VLOOKUP(V21,'Base_Fornecedores Extras'!$A$5:$C$385,3,FALSE)</f>
        <v>LAGE &amp; SA</v>
      </c>
      <c r="X21" s="128">
        <v>1.58</v>
      </c>
      <c r="Y21" s="128">
        <f t="shared" si="4"/>
        <v>0</v>
      </c>
      <c r="Z21" s="128">
        <f t="shared" si="5"/>
        <v>1.58</v>
      </c>
      <c r="AA21" s="8" t="s">
        <v>1289</v>
      </c>
    </row>
    <row r="22" spans="4:36">
      <c r="D22" s="8" t="s">
        <v>198</v>
      </c>
      <c r="E22" s="8" t="str">
        <f>VLOOKUP(D22,'Base_Fornecedores Extras'!$A$5:$C$385,3,FALSE)</f>
        <v>LAGE &amp; SA</v>
      </c>
      <c r="F22" s="128">
        <v>2.4670000000000001</v>
      </c>
      <c r="G22" s="128">
        <f t="shared" si="0"/>
        <v>1.9166666666666667</v>
      </c>
      <c r="H22" s="128">
        <f t="shared" si="1"/>
        <v>4.3836666666666666</v>
      </c>
      <c r="I22" s="8" t="s">
        <v>1249</v>
      </c>
      <c r="M22" s="8" t="s">
        <v>920</v>
      </c>
      <c r="N22" s="8" t="str">
        <f>VLOOKUP(M22,'Base_Fornecedores Extras'!$A$5:$C$385,3,FALSE)</f>
        <v>FIWARE</v>
      </c>
      <c r="O22" s="128">
        <v>163.9</v>
      </c>
      <c r="P22" s="128">
        <f t="shared" si="2"/>
        <v>15.333333333333334</v>
      </c>
      <c r="Q22" s="128">
        <f t="shared" si="3"/>
        <v>179.23333333333335</v>
      </c>
      <c r="R22" s="8" t="s">
        <v>1273</v>
      </c>
      <c r="V22" s="8" t="s">
        <v>202</v>
      </c>
      <c r="W22" s="8" t="str">
        <f>VLOOKUP(V22,'Base_Fornecedores Extras'!$A$5:$C$385,3,FALSE)</f>
        <v>LAGE &amp; SA</v>
      </c>
      <c r="X22" s="128">
        <v>1.0649999999999999</v>
      </c>
      <c r="Y22" s="128">
        <f t="shared" si="4"/>
        <v>0</v>
      </c>
      <c r="Z22" s="128">
        <f t="shared" si="5"/>
        <v>1.0649999999999999</v>
      </c>
      <c r="AA22" s="8" t="s">
        <v>1290</v>
      </c>
    </row>
    <row r="23" spans="4:36">
      <c r="D23" s="8" t="s">
        <v>205</v>
      </c>
      <c r="E23" s="8" t="str">
        <f>VLOOKUP(D23,'Base_Fornecedores Extras'!$A$5:$C$385,3,FALSE)</f>
        <v>LAGE &amp; SA</v>
      </c>
      <c r="F23" s="128">
        <v>1.8520000000000001</v>
      </c>
      <c r="G23" s="128">
        <f t="shared" si="0"/>
        <v>1.9166666666666667</v>
      </c>
      <c r="H23" s="128">
        <f t="shared" si="1"/>
        <v>3.7686666666666668</v>
      </c>
      <c r="I23" s="8" t="s">
        <v>1250</v>
      </c>
      <c r="M23" s="8" t="s">
        <v>892</v>
      </c>
      <c r="N23" s="8" t="str">
        <f>VLOOKUP(M23,'Base_Fornecedores Extras'!$A$5:$C$385,3,FALSE)</f>
        <v>FIWARE</v>
      </c>
      <c r="O23" s="128">
        <v>30.8</v>
      </c>
      <c r="P23" s="128">
        <f t="shared" si="2"/>
        <v>7.666666666666667</v>
      </c>
      <c r="Q23" s="128">
        <f t="shared" si="3"/>
        <v>38.466666666666669</v>
      </c>
      <c r="R23" s="8" t="s">
        <v>1274</v>
      </c>
      <c r="V23" s="8" t="s">
        <v>214</v>
      </c>
      <c r="W23" s="8" t="str">
        <f>VLOOKUP(V23,'Base_Fornecedores Extras'!$A$5:$C$385,3,FALSE)</f>
        <v>LAGE &amp; SA</v>
      </c>
      <c r="X23" s="128">
        <v>78.650000000000006</v>
      </c>
      <c r="Y23" s="128">
        <f>IF(ISNUMBER(FIND("FREE SLIDE", V23)), 25, IF(AND(ISNUMBER(FIND("ACUMULADOR", V23)), ISERROR(FIND("CAPA", V23))), 20, 0)) * (23/60)</f>
        <v>9.5833333333333339</v>
      </c>
      <c r="Z23" s="128">
        <f>X23+Y23</f>
        <v>88.233333333333334</v>
      </c>
      <c r="AA23" s="8" t="s">
        <v>1362</v>
      </c>
    </row>
    <row r="24" spans="4:36">
      <c r="D24" s="8" t="s">
        <v>207</v>
      </c>
      <c r="E24" s="8" t="str">
        <f>VLOOKUP(D24,'Base_Fornecedores Extras'!$A$5:$C$385,3,FALSE)</f>
        <v>LAGE &amp; SA</v>
      </c>
      <c r="F24" s="128">
        <v>6.8280000000000003</v>
      </c>
      <c r="G24" s="128">
        <f t="shared" si="0"/>
        <v>1.9166666666666667</v>
      </c>
      <c r="H24" s="128">
        <f t="shared" si="1"/>
        <v>8.7446666666666673</v>
      </c>
      <c r="I24" s="8" t="s">
        <v>1251</v>
      </c>
      <c r="M24" s="8" t="s">
        <v>1367</v>
      </c>
      <c r="N24" s="8" t="s">
        <v>796</v>
      </c>
      <c r="O24" s="128">
        <v>13.59</v>
      </c>
      <c r="P24" s="128">
        <v>1.92</v>
      </c>
      <c r="Q24" s="128">
        <v>15.51</v>
      </c>
      <c r="R24" s="8" t="s">
        <v>1372</v>
      </c>
      <c r="V24" s="8" t="s">
        <v>1364</v>
      </c>
      <c r="W24" s="8" t="s">
        <v>796</v>
      </c>
      <c r="X24" s="128">
        <v>7.74</v>
      </c>
      <c r="Y24" s="128">
        <v>7.67</v>
      </c>
      <c r="Z24" s="128">
        <v>15.41</v>
      </c>
      <c r="AA24" s="8" t="s">
        <v>1369</v>
      </c>
    </row>
    <row r="25" spans="4:36">
      <c r="D25" s="8" t="s">
        <v>190</v>
      </c>
      <c r="E25" s="8" t="str">
        <f>VLOOKUP(D25,'Base_Fornecedores Extras'!$A$5:$C$385,3,FALSE)</f>
        <v>CASFERIM</v>
      </c>
      <c r="F25" s="128">
        <v>0.36099999999999999</v>
      </c>
      <c r="G25" s="128">
        <f t="shared" si="0"/>
        <v>0</v>
      </c>
      <c r="H25" s="128">
        <f t="shared" si="1"/>
        <v>0.36099999999999999</v>
      </c>
      <c r="I25" s="8" t="s">
        <v>1252</v>
      </c>
      <c r="M25" s="8" t="s">
        <v>1368</v>
      </c>
      <c r="N25" s="8" t="s">
        <v>796</v>
      </c>
      <c r="O25" s="128">
        <v>3.08</v>
      </c>
      <c r="P25" s="128">
        <v>0</v>
      </c>
      <c r="Q25" s="128">
        <v>3.08</v>
      </c>
      <c r="R25" s="8" t="s">
        <v>1373</v>
      </c>
      <c r="V25" s="8" t="s">
        <v>1365</v>
      </c>
      <c r="W25" s="8" t="s">
        <v>796</v>
      </c>
      <c r="X25" s="128">
        <v>0.35</v>
      </c>
      <c r="Y25" s="128">
        <v>0</v>
      </c>
      <c r="Z25" s="128">
        <v>0.35</v>
      </c>
      <c r="AA25" s="8" t="s">
        <v>1370</v>
      </c>
    </row>
    <row r="26" spans="4:36">
      <c r="D26" s="8" t="s">
        <v>192</v>
      </c>
      <c r="E26" s="8" t="str">
        <f>VLOOKUP(D26,'Base_Fornecedores Extras'!$A$5:$C$385,3,FALSE)</f>
        <v>CASFERIM</v>
      </c>
      <c r="F26" s="128">
        <v>0.52200000000000002</v>
      </c>
      <c r="G26" s="128">
        <f t="shared" si="0"/>
        <v>0</v>
      </c>
      <c r="H26" s="128">
        <f t="shared" si="1"/>
        <v>0.52200000000000002</v>
      </c>
      <c r="I26" s="8" t="s">
        <v>1253</v>
      </c>
      <c r="V26" s="8" t="s">
        <v>1366</v>
      </c>
      <c r="W26" s="8" t="s">
        <v>796</v>
      </c>
      <c r="X26" s="128">
        <v>0.51</v>
      </c>
      <c r="Y26" s="128">
        <v>0</v>
      </c>
      <c r="Z26" s="128">
        <v>0.51</v>
      </c>
      <c r="AA26" s="8" t="s">
        <v>1371</v>
      </c>
    </row>
    <row r="27" spans="4:36">
      <c r="D27" s="8" t="s">
        <v>193</v>
      </c>
      <c r="E27" s="8" t="str">
        <f>VLOOKUP(D27,'Base_Fornecedores Extras'!$A$5:$C$385,3,FALSE)</f>
        <v>CASFERIM</v>
      </c>
      <c r="F27" s="128">
        <v>0.95399999999999996</v>
      </c>
      <c r="G27" s="128">
        <f t="shared" si="0"/>
        <v>0</v>
      </c>
      <c r="H27" s="128">
        <f t="shared" si="1"/>
        <v>0.95399999999999996</v>
      </c>
      <c r="I27" s="8" t="s">
        <v>1254</v>
      </c>
    </row>
    <row r="28" spans="4:36">
      <c r="D28" s="8" t="s">
        <v>797</v>
      </c>
      <c r="E28" s="8" t="str">
        <f>VLOOKUP(D28,'Base_Fornecedores Extras'!$A$5:$C$385,3,FALSE)</f>
        <v>LAGE &amp; SA</v>
      </c>
      <c r="F28" s="128">
        <v>0.38700000000000001</v>
      </c>
      <c r="G28" s="128">
        <f t="shared" si="0"/>
        <v>0</v>
      </c>
      <c r="H28" s="128">
        <f t="shared" si="1"/>
        <v>0.38700000000000001</v>
      </c>
      <c r="I28" s="8" t="s">
        <v>1255</v>
      </c>
    </row>
    <row r="29" spans="4:36">
      <c r="D29" s="8" t="s">
        <v>936</v>
      </c>
      <c r="E29" s="8" t="str">
        <f>VLOOKUP(D29,'Base_Fornecedores Extras'!$A$5:$C$385,3,FALSE)</f>
        <v>LAGE &amp; SA</v>
      </c>
      <c r="F29" s="128">
        <v>0.55800000000000005</v>
      </c>
      <c r="G29" s="128">
        <f t="shared" si="0"/>
        <v>0</v>
      </c>
      <c r="H29" s="128">
        <f t="shared" si="1"/>
        <v>0.55800000000000005</v>
      </c>
      <c r="I29" s="8" t="s">
        <v>1256</v>
      </c>
    </row>
    <row r="30" spans="4:36">
      <c r="D30" s="8" t="s">
        <v>959</v>
      </c>
      <c r="E30" s="8" t="str">
        <f>VLOOKUP(D30,'Base_Fornecedores Extras'!$A$5:$C$385,3,FALSE)</f>
        <v>LAGE &amp; SA</v>
      </c>
      <c r="F30" s="128">
        <v>3.5390000000000001</v>
      </c>
      <c r="G30" s="128">
        <f t="shared" si="0"/>
        <v>0</v>
      </c>
      <c r="H30" s="128">
        <f t="shared" si="1"/>
        <v>3.5390000000000001</v>
      </c>
      <c r="I30" s="8" t="s">
        <v>1257</v>
      </c>
    </row>
    <row r="31" spans="4:36">
      <c r="D31" s="8" t="s">
        <v>940</v>
      </c>
      <c r="E31" s="8" t="str">
        <f>VLOOKUP(D31,'Base_Fornecedores Extras'!$A$5:$C$385,3,FALSE)</f>
        <v>LAGE &amp; SA</v>
      </c>
      <c r="F31" s="128">
        <v>0.186</v>
      </c>
      <c r="G31" s="128">
        <f t="shared" si="0"/>
        <v>0</v>
      </c>
      <c r="H31" s="128">
        <f t="shared" si="1"/>
        <v>0.186</v>
      </c>
      <c r="I31" s="8" t="s">
        <v>1258</v>
      </c>
    </row>
    <row r="32" spans="4:36">
      <c r="D32" s="8" t="s">
        <v>1261</v>
      </c>
      <c r="E32" s="8" t="str">
        <f>VLOOKUP(D32,'Base_Fornecedores Extras'!$A$5:$C$385,3,FALSE)</f>
        <v>LAGE &amp; SA</v>
      </c>
      <c r="F32" s="128">
        <v>0.129</v>
      </c>
      <c r="G32" s="128">
        <f t="shared" si="0"/>
        <v>0</v>
      </c>
      <c r="H32" s="128">
        <f t="shared" si="1"/>
        <v>0.129</v>
      </c>
      <c r="I32" s="8" t="s">
        <v>1259</v>
      </c>
    </row>
    <row r="36" spans="4:9">
      <c r="D36" s="9"/>
    </row>
    <row r="37" spans="4:9">
      <c r="D37" s="123"/>
      <c r="E37" s="123"/>
    </row>
    <row r="41" spans="4:9">
      <c r="D41" s="151" t="s">
        <v>1306</v>
      </c>
      <c r="E41" s="171" t="s">
        <v>1307</v>
      </c>
      <c r="F41" s="227" t="s">
        <v>1351</v>
      </c>
      <c r="H41" s="151" t="s">
        <v>1306</v>
      </c>
      <c r="I41" s="172" t="s">
        <v>1322</v>
      </c>
    </row>
    <row r="42" spans="4:9" ht="69.75" customHeight="1">
      <c r="D42" s="158" t="s">
        <v>1345</v>
      </c>
      <c r="E42" s="225">
        <f>H13+H25</f>
        <v>3.2876666666666665</v>
      </c>
      <c r="F42" s="226" t="s">
        <v>1352</v>
      </c>
      <c r="H42" s="158" t="str">
        <f>D42</f>
        <v>Dobradiça Standard (com mola)</v>
      </c>
      <c r="I42" s="160">
        <v>6</v>
      </c>
    </row>
    <row r="43" spans="4:9" ht="69.75" customHeight="1">
      <c r="D43" s="156" t="s">
        <v>1346</v>
      </c>
      <c r="E43" s="225">
        <f>H12+H25</f>
        <v>3.3776666666666664</v>
      </c>
      <c r="F43" s="159" t="s">
        <v>1353</v>
      </c>
      <c r="H43" s="158" t="str">
        <f t="shared" ref="H43:H48" si="8">D43</f>
        <v>Dobradiça Amortecida</v>
      </c>
      <c r="I43" s="160">
        <v>7</v>
      </c>
    </row>
    <row r="44" spans="4:9" ht="72" customHeight="1">
      <c r="D44" s="157" t="s">
        <v>1347</v>
      </c>
      <c r="E44" s="225">
        <f>H14+H25</f>
        <v>3.3376666666666663</v>
      </c>
      <c r="F44" s="159" t="s">
        <v>1354</v>
      </c>
      <c r="H44" s="158" t="str">
        <f t="shared" si="8"/>
        <v>Dobradiça Livre (sem mola)</v>
      </c>
      <c r="I44" s="160">
        <v>5</v>
      </c>
    </row>
    <row r="45" spans="4:9" ht="72" customHeight="1">
      <c r="D45" s="496" t="s">
        <v>1377</v>
      </c>
      <c r="E45" s="497"/>
      <c r="F45" s="498"/>
      <c r="H45" s="502" t="s">
        <v>1377</v>
      </c>
      <c r="I45" s="503"/>
    </row>
    <row r="46" spans="4:9" ht="39.75" customHeight="1">
      <c r="D46" s="156" t="s">
        <v>1360</v>
      </c>
      <c r="E46" s="225">
        <f>Q11</f>
        <v>4.5446666666666671</v>
      </c>
      <c r="F46" s="228">
        <v>0</v>
      </c>
      <c r="H46" s="158" t="str">
        <f t="shared" si="8"/>
        <v>Tip-on (Pulsador Preto) / Tic-Tac</v>
      </c>
      <c r="I46" s="160">
        <v>8</v>
      </c>
    </row>
    <row r="47" spans="4:9" ht="113.25" customHeight="1">
      <c r="D47" s="156" t="s">
        <v>1348</v>
      </c>
      <c r="E47" s="225">
        <f>Z12+Z13+Z14</f>
        <v>51.764666666666656</v>
      </c>
      <c r="F47" s="159" t="s">
        <v>1355</v>
      </c>
      <c r="H47" s="158" t="str">
        <f t="shared" si="8"/>
        <v>Aventos HK Top (standard)</v>
      </c>
      <c r="I47" s="160">
        <v>95</v>
      </c>
    </row>
    <row r="48" spans="4:9" ht="255" customHeight="1">
      <c r="D48" s="157" t="s">
        <v>1349</v>
      </c>
      <c r="E48" s="161">
        <f>Z15+Z16+Z17+Z18+Z19+(Z22*2)</f>
        <v>112.32966666666668</v>
      </c>
      <c r="F48" s="159" t="s">
        <v>1356</v>
      </c>
      <c r="G48" t="s">
        <v>1315</v>
      </c>
      <c r="H48" s="158" t="str">
        <f t="shared" si="8"/>
        <v>Aventos HL Top (elevador vertical)</v>
      </c>
      <c r="I48" s="160">
        <v>235</v>
      </c>
    </row>
    <row r="49" spans="4:9" ht="255" customHeight="1">
      <c r="D49" s="157" t="s">
        <v>1362</v>
      </c>
      <c r="E49" s="225">
        <f>Z23</f>
        <v>88.233333333333334</v>
      </c>
      <c r="F49" s="159" t="s">
        <v>1363</v>
      </c>
      <c r="H49" s="158" t="s">
        <v>1362</v>
      </c>
      <c r="I49" s="160">
        <v>155</v>
      </c>
    </row>
    <row r="50" spans="4:9" ht="90">
      <c r="D50" s="158" t="s">
        <v>1374</v>
      </c>
      <c r="E50" s="230">
        <v>16.27</v>
      </c>
      <c r="F50" s="159" t="s">
        <v>1376</v>
      </c>
      <c r="H50" s="158" t="str">
        <f>D50</f>
        <v>Aventos HK-XS</v>
      </c>
      <c r="I50" s="160">
        <v>50</v>
      </c>
    </row>
    <row r="51" spans="4:9">
      <c r="D51" s="157" t="s">
        <v>1357</v>
      </c>
      <c r="E51" s="48">
        <v>0</v>
      </c>
      <c r="F51" s="8">
        <v>0</v>
      </c>
      <c r="H51" s="8" t="s">
        <v>1357</v>
      </c>
      <c r="I51" s="160">
        <v>0</v>
      </c>
    </row>
    <row r="52" spans="4:9">
      <c r="D52" s="496" t="s">
        <v>1350</v>
      </c>
      <c r="E52" s="497"/>
      <c r="F52" s="498"/>
      <c r="H52" s="499" t="s">
        <v>1350</v>
      </c>
      <c r="I52" s="499"/>
    </row>
    <row r="53" spans="4:9" ht="60">
      <c r="D53" s="35" t="s">
        <v>1375</v>
      </c>
      <c r="E53" s="230">
        <v>18.59</v>
      </c>
      <c r="F53" s="226" t="s">
        <v>1378</v>
      </c>
      <c r="H53" s="229" t="str">
        <f>D53</f>
        <v>Sistema Tip-On Blumotion (Gavetas MBX)</v>
      </c>
    </row>
  </sheetData>
  <mergeCells count="8">
    <mergeCell ref="D52:F52"/>
    <mergeCell ref="H52:I52"/>
    <mergeCell ref="M8:R8"/>
    <mergeCell ref="V8:AA8"/>
    <mergeCell ref="AE8:AJ8"/>
    <mergeCell ref="D8:I8"/>
    <mergeCell ref="D45:F45"/>
    <mergeCell ref="H45:I45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3E5EE-0B77-450D-B5F4-099CEFBAA56E}">
  <sheetPr codeName="Folha22">
    <tabColor theme="0"/>
  </sheetPr>
  <dimension ref="B2:H11"/>
  <sheetViews>
    <sheetView showGridLines="0" workbookViewId="0">
      <selection activeCell="B34" sqref="B34"/>
    </sheetView>
  </sheetViews>
  <sheetFormatPr defaultRowHeight="15"/>
  <cols>
    <col min="2" max="2" width="46.5703125" customWidth="1"/>
    <col min="3" max="3" width="11.140625" bestFit="1" customWidth="1"/>
    <col min="4" max="4" width="15.85546875" customWidth="1"/>
    <col min="5" max="5" width="15.42578125" customWidth="1"/>
    <col min="6" max="7" width="13.7109375" customWidth="1"/>
    <col min="8" max="8" width="39.7109375" customWidth="1"/>
  </cols>
  <sheetData>
    <row r="2" spans="2:8">
      <c r="B2" s="6" t="s">
        <v>1134</v>
      </c>
    </row>
    <row r="3" spans="2:8">
      <c r="B3" t="s">
        <v>1135</v>
      </c>
    </row>
    <row r="5" spans="2:8">
      <c r="G5" t="s">
        <v>1130</v>
      </c>
    </row>
    <row r="6" spans="2:8">
      <c r="B6" s="141" t="s">
        <v>1115</v>
      </c>
      <c r="C6" s="141" t="s">
        <v>916</v>
      </c>
      <c r="D6" s="141" t="s">
        <v>1052</v>
      </c>
      <c r="E6" s="141" t="s">
        <v>1116</v>
      </c>
      <c r="F6" s="145" t="s">
        <v>915</v>
      </c>
      <c r="G6" s="133" t="s">
        <v>1111</v>
      </c>
      <c r="H6" s="141" t="s">
        <v>1117</v>
      </c>
    </row>
    <row r="7" spans="2:8">
      <c r="B7" s="8" t="s">
        <v>967</v>
      </c>
      <c r="C7" s="8" t="str">
        <f>VLOOKUP(B7,'Base_Fornecedores Extras'!$A$5:$C$385,3,FALSE)</f>
        <v>LAGE &amp; SA</v>
      </c>
      <c r="D7" s="128">
        <f>VLOOKUP(B7,'Base_Fornecedores Extras'!$A$5:$C$385,2,FALSE)</f>
        <v>43.543999999999997</v>
      </c>
      <c r="E7" s="128">
        <f>IF(ISNUMBER(FIND("GARRAFAS", B7)), 7.67, IF(OR(ISNUMBER(FIND("CALÇAS", B7)), ISNUMBER(FIND("CRUZETAS", B7))), 5.75, 0))</f>
        <v>5.75</v>
      </c>
      <c r="F7" s="146">
        <f>D7+E7</f>
        <v>49.293999999999997</v>
      </c>
      <c r="G7" s="147">
        <f>ROUNDUP((F7)*2.7, 0)</f>
        <v>134</v>
      </c>
      <c r="H7" t="s">
        <v>1136</v>
      </c>
    </row>
    <row r="8" spans="2:8">
      <c r="B8" s="8" t="s">
        <v>938</v>
      </c>
      <c r="C8" s="8" t="str">
        <f>VLOOKUP(B8,'Base_Fornecedores Extras'!$A$5:$C$385,3,FALSE)</f>
        <v>LAGE &amp; SA</v>
      </c>
      <c r="D8" s="128">
        <f>VLOOKUP(B8,'Base_Fornecedores Extras'!$A$5:$C$385,2,FALSE)</f>
        <v>35.75</v>
      </c>
      <c r="E8" s="128">
        <f t="shared" ref="E8:E11" si="0">IF(ISNUMBER(FIND("GARRAFAS", B8)), 7.67, IF(OR(ISNUMBER(FIND("CALÇAS", B8)), ISNUMBER(FIND("CRUZETAS", B8))), 5.75, 0))</f>
        <v>5.75</v>
      </c>
      <c r="F8" s="146">
        <f t="shared" ref="F8:F11" si="1">D8+E8</f>
        <v>41.5</v>
      </c>
      <c r="G8" s="147">
        <f t="shared" ref="G8:G11" si="2">ROUNDUP((F8)*2.7, 0)</f>
        <v>113</v>
      </c>
      <c r="H8" t="s">
        <v>1137</v>
      </c>
    </row>
    <row r="9" spans="2:8">
      <c r="B9" s="8" t="s">
        <v>956</v>
      </c>
      <c r="C9" s="8" t="str">
        <f>VLOOKUP(B9,'Base_Fornecedores Extras'!$A$5:$C$385,3,FALSE)</f>
        <v>LAGE &amp; SA</v>
      </c>
      <c r="D9" s="128">
        <f>VLOOKUP(B9,'Base_Fornecedores Extras'!$A$5:$C$385,2,FALSE)</f>
        <v>26.812999999999999</v>
      </c>
      <c r="E9" s="128">
        <f t="shared" si="0"/>
        <v>5.75</v>
      </c>
      <c r="F9" s="146">
        <f t="shared" si="1"/>
        <v>32.563000000000002</v>
      </c>
      <c r="G9" s="147">
        <f t="shared" si="2"/>
        <v>88</v>
      </c>
      <c r="H9" t="s">
        <v>1131</v>
      </c>
    </row>
    <row r="10" spans="2:8">
      <c r="B10" s="8" t="s">
        <v>1019</v>
      </c>
      <c r="C10" s="8" t="str">
        <f>VLOOKUP(B10,'Base_Fornecedores Extras'!$A$5:$C$385,3,FALSE)</f>
        <v>FIWARE</v>
      </c>
      <c r="D10" s="128">
        <f>VLOOKUP(B10,'Base_Fornecedores Extras'!$A$5:$C$385,2,FALSE)</f>
        <v>33</v>
      </c>
      <c r="E10" s="128">
        <f t="shared" si="0"/>
        <v>5.75</v>
      </c>
      <c r="F10" s="146">
        <f t="shared" si="1"/>
        <v>38.75</v>
      </c>
      <c r="G10" s="147">
        <f t="shared" si="2"/>
        <v>105</v>
      </c>
      <c r="H10" t="s">
        <v>1132</v>
      </c>
    </row>
    <row r="11" spans="2:8">
      <c r="B11" s="8" t="s">
        <v>1018</v>
      </c>
      <c r="C11" s="8" t="str">
        <f>VLOOKUP(B11,'Base_Fornecedores Extras'!$A$5:$C$385,3,FALSE)</f>
        <v>FIWARE</v>
      </c>
      <c r="D11" s="128">
        <f>VLOOKUP(B11,'Base_Fornecedores Extras'!$A$5:$C$385,2,FALSE)</f>
        <v>26.125</v>
      </c>
      <c r="E11" s="128">
        <f t="shared" si="0"/>
        <v>5.75</v>
      </c>
      <c r="F11" s="146">
        <f t="shared" si="1"/>
        <v>31.875</v>
      </c>
      <c r="G11" s="147">
        <f t="shared" si="2"/>
        <v>87</v>
      </c>
      <c r="H11" t="s">
        <v>1133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26E1C-00D6-41CD-B5F4-B491AD6B3C7D}">
  <sheetPr codeName="Folha12">
    <tabColor theme="8" tint="0.79998168889431442"/>
  </sheetPr>
  <dimension ref="A1:C11"/>
  <sheetViews>
    <sheetView workbookViewId="0">
      <selection activeCell="B27" sqref="B27"/>
    </sheetView>
  </sheetViews>
  <sheetFormatPr defaultRowHeight="15"/>
  <cols>
    <col min="1" max="1" width="36.42578125" customWidth="1"/>
    <col min="2" max="2" width="142.42578125" customWidth="1"/>
    <col min="3" max="3" width="101.5703125" customWidth="1"/>
  </cols>
  <sheetData>
    <row r="1" spans="1:3" ht="25.5">
      <c r="A1" s="99" t="s">
        <v>519</v>
      </c>
    </row>
    <row r="3" spans="1:3" ht="26.1" customHeight="1">
      <c r="A3" s="101" t="s">
        <v>407</v>
      </c>
      <c r="B3" s="101" t="s">
        <v>520</v>
      </c>
      <c r="C3" s="101" t="s">
        <v>521</v>
      </c>
    </row>
    <row r="4" spans="1:3" ht="35.1" customHeight="1">
      <c r="A4" s="103" t="s">
        <v>522</v>
      </c>
      <c r="B4" s="102" t="s">
        <v>523</v>
      </c>
      <c r="C4" s="102" t="s">
        <v>524</v>
      </c>
    </row>
    <row r="5" spans="1:3" ht="35.1" customHeight="1">
      <c r="A5" s="105" t="s">
        <v>426</v>
      </c>
      <c r="B5" s="104" t="s">
        <v>525</v>
      </c>
      <c r="C5" s="104" t="s">
        <v>526</v>
      </c>
    </row>
    <row r="6" spans="1:3" ht="35.1" customHeight="1">
      <c r="A6" s="103" t="s">
        <v>431</v>
      </c>
      <c r="B6" s="102" t="s">
        <v>527</v>
      </c>
      <c r="C6" s="102" t="s">
        <v>528</v>
      </c>
    </row>
    <row r="7" spans="1:3" ht="35.1" customHeight="1">
      <c r="A7" s="105" t="s">
        <v>529</v>
      </c>
      <c r="B7" s="104" t="s">
        <v>530</v>
      </c>
      <c r="C7" s="104" t="s">
        <v>531</v>
      </c>
    </row>
    <row r="8" spans="1:3" ht="35.1" customHeight="1">
      <c r="A8" s="103" t="s">
        <v>434</v>
      </c>
      <c r="B8" s="102" t="s">
        <v>532</v>
      </c>
      <c r="C8" s="102" t="s">
        <v>533</v>
      </c>
    </row>
    <row r="9" spans="1:3" ht="35.1" customHeight="1">
      <c r="A9" s="105" t="s">
        <v>482</v>
      </c>
      <c r="B9" s="104" t="s">
        <v>534</v>
      </c>
      <c r="C9" s="104" t="s">
        <v>535</v>
      </c>
    </row>
    <row r="10" spans="1:3" ht="35.1" customHeight="1">
      <c r="A10" s="103" t="s">
        <v>536</v>
      </c>
      <c r="B10" s="102" t="s">
        <v>537</v>
      </c>
      <c r="C10" s="102" t="s">
        <v>538</v>
      </c>
    </row>
    <row r="11" spans="1:3" ht="35.1" customHeight="1">
      <c r="A11" s="105" t="s">
        <v>464</v>
      </c>
      <c r="B11" s="104" t="s">
        <v>539</v>
      </c>
      <c r="C11" s="104" t="s">
        <v>540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76796-5359-4FC8-966A-F866BBA63521}">
  <sheetPr codeName="Folha13">
    <tabColor theme="8" tint="0.79998168889431442"/>
  </sheetPr>
  <dimension ref="A1:C107"/>
  <sheetViews>
    <sheetView topLeftCell="A58" workbookViewId="0">
      <selection activeCell="H22" sqref="H22"/>
    </sheetView>
  </sheetViews>
  <sheetFormatPr defaultRowHeight="15"/>
  <cols>
    <col min="1" max="1" width="53" customWidth="1"/>
    <col min="2" max="2" width="24" customWidth="1"/>
    <col min="3" max="3" width="65" customWidth="1"/>
  </cols>
  <sheetData>
    <row r="1" spans="1:3" ht="25.5">
      <c r="A1" s="99"/>
    </row>
    <row r="2" spans="1:3">
      <c r="A2" s="100"/>
    </row>
    <row r="4" spans="1:3" ht="27.95" customHeight="1">
      <c r="A4" s="106" t="s">
        <v>406</v>
      </c>
      <c r="B4" s="106" t="s">
        <v>407</v>
      </c>
      <c r="C4" s="106" t="s">
        <v>408</v>
      </c>
    </row>
    <row r="5" spans="1:3" ht="24" customHeight="1">
      <c r="A5" s="504" t="s">
        <v>409</v>
      </c>
      <c r="B5" s="505"/>
      <c r="C5" s="506"/>
    </row>
    <row r="6" spans="1:3" ht="20.100000000000001" customHeight="1">
      <c r="A6" s="112" t="s">
        <v>410</v>
      </c>
      <c r="B6" s="102" t="s">
        <v>411</v>
      </c>
      <c r="C6" s="102" t="s">
        <v>412</v>
      </c>
    </row>
    <row r="8" spans="1:3" ht="24" customHeight="1">
      <c r="A8" s="504" t="s">
        <v>413</v>
      </c>
      <c r="B8" s="505"/>
      <c r="C8" s="506"/>
    </row>
    <row r="9" spans="1:3" ht="20.100000000000001" customHeight="1">
      <c r="A9" s="112" t="s">
        <v>541</v>
      </c>
      <c r="B9" s="102" t="s">
        <v>346</v>
      </c>
      <c r="C9" s="102" t="s">
        <v>414</v>
      </c>
    </row>
    <row r="10" spans="1:3" ht="20.100000000000001" customHeight="1">
      <c r="A10" s="113" t="s">
        <v>542</v>
      </c>
      <c r="B10" s="104" t="s">
        <v>346</v>
      </c>
      <c r="C10" s="104" t="s">
        <v>415</v>
      </c>
    </row>
    <row r="11" spans="1:3" ht="20.100000000000001" customHeight="1">
      <c r="A11" s="112" t="s">
        <v>543</v>
      </c>
      <c r="B11" s="102" t="s">
        <v>346</v>
      </c>
      <c r="C11" s="102" t="s">
        <v>416</v>
      </c>
    </row>
    <row r="12" spans="1:3" ht="20.100000000000001" customHeight="1">
      <c r="A12" s="113" t="s">
        <v>544</v>
      </c>
      <c r="B12" s="104" t="s">
        <v>346</v>
      </c>
      <c r="C12" s="104" t="s">
        <v>417</v>
      </c>
    </row>
    <row r="13" spans="1:3" ht="20.100000000000001" customHeight="1">
      <c r="A13" s="112" t="s">
        <v>545</v>
      </c>
      <c r="B13" s="102" t="s">
        <v>346</v>
      </c>
      <c r="C13" s="102" t="s">
        <v>418</v>
      </c>
    </row>
    <row r="14" spans="1:3" ht="20.100000000000001" customHeight="1">
      <c r="A14" s="113" t="s">
        <v>546</v>
      </c>
      <c r="B14" s="104" t="s">
        <v>346</v>
      </c>
      <c r="C14" s="104" t="s">
        <v>419</v>
      </c>
    </row>
    <row r="15" spans="1:3" ht="20.100000000000001" customHeight="1">
      <c r="A15" s="112" t="s">
        <v>547</v>
      </c>
      <c r="B15" s="102" t="s">
        <v>346</v>
      </c>
      <c r="C15" s="102" t="s">
        <v>420</v>
      </c>
    </row>
    <row r="16" spans="1:3" ht="20.100000000000001" customHeight="1">
      <c r="A16" s="113" t="s">
        <v>548</v>
      </c>
      <c r="B16" s="104" t="s">
        <v>346</v>
      </c>
      <c r="C16" s="104" t="s">
        <v>421</v>
      </c>
    </row>
    <row r="18" spans="1:3" ht="24" customHeight="1">
      <c r="A18" s="504" t="s">
        <v>422</v>
      </c>
      <c r="B18" s="505"/>
      <c r="C18" s="506"/>
    </row>
    <row r="19" spans="1:3" ht="20.100000000000001" customHeight="1">
      <c r="A19" s="112" t="s">
        <v>549</v>
      </c>
      <c r="B19" s="102" t="s">
        <v>423</v>
      </c>
      <c r="C19" s="102" t="s">
        <v>424</v>
      </c>
    </row>
    <row r="20" spans="1:3" ht="20.100000000000001" customHeight="1">
      <c r="A20" s="113" t="s">
        <v>550</v>
      </c>
      <c r="B20" s="104" t="s">
        <v>423</v>
      </c>
      <c r="C20" s="104" t="s">
        <v>425</v>
      </c>
    </row>
    <row r="21" spans="1:3" ht="20.100000000000001" customHeight="1">
      <c r="A21" s="112" t="s">
        <v>557</v>
      </c>
      <c r="B21" s="102" t="s">
        <v>434</v>
      </c>
      <c r="C21" s="102" t="s">
        <v>435</v>
      </c>
    </row>
    <row r="22" spans="1:3" ht="20.100000000000001" customHeight="1">
      <c r="A22" s="112" t="s">
        <v>551</v>
      </c>
      <c r="B22" s="102" t="s">
        <v>426</v>
      </c>
      <c r="C22" s="102" t="s">
        <v>427</v>
      </c>
    </row>
    <row r="23" spans="1:3" ht="20.100000000000001" customHeight="1">
      <c r="A23" s="113" t="s">
        <v>552</v>
      </c>
      <c r="B23" s="104" t="s">
        <v>426</v>
      </c>
      <c r="C23" s="104" t="s">
        <v>428</v>
      </c>
    </row>
    <row r="24" spans="1:3" ht="20.100000000000001" customHeight="1">
      <c r="A24" s="112" t="s">
        <v>553</v>
      </c>
      <c r="B24" s="102" t="s">
        <v>423</v>
      </c>
      <c r="C24" s="102" t="s">
        <v>429</v>
      </c>
    </row>
    <row r="25" spans="1:3" ht="20.100000000000001" customHeight="1">
      <c r="A25" s="113" t="s">
        <v>554</v>
      </c>
      <c r="B25" s="104" t="s">
        <v>423</v>
      </c>
      <c r="C25" s="104" t="s">
        <v>430</v>
      </c>
    </row>
    <row r="26" spans="1:3" ht="20.100000000000001" customHeight="1">
      <c r="A26" s="112" t="s">
        <v>555</v>
      </c>
      <c r="B26" s="102" t="s">
        <v>431</v>
      </c>
      <c r="C26" s="102" t="s">
        <v>432</v>
      </c>
    </row>
    <row r="27" spans="1:3" ht="20.100000000000001" customHeight="1">
      <c r="A27" s="113" t="s">
        <v>556</v>
      </c>
      <c r="B27" s="104" t="s">
        <v>431</v>
      </c>
      <c r="C27" s="104" t="s">
        <v>433</v>
      </c>
    </row>
    <row r="29" spans="1:3" ht="24" customHeight="1">
      <c r="A29" s="504" t="s">
        <v>436</v>
      </c>
      <c r="B29" s="505"/>
      <c r="C29" s="506"/>
    </row>
    <row r="30" spans="1:3" ht="20.100000000000001" customHeight="1">
      <c r="A30" s="112" t="s">
        <v>558</v>
      </c>
      <c r="B30" s="102" t="s">
        <v>423</v>
      </c>
      <c r="C30" s="102" t="s">
        <v>437</v>
      </c>
    </row>
    <row r="31" spans="1:3" ht="20.100000000000001" customHeight="1">
      <c r="A31" s="113" t="s">
        <v>559</v>
      </c>
      <c r="B31" s="104" t="s">
        <v>423</v>
      </c>
      <c r="C31" s="104" t="s">
        <v>438</v>
      </c>
    </row>
    <row r="32" spans="1:3" ht="20.100000000000001" customHeight="1">
      <c r="A32" s="112" t="s">
        <v>560</v>
      </c>
      <c r="B32" s="102" t="s">
        <v>423</v>
      </c>
      <c r="C32" s="102" t="s">
        <v>439</v>
      </c>
    </row>
    <row r="34" spans="1:3" ht="24" customHeight="1">
      <c r="A34" s="504" t="s">
        <v>440</v>
      </c>
      <c r="B34" s="505"/>
      <c r="C34" s="506"/>
    </row>
    <row r="35" spans="1:3" ht="20.100000000000001" customHeight="1">
      <c r="A35" s="112" t="s">
        <v>561</v>
      </c>
      <c r="B35" s="102" t="s">
        <v>423</v>
      </c>
      <c r="C35" s="102" t="s">
        <v>441</v>
      </c>
    </row>
    <row r="36" spans="1:3" ht="20.100000000000001" customHeight="1">
      <c r="A36" s="113" t="s">
        <v>562</v>
      </c>
      <c r="B36" s="104" t="s">
        <v>426</v>
      </c>
      <c r="C36" s="104" t="s">
        <v>442</v>
      </c>
    </row>
    <row r="37" spans="1:3" ht="20.100000000000001" customHeight="1">
      <c r="A37" s="112" t="s">
        <v>563</v>
      </c>
      <c r="B37" s="102" t="s">
        <v>423</v>
      </c>
      <c r="C37" s="102" t="s">
        <v>443</v>
      </c>
    </row>
    <row r="38" spans="1:3" ht="20.100000000000001" customHeight="1">
      <c r="A38" s="113" t="s">
        <v>564</v>
      </c>
      <c r="B38" s="104" t="s">
        <v>423</v>
      </c>
      <c r="C38" s="104" t="s">
        <v>444</v>
      </c>
    </row>
    <row r="39" spans="1:3" ht="20.100000000000001" customHeight="1">
      <c r="A39" s="112" t="s">
        <v>565</v>
      </c>
      <c r="B39" s="102" t="s">
        <v>423</v>
      </c>
      <c r="C39" s="102" t="s">
        <v>445</v>
      </c>
    </row>
    <row r="40" spans="1:3" ht="20.100000000000001" customHeight="1">
      <c r="A40" s="113" t="s">
        <v>566</v>
      </c>
      <c r="B40" s="104" t="s">
        <v>431</v>
      </c>
      <c r="C40" s="104" t="s">
        <v>446</v>
      </c>
    </row>
    <row r="41" spans="1:3" ht="20.100000000000001" customHeight="1">
      <c r="A41" s="112" t="s">
        <v>567</v>
      </c>
      <c r="B41" s="102" t="s">
        <v>431</v>
      </c>
      <c r="C41" s="102" t="s">
        <v>447</v>
      </c>
    </row>
    <row r="42" spans="1:3" ht="20.100000000000001" customHeight="1">
      <c r="A42" s="113" t="s">
        <v>568</v>
      </c>
      <c r="B42" s="104" t="s">
        <v>431</v>
      </c>
      <c r="C42" s="104" t="s">
        <v>448</v>
      </c>
    </row>
    <row r="43" spans="1:3" ht="20.100000000000001" customHeight="1">
      <c r="A43" s="112" t="s">
        <v>569</v>
      </c>
      <c r="B43" s="102" t="s">
        <v>431</v>
      </c>
      <c r="C43" s="102" t="s">
        <v>449</v>
      </c>
    </row>
    <row r="44" spans="1:3" ht="20.100000000000001" customHeight="1">
      <c r="A44" s="113" t="s">
        <v>570</v>
      </c>
      <c r="B44" s="104" t="s">
        <v>431</v>
      </c>
      <c r="C44" s="104" t="s">
        <v>450</v>
      </c>
    </row>
    <row r="45" spans="1:3" ht="20.100000000000001" customHeight="1">
      <c r="A45" s="112" t="s">
        <v>571</v>
      </c>
      <c r="B45" s="102" t="s">
        <v>451</v>
      </c>
      <c r="C45" s="102" t="s">
        <v>452</v>
      </c>
    </row>
    <row r="46" spans="1:3" ht="20.100000000000001" customHeight="1">
      <c r="A46" s="113" t="s">
        <v>572</v>
      </c>
      <c r="B46" s="104" t="s">
        <v>434</v>
      </c>
      <c r="C46" s="104" t="s">
        <v>453</v>
      </c>
    </row>
    <row r="47" spans="1:3" ht="20.100000000000001" customHeight="1">
      <c r="A47" s="112" t="s">
        <v>573</v>
      </c>
      <c r="B47" s="102" t="s">
        <v>434</v>
      </c>
      <c r="C47" s="102" t="s">
        <v>454</v>
      </c>
    </row>
    <row r="49" spans="1:3" ht="24" customHeight="1">
      <c r="A49" s="504" t="s">
        <v>455</v>
      </c>
      <c r="B49" s="505"/>
      <c r="C49" s="506"/>
    </row>
    <row r="50" spans="1:3" ht="20.100000000000001" customHeight="1">
      <c r="A50" s="113" t="s">
        <v>575</v>
      </c>
      <c r="B50" s="104" t="s">
        <v>457</v>
      </c>
      <c r="C50" s="104" t="s">
        <v>458</v>
      </c>
    </row>
    <row r="51" spans="1:3" ht="20.100000000000001" customHeight="1">
      <c r="A51" s="112" t="s">
        <v>576</v>
      </c>
      <c r="B51" s="102" t="s">
        <v>457</v>
      </c>
      <c r="C51" s="102" t="s">
        <v>459</v>
      </c>
    </row>
    <row r="52" spans="1:3" ht="20.100000000000001" customHeight="1">
      <c r="A52" s="113" t="s">
        <v>577</v>
      </c>
      <c r="B52" s="104" t="s">
        <v>457</v>
      </c>
      <c r="C52" s="104" t="s">
        <v>460</v>
      </c>
    </row>
    <row r="53" spans="1:3" ht="20.100000000000001" customHeight="1">
      <c r="A53" s="112" t="s">
        <v>574</v>
      </c>
      <c r="B53" s="102" t="s">
        <v>431</v>
      </c>
      <c r="C53" s="102" t="s">
        <v>456</v>
      </c>
    </row>
    <row r="54" spans="1:3" ht="20.100000000000001" customHeight="1">
      <c r="A54" s="107"/>
      <c r="B54" s="108"/>
      <c r="C54" s="109"/>
    </row>
    <row r="55" spans="1:3" ht="24" customHeight="1">
      <c r="A55" s="504" t="s">
        <v>461</v>
      </c>
      <c r="B55" s="505"/>
      <c r="C55" s="506"/>
    </row>
    <row r="56" spans="1:3" ht="20.100000000000001" customHeight="1">
      <c r="A56" s="113" t="s">
        <v>579</v>
      </c>
      <c r="B56" s="104" t="s">
        <v>434</v>
      </c>
      <c r="C56" s="104" t="s">
        <v>471</v>
      </c>
    </row>
    <row r="57" spans="1:3" ht="20.100000000000001" customHeight="1">
      <c r="A57" s="112" t="s">
        <v>578</v>
      </c>
      <c r="B57" s="102" t="s">
        <v>423</v>
      </c>
      <c r="C57" s="102" t="s">
        <v>462</v>
      </c>
    </row>
    <row r="58" spans="1:3" ht="20.100000000000001" customHeight="1">
      <c r="A58" s="113" t="s">
        <v>580</v>
      </c>
      <c r="B58" s="104" t="s">
        <v>423</v>
      </c>
      <c r="C58" s="104" t="s">
        <v>463</v>
      </c>
    </row>
    <row r="59" spans="1:3" ht="20.100000000000001" customHeight="1">
      <c r="A59" s="112" t="s">
        <v>581</v>
      </c>
      <c r="B59" s="102" t="s">
        <v>464</v>
      </c>
      <c r="C59" s="102" t="s">
        <v>465</v>
      </c>
    </row>
    <row r="60" spans="1:3" ht="20.100000000000001" customHeight="1">
      <c r="A60" s="113" t="s">
        <v>582</v>
      </c>
      <c r="B60" s="104" t="s">
        <v>431</v>
      </c>
      <c r="C60" s="104" t="s">
        <v>466</v>
      </c>
    </row>
    <row r="61" spans="1:3" ht="20.100000000000001" customHeight="1">
      <c r="A61" s="112" t="s">
        <v>583</v>
      </c>
      <c r="B61" s="102" t="s">
        <v>431</v>
      </c>
      <c r="C61" s="102" t="s">
        <v>467</v>
      </c>
    </row>
    <row r="62" spans="1:3" ht="20.100000000000001" customHeight="1">
      <c r="A62" s="113" t="s">
        <v>584</v>
      </c>
      <c r="B62" s="104" t="s">
        <v>468</v>
      </c>
      <c r="C62" s="104" t="s">
        <v>469</v>
      </c>
    </row>
    <row r="63" spans="1:3" ht="20.100000000000001" customHeight="1">
      <c r="A63" s="112" t="s">
        <v>585</v>
      </c>
      <c r="B63" s="102" t="s">
        <v>468</v>
      </c>
      <c r="C63" s="102" t="s">
        <v>470</v>
      </c>
    </row>
    <row r="65" spans="1:3" ht="24" customHeight="1">
      <c r="A65" s="504" t="s">
        <v>472</v>
      </c>
      <c r="B65" s="505"/>
      <c r="C65" s="506"/>
    </row>
    <row r="66" spans="1:3" ht="20.100000000000001" customHeight="1">
      <c r="A66" s="112" t="s">
        <v>586</v>
      </c>
      <c r="B66" s="102" t="s">
        <v>423</v>
      </c>
      <c r="C66" s="102" t="s">
        <v>473</v>
      </c>
    </row>
    <row r="67" spans="1:3" ht="20.100000000000001" customHeight="1">
      <c r="A67" s="113" t="s">
        <v>587</v>
      </c>
      <c r="B67" s="104" t="s">
        <v>423</v>
      </c>
      <c r="C67" s="104" t="s">
        <v>474</v>
      </c>
    </row>
    <row r="68" spans="1:3" ht="20.100000000000001" customHeight="1">
      <c r="A68" s="112" t="s">
        <v>588</v>
      </c>
      <c r="B68" s="102" t="s">
        <v>457</v>
      </c>
      <c r="C68" s="102" t="s">
        <v>475</v>
      </c>
    </row>
    <row r="70" spans="1:3" ht="24" customHeight="1">
      <c r="A70" s="504" t="s">
        <v>476</v>
      </c>
      <c r="B70" s="505"/>
      <c r="C70" s="506"/>
    </row>
    <row r="71" spans="1:3" ht="20.100000000000001" customHeight="1">
      <c r="A71" s="113" t="s">
        <v>592</v>
      </c>
      <c r="B71" s="104" t="s">
        <v>482</v>
      </c>
      <c r="C71" s="104" t="s">
        <v>483</v>
      </c>
    </row>
    <row r="72" spans="1:3" ht="20.100000000000001" customHeight="1">
      <c r="A72" s="112" t="s">
        <v>615</v>
      </c>
      <c r="B72" s="102" t="s">
        <v>482</v>
      </c>
      <c r="C72" s="102" t="s">
        <v>484</v>
      </c>
    </row>
    <row r="73" spans="1:3" ht="20.100000000000001" customHeight="1">
      <c r="A73" s="112" t="s">
        <v>589</v>
      </c>
      <c r="B73" s="102" t="s">
        <v>477</v>
      </c>
      <c r="C73" s="102" t="s">
        <v>478</v>
      </c>
    </row>
    <row r="74" spans="1:3" ht="20.100000000000001" customHeight="1">
      <c r="A74" s="113" t="s">
        <v>590</v>
      </c>
      <c r="B74" s="104" t="s">
        <v>477</v>
      </c>
      <c r="C74" s="104" t="s">
        <v>479</v>
      </c>
    </row>
    <row r="75" spans="1:3" ht="20.100000000000001" customHeight="1">
      <c r="A75" s="112" t="s">
        <v>591</v>
      </c>
      <c r="B75" s="102" t="s">
        <v>480</v>
      </c>
      <c r="C75" s="102" t="s">
        <v>481</v>
      </c>
    </row>
    <row r="76" spans="1:3" ht="20.100000000000001" customHeight="1">
      <c r="A76" s="113" t="s">
        <v>593</v>
      </c>
      <c r="B76" s="104" t="s">
        <v>482</v>
      </c>
      <c r="C76" s="104" t="s">
        <v>485</v>
      </c>
    </row>
    <row r="77" spans="1:3" ht="20.100000000000001" customHeight="1">
      <c r="A77" s="112" t="s">
        <v>594</v>
      </c>
      <c r="B77" s="102" t="s">
        <v>482</v>
      </c>
      <c r="C77" s="102" t="s">
        <v>486</v>
      </c>
    </row>
    <row r="78" spans="1:3">
      <c r="A78" s="113" t="s">
        <v>595</v>
      </c>
      <c r="B78" s="104" t="s">
        <v>482</v>
      </c>
      <c r="C78" s="104" t="s">
        <v>487</v>
      </c>
    </row>
    <row r="79" spans="1:3" ht="24" customHeight="1">
      <c r="A79" s="112" t="s">
        <v>596</v>
      </c>
      <c r="B79" s="102" t="s">
        <v>482</v>
      </c>
      <c r="C79" s="102" t="s">
        <v>488</v>
      </c>
    </row>
    <row r="80" spans="1:3" ht="20.100000000000001" customHeight="1"/>
    <row r="81" spans="1:3" ht="20.100000000000001" customHeight="1">
      <c r="A81" s="504" t="s">
        <v>489</v>
      </c>
      <c r="B81" s="505"/>
      <c r="C81" s="506"/>
    </row>
    <row r="82" spans="1:3" ht="20.100000000000001" customHeight="1">
      <c r="A82" s="112" t="s">
        <v>597</v>
      </c>
      <c r="B82" s="102" t="s">
        <v>482</v>
      </c>
      <c r="C82" s="102" t="s">
        <v>490</v>
      </c>
    </row>
    <row r="83" spans="1:3" ht="20.100000000000001" customHeight="1">
      <c r="A83" s="113" t="s">
        <v>598</v>
      </c>
      <c r="B83" s="104" t="s">
        <v>477</v>
      </c>
      <c r="C83" s="104" t="s">
        <v>491</v>
      </c>
    </row>
    <row r="84" spans="1:3">
      <c r="A84" s="112" t="s">
        <v>599</v>
      </c>
      <c r="B84" s="102" t="s">
        <v>492</v>
      </c>
      <c r="C84" s="102" t="s">
        <v>493</v>
      </c>
    </row>
    <row r="85" spans="1:3" ht="24" customHeight="1">
      <c r="A85" s="113" t="s">
        <v>600</v>
      </c>
      <c r="B85" s="104" t="s">
        <v>482</v>
      </c>
      <c r="C85" s="104" t="s">
        <v>494</v>
      </c>
    </row>
    <row r="86" spans="1:3" ht="20.100000000000001" customHeight="1"/>
    <row r="87" spans="1:3" ht="20.100000000000001" customHeight="1">
      <c r="A87" s="504" t="s">
        <v>495</v>
      </c>
      <c r="B87" s="505"/>
      <c r="C87" s="506"/>
    </row>
    <row r="88" spans="1:3" ht="20.100000000000001" customHeight="1">
      <c r="A88" s="112" t="s">
        <v>601</v>
      </c>
      <c r="B88" s="102" t="s">
        <v>496</v>
      </c>
      <c r="C88" s="102" t="s">
        <v>497</v>
      </c>
    </row>
    <row r="89" spans="1:3" ht="24" customHeight="1">
      <c r="A89" s="113" t="s">
        <v>603</v>
      </c>
      <c r="B89" s="104" t="s">
        <v>502</v>
      </c>
      <c r="C89" s="104" t="s">
        <v>503</v>
      </c>
    </row>
    <row r="90" spans="1:3" ht="20.100000000000001" customHeight="1">
      <c r="A90" s="113" t="s">
        <v>602</v>
      </c>
      <c r="B90" s="104" t="s">
        <v>496</v>
      </c>
      <c r="C90" s="104" t="s">
        <v>498</v>
      </c>
    </row>
    <row r="91" spans="1:3" ht="20.100000000000001" customHeight="1">
      <c r="A91" s="112" t="s">
        <v>604</v>
      </c>
      <c r="B91" s="102" t="s">
        <v>496</v>
      </c>
      <c r="C91" s="102" t="s">
        <v>499</v>
      </c>
    </row>
    <row r="92" spans="1:3" ht="20.100000000000001" customHeight="1">
      <c r="A92" s="113" t="s">
        <v>605</v>
      </c>
      <c r="B92" s="104" t="s">
        <v>496</v>
      </c>
      <c r="C92" s="104" t="s">
        <v>500</v>
      </c>
    </row>
    <row r="93" spans="1:3">
      <c r="A93" s="112" t="s">
        <v>606</v>
      </c>
      <c r="B93" s="102" t="s">
        <v>496</v>
      </c>
      <c r="C93" s="102" t="s">
        <v>501</v>
      </c>
    </row>
    <row r="94" spans="1:3" ht="20.100000000000001" customHeight="1"/>
    <row r="95" spans="1:3" ht="20.100000000000001" customHeight="1">
      <c r="A95" s="504" t="s">
        <v>504</v>
      </c>
      <c r="B95" s="505"/>
      <c r="C95" s="506"/>
    </row>
    <row r="96" spans="1:3" ht="20.100000000000001" customHeight="1">
      <c r="A96" s="112" t="s">
        <v>607</v>
      </c>
      <c r="B96" s="102" t="s">
        <v>505</v>
      </c>
      <c r="C96" s="102" t="s">
        <v>506</v>
      </c>
    </row>
    <row r="97" spans="1:3" ht="24" customHeight="1">
      <c r="A97" s="112" t="s">
        <v>611</v>
      </c>
      <c r="B97" s="102" t="s">
        <v>510</v>
      </c>
      <c r="C97" s="102" t="s">
        <v>511</v>
      </c>
    </row>
    <row r="98" spans="1:3" ht="20.100000000000001" customHeight="1">
      <c r="A98" s="113" t="s">
        <v>608</v>
      </c>
      <c r="B98" s="104" t="s">
        <v>505</v>
      </c>
      <c r="C98" s="104" t="s">
        <v>507</v>
      </c>
    </row>
    <row r="99" spans="1:3" ht="20.100000000000001" customHeight="1">
      <c r="A99" s="112" t="s">
        <v>609</v>
      </c>
      <c r="B99" s="102" t="s">
        <v>505</v>
      </c>
      <c r="C99" s="102" t="s">
        <v>508</v>
      </c>
    </row>
    <row r="100" spans="1:3">
      <c r="A100" s="113" t="s">
        <v>610</v>
      </c>
      <c r="B100" s="104" t="s">
        <v>505</v>
      </c>
      <c r="C100" s="104" t="s">
        <v>509</v>
      </c>
    </row>
    <row r="101" spans="1:3" ht="20.100000000000001" customHeight="1"/>
    <row r="102" spans="1:3" ht="20.100000000000001" customHeight="1">
      <c r="A102" s="504" t="s">
        <v>512</v>
      </c>
      <c r="B102" s="505"/>
      <c r="C102" s="506"/>
    </row>
    <row r="103" spans="1:3">
      <c r="A103" s="112" t="s">
        <v>612</v>
      </c>
      <c r="B103" s="102" t="s">
        <v>513</v>
      </c>
      <c r="C103" s="102" t="s">
        <v>514</v>
      </c>
    </row>
    <row r="104" spans="1:3" ht="24" customHeight="1">
      <c r="A104" s="113" t="s">
        <v>613</v>
      </c>
      <c r="B104" s="104" t="s">
        <v>515</v>
      </c>
      <c r="C104" s="104" t="s">
        <v>516</v>
      </c>
    </row>
    <row r="105" spans="1:3" ht="20.100000000000001" customHeight="1"/>
    <row r="106" spans="1:3" ht="16.5">
      <c r="A106" s="504" t="s">
        <v>517</v>
      </c>
      <c r="B106" s="505"/>
      <c r="C106" s="506"/>
    </row>
    <row r="107" spans="1:3">
      <c r="A107" s="112" t="s">
        <v>614</v>
      </c>
      <c r="B107" s="102" t="s">
        <v>431</v>
      </c>
      <c r="C107" s="102" t="s">
        <v>518</v>
      </c>
    </row>
  </sheetData>
  <mergeCells count="14">
    <mergeCell ref="A102:C102"/>
    <mergeCell ref="A106:C106"/>
    <mergeCell ref="A55:C55"/>
    <mergeCell ref="A65:C65"/>
    <mergeCell ref="A70:C70"/>
    <mergeCell ref="A81:C81"/>
    <mergeCell ref="A87:C87"/>
    <mergeCell ref="A95:C95"/>
    <mergeCell ref="A49:C49"/>
    <mergeCell ref="A5:C5"/>
    <mergeCell ref="A8:C8"/>
    <mergeCell ref="A18:C18"/>
    <mergeCell ref="A29:C29"/>
    <mergeCell ref="A34:C34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9A3A6-95D4-40C8-913E-07691BD5D14F}">
  <sheetPr codeName="Folha14">
    <tabColor theme="8" tint="0.79998168889431442"/>
  </sheetPr>
  <dimension ref="A2:F25"/>
  <sheetViews>
    <sheetView showGridLines="0" workbookViewId="0">
      <selection activeCell="C36" sqref="C36"/>
    </sheetView>
  </sheetViews>
  <sheetFormatPr defaultRowHeight="15"/>
  <cols>
    <col min="1" max="1" width="28.7109375" customWidth="1"/>
    <col min="2" max="2" width="53" style="5" customWidth="1"/>
    <col min="3" max="3" width="78.28515625" customWidth="1"/>
  </cols>
  <sheetData>
    <row r="2" spans="1:6" ht="18.75">
      <c r="B2" s="303" t="s">
        <v>621</v>
      </c>
    </row>
    <row r="3" spans="1:6">
      <c r="A3" s="508" t="s">
        <v>622</v>
      </c>
      <c r="B3" s="508"/>
      <c r="C3" s="508"/>
    </row>
    <row r="4" spans="1:6">
      <c r="A4" s="8" t="s">
        <v>624</v>
      </c>
      <c r="B4" s="14" t="s">
        <v>623</v>
      </c>
      <c r="C4" s="14" t="s">
        <v>26</v>
      </c>
      <c r="D4" s="5"/>
      <c r="E4" s="5"/>
      <c r="F4" s="5"/>
    </row>
    <row r="5" spans="1:6">
      <c r="A5" s="114" t="s">
        <v>296</v>
      </c>
      <c r="B5" s="115">
        <v>25</v>
      </c>
      <c r="C5" s="116" t="s">
        <v>625</v>
      </c>
    </row>
    <row r="6" spans="1:6">
      <c r="A6" s="117"/>
      <c r="B6" s="118">
        <v>12.5</v>
      </c>
      <c r="C6" s="119" t="s">
        <v>626</v>
      </c>
    </row>
    <row r="7" spans="1:6">
      <c r="A7" s="114" t="s">
        <v>297</v>
      </c>
      <c r="B7" s="115">
        <v>25</v>
      </c>
      <c r="C7" s="116" t="s">
        <v>627</v>
      </c>
    </row>
    <row r="8" spans="1:6">
      <c r="A8" s="117"/>
      <c r="B8" s="118">
        <v>12.5</v>
      </c>
      <c r="C8" s="119" t="s">
        <v>628</v>
      </c>
    </row>
    <row r="9" spans="1:6">
      <c r="A9" s="114" t="s">
        <v>298</v>
      </c>
      <c r="B9" s="115">
        <v>20</v>
      </c>
      <c r="C9" s="116" t="s">
        <v>629</v>
      </c>
    </row>
    <row r="10" spans="1:6">
      <c r="A10" s="117"/>
      <c r="B10" s="118">
        <v>4</v>
      </c>
      <c r="C10" s="119" t="s">
        <v>626</v>
      </c>
    </row>
    <row r="11" spans="1:6">
      <c r="A11" s="114" t="s">
        <v>630</v>
      </c>
      <c r="B11" s="115">
        <v>20</v>
      </c>
      <c r="C11" s="116" t="s">
        <v>631</v>
      </c>
    </row>
    <row r="12" spans="1:6">
      <c r="A12" s="117"/>
      <c r="B12" s="118">
        <v>2</v>
      </c>
      <c r="C12" s="119" t="s">
        <v>626</v>
      </c>
    </row>
    <row r="13" spans="1:6">
      <c r="A13" s="114" t="s">
        <v>300</v>
      </c>
      <c r="B13" s="115">
        <v>20</v>
      </c>
      <c r="C13" s="116" t="s">
        <v>632</v>
      </c>
    </row>
    <row r="14" spans="1:6">
      <c r="A14" s="117"/>
      <c r="B14" s="118">
        <v>10</v>
      </c>
      <c r="C14" s="119" t="s">
        <v>633</v>
      </c>
    </row>
    <row r="15" spans="1:6">
      <c r="A15" s="114" t="s">
        <v>301</v>
      </c>
      <c r="B15" s="115">
        <v>20</v>
      </c>
      <c r="C15" s="116" t="s">
        <v>634</v>
      </c>
    </row>
    <row r="16" spans="1:6">
      <c r="A16" s="117"/>
      <c r="B16" s="118">
        <v>10</v>
      </c>
      <c r="C16" s="119" t="s">
        <v>635</v>
      </c>
    </row>
    <row r="18" spans="1:4">
      <c r="A18" t="s">
        <v>636</v>
      </c>
    </row>
    <row r="20" spans="1:4">
      <c r="A20" s="507" t="s">
        <v>637</v>
      </c>
      <c r="B20" s="507"/>
      <c r="C20" s="507"/>
      <c r="D20" s="24"/>
    </row>
    <row r="21" spans="1:4">
      <c r="A21" s="507" t="s">
        <v>638</v>
      </c>
      <c r="B21" s="507"/>
      <c r="C21" s="507"/>
      <c r="D21" s="24"/>
    </row>
    <row r="22" spans="1:4">
      <c r="A22" s="507" t="s">
        <v>639</v>
      </c>
      <c r="B22" s="507"/>
      <c r="C22" s="507"/>
      <c r="D22" s="24"/>
    </row>
    <row r="23" spans="1:4">
      <c r="A23" s="507" t="s">
        <v>640</v>
      </c>
      <c r="B23" s="507"/>
      <c r="C23" s="507"/>
      <c r="D23" s="507"/>
    </row>
    <row r="24" spans="1:4">
      <c r="A24" s="507" t="s">
        <v>641</v>
      </c>
      <c r="B24" s="507"/>
      <c r="C24" s="507"/>
      <c r="D24" s="24"/>
    </row>
    <row r="25" spans="1:4">
      <c r="A25" s="507" t="s">
        <v>642</v>
      </c>
      <c r="B25" s="507"/>
      <c r="C25" s="507"/>
      <c r="D25" s="24"/>
    </row>
  </sheetData>
  <mergeCells count="7">
    <mergeCell ref="A24:C24"/>
    <mergeCell ref="A25:C25"/>
    <mergeCell ref="A3:C3"/>
    <mergeCell ref="A20:C20"/>
    <mergeCell ref="A21:C21"/>
    <mergeCell ref="A22:C22"/>
    <mergeCell ref="A23:D23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29093-36AF-4AE0-965B-405567C25347}">
  <sheetPr codeName="Folha31"/>
  <dimension ref="B1:Z100"/>
  <sheetViews>
    <sheetView showGridLines="0" workbookViewId="0">
      <selection activeCell="B9" sqref="B9"/>
    </sheetView>
  </sheetViews>
  <sheetFormatPr defaultRowHeight="15"/>
  <cols>
    <col min="1" max="1" width="3.7109375" style="373" customWidth="1"/>
    <col min="2" max="2" width="65.7109375" style="373" customWidth="1"/>
    <col min="3" max="3" width="15.7109375" style="373" customWidth="1"/>
    <col min="4" max="5" width="18.7109375" style="373" customWidth="1"/>
    <col min="6" max="25" width="9.140625" style="373"/>
    <col min="26" max="26" width="0" style="373" hidden="1" customWidth="1"/>
    <col min="27" max="16384" width="9.140625" style="373"/>
  </cols>
  <sheetData>
    <row r="1" spans="2:26">
      <c r="Z1" s="373" t="s">
        <v>1503</v>
      </c>
    </row>
    <row r="2" spans="2:26" ht="21">
      <c r="B2" s="414" t="s">
        <v>1596</v>
      </c>
      <c r="Z2" s="373" t="s">
        <v>1513</v>
      </c>
    </row>
    <row r="3" spans="2:26">
      <c r="Z3" s="373" t="s">
        <v>1515</v>
      </c>
    </row>
    <row r="4" spans="2:26">
      <c r="B4" s="415" t="s">
        <v>1597</v>
      </c>
      <c r="C4" s="416" t="s">
        <v>1598</v>
      </c>
      <c r="Z4" s="373" t="s">
        <v>1502</v>
      </c>
    </row>
    <row r="5" spans="2:26">
      <c r="B5" s="415" t="s">
        <v>1599</v>
      </c>
      <c r="C5" s="417">
        <v>46206</v>
      </c>
      <c r="Z5" s="373" t="s">
        <v>1477</v>
      </c>
    </row>
    <row r="6" spans="2:26">
      <c r="Z6" s="373" t="s">
        <v>1483</v>
      </c>
    </row>
    <row r="7" spans="2:26">
      <c r="Z7" s="373" t="s">
        <v>1473</v>
      </c>
    </row>
    <row r="8" spans="2:26" ht="24.95" customHeight="1">
      <c r="B8" s="418" t="s">
        <v>1600</v>
      </c>
      <c r="C8" s="419" t="s">
        <v>1601</v>
      </c>
      <c r="D8" s="419" t="s">
        <v>1602</v>
      </c>
      <c r="E8" s="419" t="s">
        <v>1603</v>
      </c>
      <c r="Z8" s="373" t="s">
        <v>1464</v>
      </c>
    </row>
    <row r="9" spans="2:26" ht="20.100000000000001" customHeight="1">
      <c r="B9" s="416" t="s">
        <v>1605</v>
      </c>
      <c r="C9" s="420"/>
      <c r="D9" s="421" t="str">
        <f ca="1">IFERROR(VLOOKUP(B9,'Preços_Placas &amp; Seccionadora'!A:G,7,FALSE), IFERROR(VLOOKUP(B9,Preço_Orlagem!$A$18:$B$202,2,FALSE), ""))</f>
        <v/>
      </c>
      <c r="E9" s="421" t="str">
        <f t="shared" ref="E9:E40" ca="1" si="0">IF(ISNUMBER(C9*D9), C9*D9, "")</f>
        <v/>
      </c>
      <c r="Z9" s="373" t="s">
        <v>1463</v>
      </c>
    </row>
    <row r="10" spans="2:26" ht="20.100000000000001" customHeight="1">
      <c r="B10" s="416"/>
      <c r="C10" s="420"/>
      <c r="D10" s="421" t="str">
        <f ca="1">IFERROR(VLOOKUP(B10,'Preços_Placas &amp; Seccionadora'!A:G,7,FALSE), IFERROR(VLOOKUP(B10,Preço_Orlagem!$A$18:$B$202,2,FALSE), ""))</f>
        <v/>
      </c>
      <c r="E10" s="421" t="str">
        <f t="shared" ca="1" si="0"/>
        <v/>
      </c>
      <c r="Z10" s="373" t="s">
        <v>1506</v>
      </c>
    </row>
    <row r="11" spans="2:26" ht="20.100000000000001" customHeight="1">
      <c r="B11" s="416"/>
      <c r="C11" s="420"/>
      <c r="D11" s="421" t="str">
        <f ca="1">IFERROR(VLOOKUP(B11,'Preços_Placas &amp; Seccionadora'!A:G,7,FALSE), IFERROR(VLOOKUP(B11,Preço_Orlagem!$A$18:$B$202,2,FALSE), ""))</f>
        <v/>
      </c>
      <c r="E11" s="421" t="str">
        <f t="shared" ca="1" si="0"/>
        <v/>
      </c>
      <c r="Z11" s="373" t="s">
        <v>1471</v>
      </c>
    </row>
    <row r="12" spans="2:26" ht="20.100000000000001" customHeight="1">
      <c r="B12" s="416"/>
      <c r="C12" s="420"/>
      <c r="D12" s="421" t="str">
        <f ca="1">IFERROR(VLOOKUP(B12,'Preços_Placas &amp; Seccionadora'!A:G,7,FALSE), IFERROR(VLOOKUP(B12,Preço_Orlagem!$A$18:$B$202,2,FALSE), ""))</f>
        <v/>
      </c>
      <c r="E12" s="421" t="str">
        <f t="shared" ca="1" si="0"/>
        <v/>
      </c>
      <c r="Z12" s="373" t="s">
        <v>1472</v>
      </c>
    </row>
    <row r="13" spans="2:26" ht="20.100000000000001" customHeight="1">
      <c r="B13" s="416"/>
      <c r="C13" s="420"/>
      <c r="D13" s="421" t="str">
        <f ca="1">IFERROR(VLOOKUP(B13,'Preços_Placas &amp; Seccionadora'!A:G,7,FALSE), IFERROR(VLOOKUP(B13,Preço_Orlagem!$A$18:$B$202,2,FALSE), ""))</f>
        <v/>
      </c>
      <c r="E13" s="421" t="str">
        <f t="shared" ca="1" si="0"/>
        <v/>
      </c>
      <c r="Z13" s="373" t="s">
        <v>1479</v>
      </c>
    </row>
    <row r="14" spans="2:26" ht="20.100000000000001" customHeight="1">
      <c r="B14" s="416"/>
      <c r="C14" s="420"/>
      <c r="D14" s="421" t="str">
        <f ca="1">IFERROR(VLOOKUP(B14,'Preços_Placas &amp; Seccionadora'!A:G,7,FALSE), IFERROR(VLOOKUP(B14,Preço_Orlagem!$A$18:$B$202,2,FALSE), ""))</f>
        <v/>
      </c>
      <c r="E14" s="421" t="str">
        <f t="shared" ca="1" si="0"/>
        <v/>
      </c>
      <c r="Z14" s="373" t="s">
        <v>1467</v>
      </c>
    </row>
    <row r="15" spans="2:26" ht="20.100000000000001" customHeight="1">
      <c r="B15" s="416"/>
      <c r="C15" s="420"/>
      <c r="D15" s="421" t="str">
        <f ca="1">IFERROR(VLOOKUP(B15,'Preços_Placas &amp; Seccionadora'!A:G,7,FALSE), IFERROR(VLOOKUP(B15,Preço_Orlagem!$A$18:$B$202,2,FALSE), ""))</f>
        <v/>
      </c>
      <c r="E15" s="421" t="str">
        <f t="shared" ca="1" si="0"/>
        <v/>
      </c>
      <c r="Z15" s="373" t="s">
        <v>1475</v>
      </c>
    </row>
    <row r="16" spans="2:26" ht="20.100000000000001" customHeight="1">
      <c r="B16" s="416"/>
      <c r="C16" s="420"/>
      <c r="D16" s="421" t="str">
        <f ca="1">IFERROR(VLOOKUP(B16,'Preços_Placas &amp; Seccionadora'!A:G,7,FALSE), IFERROR(VLOOKUP(B16,Preço_Orlagem!$A$18:$B$202,2,FALSE), ""))</f>
        <v/>
      </c>
      <c r="E16" s="421" t="str">
        <f t="shared" ca="1" si="0"/>
        <v/>
      </c>
      <c r="Z16" s="373" t="s">
        <v>1443</v>
      </c>
    </row>
    <row r="17" spans="2:26" ht="20.100000000000001" customHeight="1">
      <c r="B17" s="416"/>
      <c r="C17" s="420"/>
      <c r="D17" s="421" t="str">
        <f ca="1">IFERROR(VLOOKUP(B17,'Preços_Placas &amp; Seccionadora'!A:G,7,FALSE), IFERROR(VLOOKUP(B17,Preço_Orlagem!$A$18:$B$202,2,FALSE), ""))</f>
        <v/>
      </c>
      <c r="E17" s="421" t="str">
        <f t="shared" ca="1" si="0"/>
        <v/>
      </c>
      <c r="Z17" s="373" t="s">
        <v>1468</v>
      </c>
    </row>
    <row r="18" spans="2:26" ht="20.100000000000001" customHeight="1">
      <c r="B18" s="416"/>
      <c r="C18" s="420"/>
      <c r="D18" s="421" t="str">
        <f ca="1">IFERROR(VLOOKUP(B18,'Preços_Placas &amp; Seccionadora'!A:G,7,FALSE), IFERROR(VLOOKUP(B18,Preço_Orlagem!$A$18:$B$202,2,FALSE), ""))</f>
        <v/>
      </c>
      <c r="E18" s="421" t="str">
        <f t="shared" ca="1" si="0"/>
        <v/>
      </c>
      <c r="Z18" s="373" t="s">
        <v>1474</v>
      </c>
    </row>
    <row r="19" spans="2:26" ht="20.100000000000001" customHeight="1">
      <c r="B19" s="416"/>
      <c r="C19" s="420"/>
      <c r="D19" s="421" t="str">
        <f ca="1">IFERROR(VLOOKUP(B19,'Preços_Placas &amp; Seccionadora'!A:G,7,FALSE), IFERROR(VLOOKUP(B19,Preço_Orlagem!$A$18:$B$202,2,FALSE), ""))</f>
        <v/>
      </c>
      <c r="E19" s="421" t="str">
        <f t="shared" ca="1" si="0"/>
        <v/>
      </c>
      <c r="Z19" s="373" t="s">
        <v>1485</v>
      </c>
    </row>
    <row r="20" spans="2:26" ht="20.100000000000001" customHeight="1">
      <c r="B20" s="416"/>
      <c r="C20" s="420"/>
      <c r="D20" s="421" t="str">
        <f ca="1">IFERROR(VLOOKUP(B20,'Preços_Placas &amp; Seccionadora'!A:G,7,FALSE), IFERROR(VLOOKUP(B20,Preço_Orlagem!$A$18:$B$202,2,FALSE), ""))</f>
        <v/>
      </c>
      <c r="E20" s="421" t="str">
        <f t="shared" ca="1" si="0"/>
        <v/>
      </c>
      <c r="Z20" s="373" t="s">
        <v>1476</v>
      </c>
    </row>
    <row r="21" spans="2:26" ht="20.100000000000001" customHeight="1">
      <c r="B21" s="416"/>
      <c r="C21" s="420"/>
      <c r="D21" s="421" t="str">
        <f ca="1">IFERROR(VLOOKUP(B21,'Preços_Placas &amp; Seccionadora'!A:G,7,FALSE), IFERROR(VLOOKUP(B21,Preço_Orlagem!$A$18:$B$202,2,FALSE), ""))</f>
        <v/>
      </c>
      <c r="E21" s="421" t="str">
        <f t="shared" ca="1" si="0"/>
        <v/>
      </c>
      <c r="Z21" s="373" t="s">
        <v>1466</v>
      </c>
    </row>
    <row r="22" spans="2:26" ht="20.100000000000001" customHeight="1">
      <c r="B22" s="416"/>
      <c r="C22" s="420"/>
      <c r="D22" s="421" t="str">
        <f ca="1">IFERROR(VLOOKUP(B22,'Preços_Placas &amp; Seccionadora'!A:G,7,FALSE), IFERROR(VLOOKUP(B22,Preço_Orlagem!$A$18:$B$202,2,FALSE), ""))</f>
        <v/>
      </c>
      <c r="E22" s="421" t="str">
        <f t="shared" ca="1" si="0"/>
        <v/>
      </c>
      <c r="Z22" s="373" t="s">
        <v>1482</v>
      </c>
    </row>
    <row r="23" spans="2:26" ht="20.100000000000001" customHeight="1">
      <c r="B23" s="416"/>
      <c r="C23" s="420"/>
      <c r="D23" s="421" t="str">
        <f ca="1">IFERROR(VLOOKUP(B23,'Preços_Placas &amp; Seccionadora'!A:G,7,FALSE), IFERROR(VLOOKUP(B23,Preço_Orlagem!$A$18:$B$202,2,FALSE), ""))</f>
        <v/>
      </c>
      <c r="E23" s="421" t="str">
        <f t="shared" ca="1" si="0"/>
        <v/>
      </c>
      <c r="Z23" s="373" t="s">
        <v>1478</v>
      </c>
    </row>
    <row r="24" spans="2:26" ht="20.100000000000001" customHeight="1">
      <c r="B24" s="416"/>
      <c r="C24" s="420"/>
      <c r="D24" s="421" t="str">
        <f ca="1">IFERROR(VLOOKUP(B24,'Preços_Placas &amp; Seccionadora'!A:G,7,FALSE), IFERROR(VLOOKUP(B24,Preço_Orlagem!$A$18:$B$202,2,FALSE), ""))</f>
        <v/>
      </c>
      <c r="E24" s="421" t="str">
        <f t="shared" ca="1" si="0"/>
        <v/>
      </c>
      <c r="Z24" s="373" t="s">
        <v>1444</v>
      </c>
    </row>
    <row r="25" spans="2:26" ht="20.100000000000001" customHeight="1">
      <c r="B25" s="416"/>
      <c r="C25" s="420"/>
      <c r="D25" s="421" t="str">
        <f ca="1">IFERROR(VLOOKUP(B25,'Preços_Placas &amp; Seccionadora'!A:G,7,FALSE), IFERROR(VLOOKUP(B25,Preço_Orlagem!$A$18:$B$202,2,FALSE), ""))</f>
        <v/>
      </c>
      <c r="E25" s="421" t="str">
        <f t="shared" ca="1" si="0"/>
        <v/>
      </c>
      <c r="Z25" s="373" t="s">
        <v>1520</v>
      </c>
    </row>
    <row r="26" spans="2:26" ht="20.100000000000001" customHeight="1">
      <c r="B26" s="416"/>
      <c r="C26" s="420"/>
      <c r="D26" s="421" t="str">
        <f ca="1">IFERROR(VLOOKUP(B26,'Preços_Placas &amp; Seccionadora'!A:G,7,FALSE), IFERROR(VLOOKUP(B26,Preço_Orlagem!$A$18:$B$202,2,FALSE), ""))</f>
        <v/>
      </c>
      <c r="E26" s="421" t="str">
        <f t="shared" ca="1" si="0"/>
        <v/>
      </c>
      <c r="Z26" s="373" t="s">
        <v>1480</v>
      </c>
    </row>
    <row r="27" spans="2:26" ht="20.100000000000001" customHeight="1">
      <c r="B27" s="416"/>
      <c r="C27" s="420"/>
      <c r="D27" s="421" t="str">
        <f ca="1">IFERROR(VLOOKUP(B27,'Preços_Placas &amp; Seccionadora'!A:G,7,FALSE), IFERROR(VLOOKUP(B27,Preço_Orlagem!$A$18:$B$202,2,FALSE), ""))</f>
        <v/>
      </c>
      <c r="E27" s="421" t="str">
        <f t="shared" ca="1" si="0"/>
        <v/>
      </c>
      <c r="Z27" s="373" t="s">
        <v>1430</v>
      </c>
    </row>
    <row r="28" spans="2:26" ht="20.100000000000001" customHeight="1">
      <c r="B28" s="416"/>
      <c r="C28" s="420"/>
      <c r="D28" s="421" t="str">
        <f ca="1">IFERROR(VLOOKUP(B28,'Preços_Placas &amp; Seccionadora'!A:G,7,FALSE), IFERROR(VLOOKUP(B28,Preço_Orlagem!$A$18:$B$202,2,FALSE), ""))</f>
        <v/>
      </c>
      <c r="E28" s="421" t="str">
        <f t="shared" ca="1" si="0"/>
        <v/>
      </c>
      <c r="Z28" s="373" t="s">
        <v>1481</v>
      </c>
    </row>
    <row r="29" spans="2:26" ht="20.100000000000001" customHeight="1">
      <c r="B29" s="416"/>
      <c r="C29" s="420"/>
      <c r="D29" s="421" t="str">
        <f ca="1">IFERROR(VLOOKUP(B29,'Preços_Placas &amp; Seccionadora'!A:G,7,FALSE), IFERROR(VLOOKUP(B29,Preço_Orlagem!$A$18:$B$202,2,FALSE), ""))</f>
        <v/>
      </c>
      <c r="E29" s="421" t="str">
        <f t="shared" ca="1" si="0"/>
        <v/>
      </c>
      <c r="Z29" s="373" t="s">
        <v>1431</v>
      </c>
    </row>
    <row r="30" spans="2:26" ht="20.100000000000001" customHeight="1">
      <c r="B30" s="416"/>
      <c r="C30" s="420"/>
      <c r="D30" s="421" t="str">
        <f ca="1">IFERROR(VLOOKUP(B30,'Preços_Placas &amp; Seccionadora'!A:G,7,FALSE), IFERROR(VLOOKUP(B30,Preço_Orlagem!$A$18:$B$202,2,FALSE), ""))</f>
        <v/>
      </c>
      <c r="E30" s="421" t="str">
        <f t="shared" ca="1" si="0"/>
        <v/>
      </c>
      <c r="Z30" s="373" t="s">
        <v>1432</v>
      </c>
    </row>
    <row r="31" spans="2:26" ht="20.100000000000001" customHeight="1">
      <c r="B31" s="416"/>
      <c r="C31" s="420"/>
      <c r="D31" s="421" t="str">
        <f ca="1">IFERROR(VLOOKUP(B31,'Preços_Placas &amp; Seccionadora'!A:G,7,FALSE), IFERROR(VLOOKUP(B31,Preço_Orlagem!$A$18:$B$202,2,FALSE), ""))</f>
        <v/>
      </c>
      <c r="E31" s="421" t="str">
        <f t="shared" ca="1" si="0"/>
        <v/>
      </c>
      <c r="Z31" s="373" t="s">
        <v>1433</v>
      </c>
    </row>
    <row r="32" spans="2:26" ht="20.100000000000001" customHeight="1">
      <c r="B32" s="416"/>
      <c r="C32" s="420"/>
      <c r="D32" s="421" t="str">
        <f ca="1">IFERROR(VLOOKUP(B32,'Preços_Placas &amp; Seccionadora'!A:G,7,FALSE), IFERROR(VLOOKUP(B32,Preço_Orlagem!$A$18:$B$202,2,FALSE), ""))</f>
        <v/>
      </c>
      <c r="E32" s="421" t="str">
        <f t="shared" ca="1" si="0"/>
        <v/>
      </c>
      <c r="Z32" s="373" t="s">
        <v>338</v>
      </c>
    </row>
    <row r="33" spans="2:26" ht="20.100000000000001" customHeight="1">
      <c r="B33" s="416"/>
      <c r="C33" s="420"/>
      <c r="D33" s="421" t="str">
        <f ca="1">IFERROR(VLOOKUP(B33,'Preços_Placas &amp; Seccionadora'!A:G,7,FALSE), IFERROR(VLOOKUP(B33,Preço_Orlagem!$A$18:$B$202,2,FALSE), ""))</f>
        <v/>
      </c>
      <c r="E33" s="421" t="str">
        <f t="shared" ca="1" si="0"/>
        <v/>
      </c>
      <c r="Z33" s="373" t="s">
        <v>342</v>
      </c>
    </row>
    <row r="34" spans="2:26" ht="20.100000000000001" customHeight="1">
      <c r="B34" s="416"/>
      <c r="C34" s="420"/>
      <c r="D34" s="421" t="str">
        <f ca="1">IFERROR(VLOOKUP(B34,'Preços_Placas &amp; Seccionadora'!A:G,7,FALSE), IFERROR(VLOOKUP(B34,Preço_Orlagem!$A$18:$B$202,2,FALSE), ""))</f>
        <v/>
      </c>
      <c r="E34" s="421" t="str">
        <f t="shared" ca="1" si="0"/>
        <v/>
      </c>
      <c r="Z34" s="373" t="s">
        <v>1434</v>
      </c>
    </row>
    <row r="35" spans="2:26" ht="20.100000000000001" customHeight="1">
      <c r="B35" s="416"/>
      <c r="C35" s="420"/>
      <c r="D35" s="421" t="str">
        <f ca="1">IFERROR(VLOOKUP(B35,'Preços_Placas &amp; Seccionadora'!A:G,7,FALSE), IFERROR(VLOOKUP(B35,Preço_Orlagem!$A$18:$B$202,2,FALSE), ""))</f>
        <v/>
      </c>
      <c r="E35" s="421" t="str">
        <f t="shared" ca="1" si="0"/>
        <v/>
      </c>
      <c r="Z35" s="373" t="s">
        <v>1575</v>
      </c>
    </row>
    <row r="36" spans="2:26" ht="20.100000000000001" customHeight="1">
      <c r="B36" s="416"/>
      <c r="C36" s="420"/>
      <c r="D36" s="421" t="str">
        <f ca="1">IFERROR(VLOOKUP(B36,'Preços_Placas &amp; Seccionadora'!A:G,7,FALSE), IFERROR(VLOOKUP(B36,Preço_Orlagem!$A$18:$B$202,2,FALSE), ""))</f>
        <v/>
      </c>
      <c r="E36" s="421" t="str">
        <f t="shared" ca="1" si="0"/>
        <v/>
      </c>
      <c r="Z36" s="373" t="s">
        <v>1591</v>
      </c>
    </row>
    <row r="37" spans="2:26" ht="20.100000000000001" customHeight="1">
      <c r="B37" s="416"/>
      <c r="C37" s="420"/>
      <c r="D37" s="421" t="str">
        <f ca="1">IFERROR(VLOOKUP(B37,'Preços_Placas &amp; Seccionadora'!A:G,7,FALSE), IFERROR(VLOOKUP(B37,Preço_Orlagem!$A$18:$B$202,2,FALSE), ""))</f>
        <v/>
      </c>
      <c r="E37" s="421" t="str">
        <f t="shared" ca="1" si="0"/>
        <v/>
      </c>
      <c r="Z37" s="373" t="s">
        <v>1438</v>
      </c>
    </row>
    <row r="38" spans="2:26" ht="20.100000000000001" customHeight="1">
      <c r="B38" s="416"/>
      <c r="C38" s="420"/>
      <c r="D38" s="421" t="str">
        <f ca="1">IFERROR(VLOOKUP(B38,'Preços_Placas &amp; Seccionadora'!A:G,7,FALSE), IFERROR(VLOOKUP(B38,Preço_Orlagem!$A$18:$B$202,2,FALSE), ""))</f>
        <v/>
      </c>
      <c r="E38" s="421" t="str">
        <f t="shared" ca="1" si="0"/>
        <v/>
      </c>
      <c r="Z38" s="373" t="s">
        <v>1455</v>
      </c>
    </row>
    <row r="39" spans="2:26" ht="20.100000000000001" customHeight="1">
      <c r="B39" s="416"/>
      <c r="C39" s="420"/>
      <c r="D39" s="421" t="str">
        <f ca="1">IFERROR(VLOOKUP(B39,'Preços_Placas &amp; Seccionadora'!A:G,7,FALSE), IFERROR(VLOOKUP(B39,Preço_Orlagem!$A$18:$B$202,2,FALSE), ""))</f>
        <v/>
      </c>
      <c r="E39" s="421" t="str">
        <f t="shared" ca="1" si="0"/>
        <v/>
      </c>
      <c r="Z39" s="373" t="s">
        <v>1445</v>
      </c>
    </row>
    <row r="40" spans="2:26" ht="20.100000000000001" customHeight="1">
      <c r="B40" s="416"/>
      <c r="C40" s="420"/>
      <c r="D40" s="421" t="str">
        <f ca="1">IFERROR(VLOOKUP(B40,'Preços_Placas &amp; Seccionadora'!A:G,7,FALSE), IFERROR(VLOOKUP(B40,Preço_Orlagem!$A$18:$B$202,2,FALSE), ""))</f>
        <v/>
      </c>
      <c r="E40" s="421" t="str">
        <f t="shared" ca="1" si="0"/>
        <v/>
      </c>
      <c r="Z40" s="373" t="s">
        <v>1446</v>
      </c>
    </row>
    <row r="41" spans="2:26">
      <c r="Z41" s="373" t="s">
        <v>1435</v>
      </c>
    </row>
    <row r="42" spans="2:26">
      <c r="D42" s="422" t="s">
        <v>1604</v>
      </c>
      <c r="E42" s="423">
        <f ca="1">SUM(E9:E40)</f>
        <v>0</v>
      </c>
      <c r="Z42" s="373" t="s">
        <v>1517</v>
      </c>
    </row>
    <row r="43" spans="2:26">
      <c r="Z43" s="373" t="s">
        <v>1484</v>
      </c>
    </row>
    <row r="44" spans="2:26">
      <c r="Z44" s="373" t="s">
        <v>1590</v>
      </c>
    </row>
    <row r="45" spans="2:26">
      <c r="Z45" s="373" t="s">
        <v>1512</v>
      </c>
    </row>
    <row r="46" spans="2:26">
      <c r="Z46" s="373" t="s">
        <v>1490</v>
      </c>
    </row>
    <row r="47" spans="2:26">
      <c r="Z47" s="373" t="s">
        <v>1499</v>
      </c>
    </row>
    <row r="48" spans="2:26">
      <c r="Z48" s="373" t="s">
        <v>1516</v>
      </c>
    </row>
    <row r="49" spans="26:26">
      <c r="Z49" s="373" t="s">
        <v>1580</v>
      </c>
    </row>
    <row r="50" spans="26:26">
      <c r="Z50" s="373" t="s">
        <v>1587</v>
      </c>
    </row>
    <row r="51" spans="26:26">
      <c r="Z51" s="373" t="s">
        <v>1582</v>
      </c>
    </row>
    <row r="52" spans="26:26">
      <c r="Z52" s="373" t="s">
        <v>1491</v>
      </c>
    </row>
    <row r="53" spans="26:26">
      <c r="Z53" s="373" t="s">
        <v>1500</v>
      </c>
    </row>
    <row r="54" spans="26:26">
      <c r="Z54" s="373" t="s">
        <v>1497</v>
      </c>
    </row>
    <row r="55" spans="26:26">
      <c r="Z55" s="373" t="s">
        <v>1514</v>
      </c>
    </row>
    <row r="56" spans="26:26">
      <c r="Z56" s="373" t="s">
        <v>1486</v>
      </c>
    </row>
    <row r="57" spans="26:26">
      <c r="Z57" s="373" t="s">
        <v>1507</v>
      </c>
    </row>
    <row r="58" spans="26:26">
      <c r="Z58" s="373" t="s">
        <v>1509</v>
      </c>
    </row>
    <row r="59" spans="26:26">
      <c r="Z59" s="373" t="s">
        <v>1498</v>
      </c>
    </row>
    <row r="60" spans="26:26">
      <c r="Z60" s="373" t="s">
        <v>1488</v>
      </c>
    </row>
    <row r="61" spans="26:26">
      <c r="Z61" s="373" t="s">
        <v>1510</v>
      </c>
    </row>
    <row r="62" spans="26:26">
      <c r="Z62" s="373" t="s">
        <v>1440</v>
      </c>
    </row>
    <row r="63" spans="26:26">
      <c r="Z63" s="373" t="s">
        <v>1448</v>
      </c>
    </row>
    <row r="64" spans="26:26">
      <c r="Z64" s="373" t="s">
        <v>1449</v>
      </c>
    </row>
    <row r="65" spans="26:26">
      <c r="Z65" s="373" t="s">
        <v>1437</v>
      </c>
    </row>
    <row r="66" spans="26:26">
      <c r="Z66" s="373" t="s">
        <v>1462</v>
      </c>
    </row>
    <row r="67" spans="26:26">
      <c r="Z67" s="373" t="s">
        <v>1439</v>
      </c>
    </row>
    <row r="68" spans="26:26">
      <c r="Z68" s="373" t="s">
        <v>1447</v>
      </c>
    </row>
    <row r="69" spans="26:26">
      <c r="Z69" s="373" t="s">
        <v>1436</v>
      </c>
    </row>
    <row r="70" spans="26:26">
      <c r="Z70" s="373" t="s">
        <v>1453</v>
      </c>
    </row>
    <row r="71" spans="26:26">
      <c r="Z71" s="373" t="s">
        <v>1441</v>
      </c>
    </row>
    <row r="72" spans="26:26">
      <c r="Z72" s="373" t="s">
        <v>1442</v>
      </c>
    </row>
    <row r="73" spans="26:26">
      <c r="Z73" s="373" t="s">
        <v>1454</v>
      </c>
    </row>
    <row r="74" spans="26:26">
      <c r="Z74" s="373" t="s">
        <v>1452</v>
      </c>
    </row>
    <row r="75" spans="26:26">
      <c r="Z75" s="373" t="s">
        <v>1451</v>
      </c>
    </row>
    <row r="76" spans="26:26">
      <c r="Z76" s="373" t="s">
        <v>1450</v>
      </c>
    </row>
    <row r="77" spans="26:26">
      <c r="Z77" s="373" t="s">
        <v>1589</v>
      </c>
    </row>
    <row r="78" spans="26:26">
      <c r="Z78" s="373" t="s">
        <v>1504</v>
      </c>
    </row>
    <row r="79" spans="26:26">
      <c r="Z79" s="373" t="s">
        <v>1489</v>
      </c>
    </row>
    <row r="80" spans="26:26">
      <c r="Z80" s="373" t="s">
        <v>1487</v>
      </c>
    </row>
    <row r="81" spans="26:26">
      <c r="Z81" s="373" t="s">
        <v>1318</v>
      </c>
    </row>
    <row r="82" spans="26:26">
      <c r="Z82" s="373" t="s">
        <v>58</v>
      </c>
    </row>
    <row r="83" spans="26:26">
      <c r="Z83" s="373" t="s">
        <v>60</v>
      </c>
    </row>
    <row r="84" spans="26:26">
      <c r="Z84" s="373" t="s">
        <v>59</v>
      </c>
    </row>
    <row r="85" spans="26:26">
      <c r="Z85" s="373" t="s">
        <v>57</v>
      </c>
    </row>
    <row r="86" spans="26:26">
      <c r="Z86" s="373" t="s">
        <v>109</v>
      </c>
    </row>
    <row r="87" spans="26:26">
      <c r="Z87" s="373" t="s">
        <v>62</v>
      </c>
    </row>
    <row r="88" spans="26:26">
      <c r="Z88" s="373" t="s">
        <v>61</v>
      </c>
    </row>
    <row r="89" spans="26:26">
      <c r="Z89" s="373" t="s">
        <v>1469</v>
      </c>
    </row>
    <row r="90" spans="26:26">
      <c r="Z90" s="373" t="s">
        <v>1470</v>
      </c>
    </row>
    <row r="91" spans="26:26">
      <c r="Z91" s="373" t="s">
        <v>56</v>
      </c>
    </row>
    <row r="92" spans="26:26">
      <c r="Z92" s="373" t="s">
        <v>1313</v>
      </c>
    </row>
    <row r="93" spans="26:26">
      <c r="Z93" s="373" t="s">
        <v>1495</v>
      </c>
    </row>
    <row r="94" spans="26:26">
      <c r="Z94" s="373" t="s">
        <v>1511</v>
      </c>
    </row>
    <row r="95" spans="26:26">
      <c r="Z95" s="373" t="s">
        <v>1505</v>
      </c>
    </row>
    <row r="96" spans="26:26">
      <c r="Z96" s="373" t="s">
        <v>1508</v>
      </c>
    </row>
    <row r="97" spans="26:26">
      <c r="Z97" s="373" t="s">
        <v>1496</v>
      </c>
    </row>
    <row r="98" spans="26:26">
      <c r="Z98" s="373" t="s">
        <v>1501</v>
      </c>
    </row>
    <row r="99" spans="26:26">
      <c r="Z99" s="373" t="s">
        <v>1519</v>
      </c>
    </row>
    <row r="100" spans="26:26">
      <c r="Z100" s="373" t="s">
        <v>1465</v>
      </c>
    </row>
  </sheetData>
  <sortState xmlns:xlrd2="http://schemas.microsoft.com/office/spreadsheetml/2017/richdata2" ref="Z1:Z100">
    <sortCondition ref="Z1"/>
  </sortState>
  <dataValidations count="1">
    <dataValidation type="list" errorStyle="warning" allowBlank="1" showInputMessage="1" sqref="B9:B40" xr:uid="{6D9F40ED-555C-4894-A61A-BEB885DB1EDD}">
      <formula1>$Z$1:$Z$100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1" r:id="rId3" name="CaixaPesquisa">
          <controlPr defaultSize="0" autoLine="0" r:id="rId4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28575</xdr:rowOff>
              </to>
            </anchor>
          </controlPr>
        </control>
      </mc:Choice>
      <mc:Fallback>
        <control shapeId="37891" r:id="rId3" name="CaixaPesquis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25</vt:i4>
      </vt:variant>
    </vt:vector>
  </HeadingPairs>
  <TitlesOfParts>
    <vt:vector size="25" baseType="lpstr">
      <vt:lpstr>Instruções</vt:lpstr>
      <vt:lpstr>Orçamento_Final</vt:lpstr>
      <vt:lpstr>Orçamento_Final (2)</vt:lpstr>
      <vt:lpstr>Orçamento_Cozinhas</vt:lpstr>
      <vt:lpstr>Caixote_Custo</vt:lpstr>
      <vt:lpstr>Base_Fornecedores Madeiras</vt:lpstr>
      <vt:lpstr>Preços_Placas &amp; Seccionadora</vt:lpstr>
      <vt:lpstr>Preço_Orlagem</vt:lpstr>
      <vt:lpstr>Preço_Pintura</vt:lpstr>
      <vt:lpstr>Preço_Tipo de Trabalho</vt:lpstr>
      <vt:lpstr>Base_Fornecedores Extras</vt:lpstr>
      <vt:lpstr>Preço_Puxadores</vt:lpstr>
      <vt:lpstr>Preço_Rodapés</vt:lpstr>
      <vt:lpstr>Preço_Acessórios Cozinha</vt:lpstr>
      <vt:lpstr>Preço_Cestos Lixo</vt:lpstr>
      <vt:lpstr>Preço_Perfis e Fitas LED</vt:lpstr>
      <vt:lpstr>Preços_Tomadas</vt:lpstr>
      <vt:lpstr>Preços_Pés, Fixação e Organiza.</vt:lpstr>
      <vt:lpstr>Preços_Gavetas</vt:lpstr>
      <vt:lpstr>Preço_Sistema Abertura Portas</vt:lpstr>
      <vt:lpstr>Preço_Acessórios Roupeiro</vt:lpstr>
      <vt:lpstr>Glossário de Apoio - Placas</vt:lpstr>
      <vt:lpstr>Informações Adicionais - Placas</vt:lpstr>
      <vt:lpstr>Informações Adicionais- Pintura</vt:lpstr>
      <vt:lpstr>Orçamento_Revenda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Silwood Lda</cp:lastModifiedBy>
  <cp:lastPrinted>2026-07-03T13:11:38Z</cp:lastPrinted>
  <dcterms:created xsi:type="dcterms:W3CDTF">2026-05-12T11:30:45Z</dcterms:created>
  <dcterms:modified xsi:type="dcterms:W3CDTF">2026-07-22T10:27:47Z</dcterms:modified>
</cp:coreProperties>
</file>