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53f92fc71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AD_ME" sheetId="1" r:id="R43c966c1feb549e6"/>
    <x:sheet xmlns:r="http://schemas.openxmlformats.org/officeDocument/2006/relationships" name="02_INPUTS" sheetId="2" r:id="R930b534ea25d4430"/>
    <x:sheet xmlns:r="http://schemas.openxmlformats.org/officeDocument/2006/relationships" name="04_SERIES_SHUNT" sheetId="3" r:id="R63dfa74f15fd45a8"/>
    <x:sheet xmlns:r="http://schemas.openxmlformats.org/officeDocument/2006/relationships" name="05_COMPARISON" sheetId="4" r:id="R4b08b140317a43cd"/>
  </x:sheets>
</x:workbook>
</file>

<file path=xl/sharedStrings.xml><?xml version="1.0" encoding="utf-8"?>
<x:sst xmlns:x="http://schemas.openxmlformats.org/spreadsheetml/2006/main">
  <x:si>
    <x:t xml:space="preserve">HF SP2T RF SWITCH — HOW TO READ THIS WORKBOOK (NO INDUCTORS)</x:t>
  </x:si>
  <x:si>
    <x:t xml:space="preserve">SELECTED / ACTIVE BRANCH</x:t>
  </x:si>
  <x:si>
    <x:t xml:space="preserve">UNSELECTED / INACTIVE BRANCH</x:t>
  </x:si>
  <x:si>
    <x:t xml:space="preserve">COMMON</x:t>
  </x:si>
  <x:si>
    <x:t xml:space="preserve">→</x:t>
  </x:si>
  <x:si>
    <x:t xml:space="preserve">Series MOSFET pair ON</x:t>
  </x:si>
  <x:si>
    <x:t xml:space="preserve">RF NODE</x:t>
  </x:si>
  <x:si>
    <x:t xml:space="preserve">→ 50 Ω TARGET</x:t>
  </x:si>
  <x:si>
    <x:t xml:space="preserve">Series pair OFF</x:t>
  </x:si>
  <x:si>
    <x:t xml:space="preserve">B NODE</x:t>
  </x:si>
  <x:si>
    <x:t xml:space="preserve">Rseries = 0.318 Ω</x:t>
  </x:si>
  <x:si>
    <x:t xml:space="preserve">│</x:t>
  </x:si>
  <x:si>
    <x:t xml:space="preserve">Cseries = 18 pF</x:t>
  </x:si>
  <x:si>
    <x:t xml:space="preserve">├→ 50 Ω WRONG PORT</x:t>
  </x:si>
  <x:si>
    <x:t xml:space="preserve">↓</x:t>
  </x:si>
  <x:si>
    <x:t xml:space="preserve">Shunt pair OFF</x:t>
  </x:si>
  <x:si>
    <x:t xml:space="preserve">└→ Shunt pair ON</x:t>
  </x:si>
  <x:si>
    <x:t xml:space="preserve">Cshunt = 4.5 pF → GND</x:t>
  </x:si>
  <x:si>
    <x:t xml:space="preserve">Rshunt = 8.4 Ω → GND</x:t>
  </x:si>
  <x:si>
    <x:t xml:space="preserve">Core question 1 — ACTIVE BRANCH: Of the 1300 W available RF power, how much reaches the selected 50 Ω load? The ON series MOSFETs create real I²R loss. The OFF shunt MOSFET pair does not disappear: its effective capacitance loads the RF node, changes the input match, and therefore increases reflected power.</x:t>
  </x:si>
  <x:si>
    <x:t xml:space="preserve">Core question 2 — INACTIVE BRANCH: The OFF series MOSFET pair leaks RF through its effective Coff. At the B node this leakage sees two parallel paths: 50 Ω wrong-port load and the ON shunt MOSFET pair. The shunt pair pulls the B-node voltage down; only a small fraction reaches the wrong port.</x:t>
  </x:si>
  <x:si>
    <x:t xml:space="preserve">DESIGN INPUTS — EDIT BLUE CELLS TO RUN A NEW CASE</x:t>
  </x:si>
  <x:si>
    <x:t xml:space="preserve">Parameter</x:t>
  </x:si>
  <x:si>
    <x:t xml:space="preserve">Value</x:t>
  </x:si>
  <x:si>
    <x:t xml:space="preserve">Unit</x:t>
  </x:si>
  <x:si>
    <x:t xml:space="preserve">Used for</x:t>
  </x:si>
  <x:si>
    <x:t xml:space="preserve">Part / basis</x:t>
  </x:si>
  <x:si>
    <x:t xml:space="preserve">Source / note</x:t>
  </x:si>
  <x:si>
    <x:t xml:space="preserve">Editable?</x:t>
  </x:si>
  <x:si>
    <x:t xml:space="preserve">Available RF power</x:t>
  </x:si>
  <x:si>
    <x:t xml:space="preserve">W</x:t>
  </x:si>
  <x:si>
    <x:t xml:space="preserve">Source</x:t>
  </x:si>
  <x:si>
    <x:t xml:space="preserve">Project requirement</x:t>
  </x:si>
  <x:si>
    <x:t xml:space="preserve">Incident / available RF power</x:t>
  </x:si>
  <x:si>
    <x:t xml:space="preserve">YES</x:t>
  </x:si>
  <x:si>
    <x:t xml:space="preserve">System impedance Z0</x:t>
  </x:si>
  <x:si>
    <x:t xml:space="preserve">Ω</x:t>
  </x:si>
  <x:si>
    <x:t xml:space="preserve">All ports</x:t>
  </x:si>
  <x:si>
    <x:t xml:space="preserve">50 Ω system</x:t>
  </x:si>
  <x:si>
    <x:t xml:space="preserve">Series ON pair R @ hot</x:t>
  </x:si>
  <x:si>
    <x:t xml:space="preserve">Selected branch</x:t>
  </x:si>
  <x:si>
    <x:t xml:space="preserve">2 × IMZC120R078M2H @ 150°C typ</x:t>
  </x:si>
  <x:si>
    <x:t xml:space="preserve">2 × 159 mΩ</x:t>
  </x:si>
  <x:si>
    <x:t xml:space="preserve">Series OFF effective C</x:t>
  </x:si>
  <x:si>
    <x:t xml:space="preserve">pF</x:t>
  </x:si>
  <x:si>
    <x:t xml:space="preserve">Unselected branch</x:t>
  </x:si>
  <x:si>
    <x:t xml:space="preserve">IMZC120R078M2H B2B + practical parasitics</x:t>
  </x:si>
  <x:si>
    <x:t xml:space="preserve">User final design basis</x:t>
  </x:si>
  <x:si>
    <x:t xml:space="preserve">Shunt OFF effective C</x:t>
  </x:si>
  <x:si>
    <x:t xml:space="preserve">STD2N95K5 B2B Coss/2; Coss≈9 pF at VDS=100 V, 1 MHz</x:t>
  </x:si>
  <x:si>
    <x:t xml:space="preserve">Low-Coff shunt choice</x:t>
  </x:si>
  <x:si>
    <x:t xml:space="preserve">Shunt ON pair R @ 25°C typ</x:t>
  </x:si>
  <x:si>
    <x:t xml:space="preserve">2 × STD2N95K5 @ 25°C typ</x:t>
  </x:si>
  <x:si>
    <x:t xml:space="preserve">2 × 4.2 Ω typ. (8.4 Ω pair)</x:t>
  </x:si>
  <x:si>
    <x:t xml:space="preserve">Series inductance</x:t>
  </x:si>
  <x:si>
    <x:t xml:space="preserve">nH</x:t>
  </x:si>
  <x:si>
    <x:t xml:space="preserve">Both designs</x:t>
  </x:si>
  <x:si>
    <x:t xml:space="preserve">None in this revision</x:t>
  </x:si>
  <x:si>
    <x:t xml:space="preserve">Intentionally excluded</x:t>
  </x:si>
  <x:si>
    <x:t xml:space="preserve">NO</x:t>
  </x:si>
  <x:si>
    <x:t xml:space="preserve">Shunt path inductance</x:t>
  </x:si>
  <x:si>
    <x:t xml:space="preserve">Series-shunt design</x:t>
  </x:si>
  <x:si>
    <x:t xml:space="preserve">Frequency set</x:t>
  </x:si>
  <x:si>
    <x:t xml:space="preserve">f1</x:t>
  </x:si>
  <x:si>
    <x:t xml:space="preserve">MHz</x:t>
  </x:si>
  <x:si>
    <x:t xml:space="preserve">f2</x:t>
  </x:si>
  <x:si>
    <x:t xml:space="preserve">f3</x:t>
  </x:si>
  <x:si>
    <x:t xml:space="preserve">f4</x:t>
  </x:si>
  <x:si>
    <x:t xml:space="preserve">f5</x:t>
  </x:si>
  <x:si>
    <x:t xml:space="preserve">f6</x:t>
  </x:si>
  <x:si>
    <x:t xml:space="preserve">f7</x:t>
  </x:si>
  <x:si>
    <x:t xml:space="preserve">Selected MOSFETs used in this workbook: SERIES path = Infineon IMZC120R078M2H. SHUNT path = ST STD2N95K5; simplified OFF capacitance uses Coss ≈ 9 pF at VDS=100 V, 1 MHz (B2B equivalent 4.5 pF). Shunt ON pair uses 2 × 4.2 Ω typical at 25 °C (8.4 Ω total), and does not carry the main through-current in normal operation. Series RF model B6 uses 159 mΩ typical per device at 150 °C (0.318 Ω pair). Separate conservative thermal case: 204 mΩ maximum per device at 150 °C × I² = 26 A² × 1.25 margin = 6.63 W/device (13.26 W/pair). Source: https://www.infineon.com/assets/row/public/documents/60/49/infineon-imzc120r078m2h-datasheet-en.pdf</x:t>
  </x:si>
  <x:si>
    <x:t xml:space="preserve">Reference URL</x:t>
  </x:si>
  <x:si>
    <x:t xml:space="preserve">IMZC120R078M2H</x:t>
  </x:si>
  <x:si>
    <x:t xml:space="preserve">https://www.infineon.com/part/IMZC120R078M2H</x:t>
  </x:si>
  <x:si>
    <x:t xml:space="preserve">STD2N95K5</x:t>
  </x:si>
  <x:si>
    <x:t xml:space="preserve">https://www.st.com/resource/en/datasheet/std2n95k5.pdf</x:t>
  </x:si>
  <x:si>
    <x:t xml:space="preserve">KERAFOL SOFTTHERM 86/238 — INSULATION PAD / RF CAPACITANCE</x:t>
  </x:si>
  <x:si>
    <x:t xml:space="preserve">Basis</x:t>
  </x:si>
  <x:si>
    <x:t xml:space="preserve">Relative permittivity εr</x:t>
  </x:si>
  <x:si>
    <x:t xml:space="preserve">approximate</x:t>
  </x:si>
  <x:si>
    <x:t xml:space="preserve">Effective overlapping area</x:t>
  </x:si>
  <x:si>
    <x:t xml:space="preserve">mm²</x:t>
  </x:si>
  <x:si>
    <x:t xml:space="preserve">estimated model geometry</x:t>
  </x:si>
  <x:si>
    <x:t xml:space="preserve">Thermal conductivity</x:t>
  </x:si>
  <x:si>
    <x:t xml:space="preserve">W/(m·K)</x:t>
  </x:si>
  <x:si>
    <x:t xml:space="preserve">MOSFET Coss (each)</x:t>
  </x:si>
  <x:si>
    <x:t xml:space="preserve">IMZC120R078M2H; VDS-dependent</x:t>
  </x:si>
  <x:si>
    <x:t xml:space="preserve">B2B MOSFET effective C</x:t>
  </x:si>
  <x:si>
    <x:t xml:space="preserve">28 pF / 2</x:t>
  </x:si>
  <x:si>
    <x:t xml:space="preserve">Selected pad thickness</x:t>
  </x:si>
  <x:si>
    <x:t xml:space="preserve">mm</x:t>
  </x:si>
  <x:si>
    <x:t xml:space="preserve">change to 0.5 / 1 / 1.5 / 2</x:t>
  </x:si>
  <x:si>
    <x:t xml:space="preserve">Pad C (selected)</x:t>
  </x:si>
  <x:si>
    <x:t xml:space="preserve">ε0 × εr × area / thickness</x:t>
  </x:si>
  <x:si>
    <x:t xml:space="preserve">Total OFF C (selected)</x:t>
  </x:si>
  <x:si>
    <x:t xml:space="preserve">14 pF + pad C; simplified assumption</x:t>
  </x:si>
  <x:si>
    <x:t xml:space="preserve">PAD THICKNESS SENSITIVITY</x:t>
  </x:si>
  <x:si>
    <x:t xml:space="preserve">Pad C (pF)</x:t>
  </x:si>
  <x:si>
    <x:t xml:space="preserve">Total OFF C (pF)</x:t>
  </x:si>
  <x:si>
    <x:t xml:space="preserve">Thermal resistance relative to 2 mm</x:t>
  </x:si>
  <x:si>
    <x:t xml:space="preserve">NOTE: Pad-to-heatsink C may not directly add to OFF C; validate circuit topology and parasitics.</x:t>
  </x:si>
  <x:si>
    <x:t xml:space="preserve">NEW DESIGN — SERIES-SHUNT SP2T (NO INDUCTORS)</x:t>
  </x:si>
  <x:si>
    <x:t xml:space="preserve">Selected branch: series MOSFET pair ON + shunt MOSFET pair OFF (Cshunt). Unselected branch: series MOSFET pair OFF (Cseries) + shunt MOSFET pair ON (Rshunt). No series inductor and no shunt-path inductance are included.</x:t>
  </x:si>
  <x:si>
    <x:t xml:space="preserve">f (MHz)</x:t>
  </x:si>
  <x:si>
    <x:t xml:space="preserve">Xc series OFF (Ω)</x:t>
  </x:si>
  <x:si>
    <x:t xml:space="preserve">Xc shunt OFF (Ω)</x:t>
  </x:si>
  <x:si>
    <x:t xml:space="preserve">ZAload Re (Ω)</x:t>
  </x:si>
  <x:si>
    <x:t xml:space="preserve">ZAload Im (Ω)</x:t>
  </x:si>
  <x:si>
    <x:t xml:space="preserve">Zin A Re (Ω)</x:t>
  </x:si>
  <x:si>
    <x:t xml:space="preserve">Zin A Im (Ω)</x:t>
  </x:si>
  <x:si>
    <x:t xml:space="preserve">ZBload = 50||Rsh (Ω)</x:t>
  </x:si>
  <x:si>
    <x:t xml:space="preserve">Zin B Re (Ω)</x:t>
  </x:si>
  <x:si>
    <x:t xml:space="preserve">Zin B Im (Ω)</x:t>
  </x:si>
  <x:si>
    <x:t xml:space="preserve">Ytotal Re (S)</x:t>
  </x:si>
  <x:si>
    <x:t xml:space="preserve">Ytotal Im (S)</x:t>
  </x:si>
  <x:si>
    <x:t xml:space="preserve">Zin total Re (Ω)</x:t>
  </x:si>
  <x:si>
    <x:t xml:space="preserve">Zin total Im (Ω)</x:t>
  </x:si>
  <x:si>
    <x:t xml:space="preserve">|Γ|²</x:t>
  </x:si>
  <x:si>
    <x:t xml:space="preserve">Vcommon (Vrms)</x:t>
  </x:si>
  <x:si>
    <x:t xml:space="preserve">IA branch (Arms)</x:t>
  </x:si>
  <x:si>
    <x:t xml:space="preserve">IB branch (Arms)</x:t>
  </x:si>
  <x:si>
    <x:t xml:space="preserve">VA selected node (Vrms)</x:t>
  </x:si>
  <x:si>
    <x:t xml:space="preserve">VB inactive node (Vrms)</x:t>
  </x:si>
  <x:si>
    <x:t xml:space="preserve">I target (Arms)</x:t>
  </x:si>
  <x:si>
    <x:t xml:space="preserve">I shunt-OFF reactive (Arms)</x:t>
  </x:si>
  <x:si>
    <x:t xml:space="preserve">I wrong-port (Arms)</x:t>
  </x:si>
  <x:si>
    <x:t xml:space="preserve">I shunt-ON (Arms)</x:t>
  </x:si>
  <x:si>
    <x:t xml:space="preserve">Selected load (W)</x:t>
  </x:si>
  <x:si>
    <x:t xml:space="preserve">Wrong port (W)</x:t>
  </x:si>
  <x:si>
    <x:t xml:space="preserve">Series MOSFET heat (W)</x:t>
  </x:si>
  <x:si>
    <x:t xml:space="preserve">Shunt MOSFET heat (W)</x:t>
  </x:si>
  <x:si>
    <x:t xml:space="preserve">Reflected (W)</x:t>
  </x:si>
  <x:si>
    <x:t xml:space="preserve">Power check (W)</x:t>
  </x:si>
  <x:si>
    <x:t xml:space="preserve">Selected delivered (%)</x:t>
  </x:si>
  <x:si>
    <x:t xml:space="preserve">Selected loss (dB)</x:t>
  </x:si>
  <x:si>
    <x:t xml:space="preserve">Wrong-port isolation (dB)</x:t>
  </x:si>
  <x:si>
    <x:t xml:space="preserve">Input return loss (dB)</x:t>
  </x:si>
  <x:si>
    <x:t xml:space="preserve">30 MHz QUICK READ — WHAT HAPPENS TO THE 1300 W?</x:t>
  </x:si>
  <x:si>
    <x:t xml:space="preserve">30 MHz CURRENT SPLIT — WHY THE SHUNT WORKS</x:t>
  </x:si>
  <x:si>
    <x:t xml:space="preserve">Metric</x:t>
  </x:si>
  <x:si>
    <x:t xml:space="preserve">30 MHz value</x:t>
  </x:si>
  <x:si>
    <x:t xml:space="preserve">Meaning</x:t>
  </x:si>
  <x:si>
    <x:t xml:space="preserve">Quantity</x:t>
  </x:si>
  <x:si>
    <x:t xml:space="preserve">Selected load power</x:t>
  </x:si>
  <x:si>
    <x:t xml:space="preserve">Real RF power reaching the selected 50 Ω target</x:t>
  </x:si>
  <x:si>
    <x:t xml:space="preserve">Inactive B-node voltage</x:t>
  </x:si>
  <x:si>
    <x:t xml:space="preserve">Shunt ON pulls this node close to ground</x:t>
  </x:si>
  <x:si>
    <x:t xml:space="preserve">Wrong-port leakage</x:t>
  </x:si>
  <x:si>
    <x:t xml:space="preserve">Real RF power reaching the unselected 50 Ω port</x:t>
  </x:si>
  <x:si>
    <x:t xml:space="preserve">B-branch current</x:t>
  </x:si>
  <x:si>
    <x:t xml:space="preserve">Current leaking through the 18 pF OFF series pair</x:t>
  </x:si>
  <x:si>
    <x:t xml:space="preserve">Series MOSFET heat</x:t>
  </x:si>
  <x:si>
    <x:t xml:space="preserve">I²R heating in the selected ON series pair</x:t>
  </x:si>
  <x:si>
    <x:t xml:space="preserve">Wrong-port current</x:t>
  </x:si>
  <x:si>
    <x:t xml:space="preserve">Small part that reaches the 50 Ω wrong port</x:t>
  </x:si>
  <x:si>
    <x:t xml:space="preserve">Shunt MOSFET heat</x:t>
  </x:si>
  <x:si>
    <x:t xml:space="preserve">I²R heating in the unselected ON shunt pair</x:t>
  </x:si>
  <x:si>
    <x:t xml:space="preserve">Shunt ON current</x:t>
  </x:si>
  <x:si>
    <x:t xml:space="preserve">Most of the B-branch current is diverted here</x:t>
  </x:si>
  <x:si>
    <x:t xml:space="preserve">Reflected power</x:t>
  </x:si>
  <x:si>
    <x:t xml:space="preserve">RF power returning toward the transmitter due to mismatch</x:t>
  </x:si>
  <x:si>
    <x:t xml:space="preserve">Selected-node voltage</x:t>
  </x:si>
  <x:si>
    <x:t xml:space="preserve">Voltage across target load and OFF shunt capacitance</x:t>
  </x:si>
  <x:si>
    <x:t xml:space="preserve">Shunt-OFF reactive current</x:t>
  </x:si>
  <x:si>
    <x:t xml:space="preserve">Reactive current in the OFF shunt capacitance; not direct heat</x:t>
  </x:si>
  <x:si>
    <x:t xml:space="preserve">PAD THICKNESS COMPARISON — SERIES-SHUNT DESIGN</x:t>
  </x:si>
  <x:si>
    <x:t xml:space="preserve">0.5 mm vs 2 mm; same MOSFET pair, 1300 W, 50 Ω; capacitance approximation</x:t>
  </x:si>
  <x:si>
    <x:t xml:space="preserve">0.5 mm</x:t>
  </x:si>
  <x:si>
    <x:t xml:space="preserve">2 mm</x:t>
  </x:si>
  <x:si>
    <x:t xml:space="preserve">Difference</x:t>
  </x:si>
  <x:si>
    <x:t xml:space="preserve">Pad C</x:t>
  </x:si>
  <x:si>
    <x:t xml:space="preserve">Series OFF C</x:t>
  </x:si>
  <x:si>
    <x:t xml:space="preserve">Thermal pad resistance (relative)</x:t>
  </x:si>
  <x:si>
    <x:t xml:space="preserve">2 mm baseline</x:t>
  </x:si>
  <x:si>
    <x:t xml:space="preserve">NOTE: For actual RF power comparison, use 04_SERIES_SHUNT and update selected thickness on 02_INPUTS.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</x:si>
</x:sst>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00"/>
  </x:numFmts>
  <x:fonts count="11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5"/>
      <x:color rgb="FFFFFFFF"/>
      <x:name val="Calibri"/>
    </x:font>
    <x:font>
      <x:b/>
      <x:sz val="11"/>
      <x:color rgb="FF375623"/>
      <x:name val="Calibri"/>
    </x:font>
    <x:font>
      <x:b/>
      <x:sz val="11"/>
      <x:color rgb="FF9E480E"/>
      <x:name val="Calibri"/>
    </x:font>
    <x:font>
      <x:b/>
      <x:sz val="11"/>
      <x:color rgb="FF17365D"/>
      <x:name val="Calibri"/>
    </x:font>
    <x:font>
      <x:i/>
      <x:sz val="11"/>
      <x:color rgb="FF7F6000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1">
    <x:border diagonalUp="0" diagonalDown="0">
      <x:left/>
      <x:right/>
      <x:top/>
      <x:bottom/>
      <x:diagonal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2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2" borderId="0" xfId="20" applyFont="1" applyBorder="1" applyAlignment="1" applyProtection="1">
      <x:alignment horizontal="left" vertical="center" wrapText="1" shrinkToFit="0"/>
      <x:protection locked="1" hidden="0"/>
    </x:xf>
    <x:xf numFmtId="164" fontId="4" fillId="0" borderId="0" xfId="20" applyFont="1" applyBorder="1" applyAlignment="1" applyProtection="1">
      <x:alignment horizontal="general" vertical="center" wrapText="1" shrinkToFit="0"/>
      <x:protection locked="1" hidden="0"/>
    </x:xf>
    <x:xf numFmtId="164" fontId="6" fillId="3" borderId="0" xfId="20" applyFont="1" applyBorder="1" applyAlignment="1" applyProtection="1">
      <x:alignment horizontal="center" vertical="center" wrapText="1" shrinkToFit="0"/>
      <x:protection locked="1" hidden="0"/>
    </x:xf>
    <x:xf numFmtId="164" fontId="7" fillId="4" borderId="0" xfId="20" applyFont="1" applyBorder="1" applyAlignment="1" applyProtection="1">
      <x:alignment horizontal="center" vertical="center" wrapText="1" shrinkToFit="0"/>
      <x:protection locked="1" hidden="0"/>
    </x:xf>
    <x:xf numFmtId="164" fontId="8" fillId="5" borderId="0" xfId="20" applyFont="1" applyBorder="1" applyAlignment="1" applyProtection="1">
      <x:alignment horizontal="general" vertical="center" wrapText="1" shrinkToFit="0"/>
      <x:protection locked="1" hidden="0"/>
    </x:xf>
    <x:xf numFmtId="164" fontId="9" fillId="6" borderId="0" xfId="20" applyFont="1" applyBorder="1" applyAlignment="1" applyProtection="1">
      <x:alignment horizontal="general" vertical="center" wrapText="1" shrinkToFit="0"/>
      <x:protection locked="1" hidden="0"/>
    </x:xf>
    <x:xf numFmtId="164" fontId="10" fillId="7" borderId="0" xfId="20" applyFont="1" applyBorder="1" applyAlignment="1" applyProtection="1">
      <x:alignment horizontal="center" vertical="center" wrapText="1" shrinkToFit="0"/>
      <x:protection locked="1" hidden="0"/>
    </x:xf>
    <x:xf numFmtId="164" fontId="0" fillId="0" borderId="0" xfId="0" applyFont="0" applyBorder="0" applyAlignment="1" applyProtection="1">
      <x:alignment horizontal="general" vertical="bottom" wrapText="0" shrinkToFit="0"/>
      <x:protection locked="1" hidden="0"/>
    </x:xf>
    <x:xf numFmtId="164" fontId="4" fillId="0" borderId="0" xfId="20" applyFont="1" applyBorder="1" applyAlignment="1" applyProtection="1">
      <x:alignment horizontal="general" vertical="bottom" wrapText="1" shrinkToFit="0"/>
      <x:protection locked="1" hidden="0"/>
    </x:xf>
    <x:xf numFmtId="165" fontId="4" fillId="5" borderId="0" xfId="20" applyFont="1" applyBorder="1" applyAlignment="1" applyProtection="1">
      <x:alignment horizontal="general" vertical="bottom" wrapText="1" shrinkToFit="0"/>
      <x:protection locked="1" hidden="0"/>
    </x:xf>
    <x:xf numFmtId="165" fontId="4" fillId="0" borderId="0" xfId="20" applyFont="1" applyBorder="1" applyAlignment="1" applyProtection="1">
      <x:alignment horizontal="general" vertical="bottom" wrapText="1" shrinkToFit="0"/>
      <x:protection locked="1" hidden="0"/>
    </x:xf>
    <x:xf numFmtId="164" fontId="9" fillId="6" borderId="0" xfId="20" applyFont="1" applyBorder="1" applyAlignment="1" applyProtection="1">
      <x:alignment horizontal="general" vertical="bottom" wrapText="1" shrinkToFit="0"/>
      <x:protection locked="1" hidden="0"/>
    </x:xf>
    <x:xf numFmtId="164" fontId="5" fillId="2" borderId="0" xfId="20" applyFont="1" applyBorder="1" applyAlignment="1" applyProtection="1">
      <x:alignment horizontal="left" vertical="center" wrapText="0" shrinkToFit="0"/>
      <x:protection locked="1" hidden="0"/>
    </x:xf>
    <x:xf numFmtId="164" fontId="4" fillId="0" borderId="0" xfId="20" applyFont="1" applyBorder="1" applyAlignment="1" applyProtection="1">
      <x:alignment horizontal="general" vertical="center" wrapText="0" shrinkToFit="0"/>
      <x:protection locked="1" hidden="0"/>
    </x:xf>
    <x:xf numFmtId="165" fontId="4" fillId="0" borderId="0" xfId="20" applyFont="1" applyBorder="1" applyAlignment="1" applyProtection="1">
      <x:alignment horizontal="general" vertical="center" wrapText="1" shrinkToFit="0"/>
      <x:protection locked="1" hidden="0"/>
    </x:xf>
    <x:xf numFmtId="164" fontId="8" fillId="5" borderId="0" xfId="20" applyFont="1" applyBorder="1" applyAlignment="1" applyProtection="1">
      <x:alignment horizontal="general" vertical="center" wrapText="0" shrinkToFit="0"/>
      <x:protection locked="1" hidden="0"/>
    </x:xf>
    <x:xf numFmtId="165" fontId="4" fillId="0" borderId="0" xfId="20" applyFont="1" applyBorder="1" applyAlignment="1" applyProtection="1">
      <x:alignment horizontal="general" vertical="center" wrapText="0" shrinkToFit="0"/>
      <x:protection locked="1" hidden="0"/>
    </x:xf>
    <x:xf numFmtId="164" fontId="0" fillId="0" borderId="0" xfId="0" applyFont="1" applyBorder="0" applyAlignment="1" applyProtection="1">
      <x:alignment horizontal="center" vertical="bottom" wrapText="0" shrinkToFit="0"/>
      <x:protection locked="1" hidden="0"/>
    </x:xf>
    <x:xf numFmtId="165" fontId="4" fillId="0" borderId="0" xfId="0" applyNumberFormat="1" applyFont="1" applyFill="1" applyBorder="1" applyAlignment="1">
      <x:alignment horizontal="general" vertical="center" wrapText="1"/>
    </x:xf>
    <x:xf numFmtId="164" fontId="9" fillId="6" borderId="0" xfId="0" applyNumberFormat="1" applyFont="1" applyFill="1" applyBorder="1" applyAlignment="1">
      <x:alignment horizontal="general" vertical="center" wrapText="1"/>
    </x:xf>
    <x:xf numFmtId="164" fontId="9" fillId="6" borderId="0" xfId="0" applyNumberFormat="1" applyFont="1" applyFill="1" applyBorder="1" applyAlignment="1">
      <x:alignment horizontal="general" vertical="top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F6000"/>
      <x:rgbColor rgb="FF800080"/>
      <x:rgbColor rgb="FF008080"/>
      <x:rgbColor rgb="FFC0C0C0"/>
      <x:rgbColor rgb="FF808080"/>
      <x:rgbColor rgb="FF5B9BD5"/>
      <x:rgbColor rgb="FF993366"/>
      <x:rgbColor rgb="FFFFF2CC"/>
      <x:rgbColor rgb="FFD9EA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F0D9"/>
      <x:rgbColor rgb="FFFFFF99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E480E"/>
      <x:rgbColor rgb="FF993366"/>
      <x:rgbColor rgb="FF333399"/>
      <x:rgbColor rgb="FF37562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795f0cdff45c5" /><Relationship Type="http://schemas.openxmlformats.org/officeDocument/2006/relationships/theme" Target="/xl/theme/theme1.xml" Id="Red28518487134bc3" /><Relationship Type="http://schemas.openxmlformats.org/officeDocument/2006/relationships/sharedStrings" Target="/xl/sharedStrings.xml" Id="Rb2ba0d7dd70c4e48" /><Relationship Type="http://schemas.openxmlformats.org/officeDocument/2006/relationships/worksheet" Target="/xl/worksheets/sheet1.xml" Id="R43c966c1feb549e6" /><Relationship Type="http://schemas.openxmlformats.org/officeDocument/2006/relationships/worksheet" Target="/xl/worksheets/sheet2.xml" Id="R930b534ea25d4430" /><Relationship Type="http://schemas.openxmlformats.org/officeDocument/2006/relationships/worksheet" Target="/xl/worksheets/sheet3.xml" Id="R63dfa74f15fd45a8" /><Relationship Type="http://schemas.openxmlformats.org/officeDocument/2006/relationships/worksheet" Target="/xl/worksheets/sheet4.xml" Id="R4b08b140317a43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b742bc62c30443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46fa4c44fef4a0f" /></Relationships>
</file>

<file path=xl/drawings/drawing1.xml><?xml version="1.0" encoding="utf-8"?>
<xdr:wsDr xmlns:xdr="http://schemas.openxmlformats.org/drawingml/2006/spreadsheetDrawing">
  <xdr:twoCellAnchor editAs="oneCell">
    <xdr:from>
      <xdr:col>12</xdr:col>
      <xdr:colOff>441000</xdr:colOff>
      <xdr:row>0</xdr:row>
      <xdr:rowOff>0</xdr:rowOff>
    </xdr:from>
    <xdr:to>
      <xdr:col>20</xdr:col>
      <xdr:colOff>546840</xdr:colOff>
      <xdr:row>20</xdr:row>
      <xdr:rowOff>240120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742bc62c3044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</xdr:col>
      <xdr:colOff>434520</xdr:colOff>
      <xdr:row>25</xdr:row>
      <xdr:rowOff>47880</xdr:rowOff>
    </xdr:from>
    <xdr:to>
      <xdr:col>12</xdr:col>
      <xdr:colOff>464040</xdr:colOff>
      <xdr:row>75</xdr:row>
      <xdr:rowOff>81000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6fa4c44fef4a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ChatGP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4ec8b8aa05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daddbe9095348e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2.800000190734863"/>
  <x:cols>
    <x:col min="1" max="1" width="16" hidden="0" customWidth="1"/>
    <x:col min="2" max="2" width="6" hidden="0" customWidth="1"/>
    <x:col min="3" max="3" width="23" hidden="0" customWidth="1"/>
    <x:col min="4" max="4" width="6" hidden="0" customWidth="1"/>
    <x:col min="5" max="5" width="22" hidden="0" customWidth="1"/>
    <x:col min="6" max="6" width="20" hidden="0" customWidth="1"/>
    <x:col min="7" max="7" width="4" hidden="0" customWidth="1"/>
    <x:col min="8" max="8" width="16" hidden="0" customWidth="1"/>
    <x:col min="9" max="9" width="6" hidden="0" customWidth="1"/>
    <x:col min="10" max="10" width="22" hidden="0" customWidth="1"/>
    <x:col min="11" max="11" width="6" hidden="0" customWidth="1"/>
    <x:col min="12" max="12" width="24" hidden="0" customWidth="1"/>
  </x:cols>
  <x:sheetData>
    <x:row r="1" ht="28" hidden="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3.800000190734863" hidden="0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4.899999618530273" hidden="0" customHeight="1">
      <x:c r="A3" s="3" t="s">
        <x:v>1</x:v>
      </x:c>
      <x:c r="B3" s="3"/>
      <x:c r="C3" s="3"/>
      <x:c r="D3" s="3"/>
      <x:c r="E3" s="3"/>
      <x:c r="F3" s="3"/>
      <x:c r="G3" s="2"/>
      <x:c r="H3" s="4" t="s">
        <x:v>2</x:v>
      </x:c>
      <x:c r="I3" s="4"/>
      <x:c r="J3" s="4"/>
      <x:c r="K3" s="4"/>
      <x:c r="L3" s="4"/>
    </x:row>
    <x:row r="4" ht="13.800000190734863" hidden="0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4.899999618530273" hidden="0">
      <x:c r="A5" s="5" t="s">
        <x:v>3</x:v>
      </x:c>
      <x:c r="B5" s="2" t="s">
        <x:v>4</x:v>
      </x:c>
      <x:c r="C5" s="3" t="s">
        <x:v>5</x:v>
      </x:c>
      <x:c r="D5" s="2" t="s">
        <x:v>4</x:v>
      </x:c>
      <x:c r="E5" s="5" t="s">
        <x:v>6</x:v>
      </x:c>
      <x:c r="F5" s="3" t="s">
        <x:v>7</x:v>
      </x:c>
      <x:c r="G5" s="2"/>
      <x:c r="H5" s="5" t="s">
        <x:v>3</x:v>
      </x:c>
      <x:c r="I5" s="2" t="s">
        <x:v>4</x:v>
      </x:c>
      <x:c r="J5" s="4" t="s">
        <x:v>8</x:v>
      </x:c>
      <x:c r="K5" s="2" t="s">
        <x:v>4</x:v>
      </x:c>
      <x:c r="L5" s="4" t="s">
        <x:v>9</x:v>
      </x:c>
    </x:row>
    <x:row r="6" ht="14.899999618530273" hidden="0">
      <x:c r="A6" s="2"/>
      <x:c r="B6" s="2"/>
      <x:c r="C6" s="3" t="s">
        <x:v>10</x:v>
      </x:c>
      <x:c r="D6" s="2"/>
      <x:c r="E6" s="2" t="s">
        <x:v>11</x:v>
      </x:c>
      <x:c r="F6" s="2"/>
      <x:c r="G6" s="2"/>
      <x:c r="H6" s="2"/>
      <x:c r="I6" s="2"/>
      <x:c r="J6" s="4" t="s">
        <x:v>12</x:v>
      </x:c>
      <x:c r="K6" s="2"/>
      <x:c r="L6" s="4" t="s">
        <x:v>13</x:v>
      </x:c>
    </x:row>
    <x:row r="7" ht="14.899999618530273" hidden="0">
      <x:c r="A7" s="2"/>
      <x:c r="B7" s="2"/>
      <x:c r="C7" s="2"/>
      <x:c r="D7" s="2"/>
      <x:c r="E7" s="2" t="s">
        <x:v>14</x:v>
      </x:c>
      <x:c r="F7" s="2"/>
      <x:c r="G7" s="2"/>
      <x:c r="H7" s="2"/>
      <x:c r="I7" s="2"/>
      <x:c r="J7" s="2"/>
      <x:c r="K7" s="2"/>
      <x:c r="L7" s="2" t="s">
        <x:v>11</x:v>
      </x:c>
    </x:row>
    <x:row r="8" ht="14.899999618530273" hidden="0">
      <x:c r="A8" s="2"/>
      <x:c r="B8" s="2"/>
      <x:c r="C8" s="2"/>
      <x:c r="D8" s="2"/>
      <x:c r="E8" s="4" t="s">
        <x:v>15</x:v>
      </x:c>
      <x:c r="F8" s="2"/>
      <x:c r="G8" s="2"/>
      <x:c r="H8" s="2"/>
      <x:c r="I8" s="2"/>
      <x:c r="J8" s="2"/>
      <x:c r="K8" s="2"/>
      <x:c r="L8" s="3" t="s">
        <x:v>16</x:v>
      </x:c>
    </x:row>
    <x:row r="9" ht="14.899999618530273" hidden="0">
      <x:c r="A9" s="2"/>
      <x:c r="B9" s="2"/>
      <x:c r="C9" s="2"/>
      <x:c r="D9" s="2"/>
      <x:c r="E9" s="4" t="s">
        <x:v>17</x:v>
      </x:c>
      <x:c r="F9" s="2"/>
      <x:c r="G9" s="2"/>
      <x:c r="H9" s="2"/>
      <x:c r="I9" s="2"/>
      <x:c r="J9" s="2"/>
      <x:c r="K9" s="2"/>
      <x:c r="L9" s="3" t="s">
        <x:v>18</x:v>
      </x:c>
    </x:row>
    <x:row r="10" ht="13.800000190734863" hidden="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15" hidden="0" customHeight="1">
      <x:c r="A11" s="6" t="s">
        <x:v>19</x:v>
      </x:c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</x:row>
    <x:row r="12" ht="12.800000190734863" hidden="0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  <x:row r="13" ht="12.800000190734863" hidden="0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 ht="13.800000190734863" hidden="0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15" hidden="0" customHeight="1">
      <x:c r="A15" s="6" t="s">
        <x:v>20</x:v>
      </x:c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</x:row>
    <x:row r="16" ht="12.800000190734863" hidden="0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</x:row>
    <x:row r="17" ht="12.800000190734863" hidden="0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</x:row>
    <x:row r="18" ht="13.800000190734863" hidden="0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14.899999618530273" hidden="0" customHeight="1">
      <x:c r="A19" s="7" t="str">
        <x:v>Metric</x:v>
      </x:c>
      <x:c r="B19" s="7" t="str">
        <x:v>30 MHz value</x:v>
      </x:c>
      <x:c r="C19" s="7"/>
      <x:c r="D19" s="2"/>
      <x:c r="E19" s="2"/>
      <x:c r="F19" s="2"/>
      <x:c r="G19" s="2"/>
      <x:c r="H19" s="7" t="str">
        <x:v>Model limitations</x:v>
      </x:c>
      <x:c r="I19" s="7"/>
      <x:c r="J19" s="7"/>
      <x:c r="K19" s="7"/>
      <x:c r="L19" s="7"/>
    </x:row>
    <x:row r="20" ht="41.75" hidden="0" customHeight="1">
      <x:c r="A20" s="2" t="str">
        <x:v>Selected-port load power</x:v>
      </x:c>
      <x:c r="B20" s="19" t="n">
        <x:v>1272.164948970141</x:v>
      </x:c>
      <x:c r="C20" s="2"/>
      <x:c r="D20" s="2"/>
      <x:c r="E20" s="2"/>
      <x:c r="F20" s="2"/>
      <x:c r="G20" s="2"/>
      <x:c r="H20" s="21" t="str">
        <x:v>No series or shunt-path inductance is included. This is a linear, lumped 50 Ω model. MOSFET capacitance varies with voltage; PCB, package and direct electromagnetic coupling require measurement.</x:v>
      </x:c>
      <x:c r="I20" s="21"/>
      <x:c r="J20" s="21"/>
      <x:c r="K20" s="21"/>
      <x:c r="L20" s="21"/>
    </x:row>
    <x:row r="21" ht="41.75" hidden="0" customHeight="1">
      <x:c r="A21" s="2" t="str">
        <x:v>Unselected-port leakage</x:v>
      </x:c>
      <x:c r="B21" s="19" t="n">
        <x:v>0.7666826103471517</x:v>
      </x:c>
      <x:c r="C21" s="2"/>
      <x:c r="D21" s="2"/>
      <x:c r="E21" s="2"/>
      <x:c r="F21" s="2"/>
      <x:c r="G21" s="2"/>
      <x:c r="H21" s="21"/>
      <x:c r="I21" s="21"/>
      <x:c r="J21" s="21"/>
      <x:c r="K21" s="21"/>
      <x:c r="L21" s="21"/>
    </x:row>
    <x:row r="22" ht="68.6500015258789" hidden="0" customHeight="1">
      <x:c r="A22" s="2" t="str">
        <x:v>Series-pair conduction loss</x:v>
      </x:c>
      <x:c r="B22" s="19" t="n">
        <x:v>8.105522587963394</x:v>
      </x:c>
      <x:c r="C22" s="2"/>
      <x:c r="D22" s="2"/>
      <x:c r="E22" s="2"/>
      <x:c r="F22" s="2"/>
      <x:c r="G22" s="2"/>
      <x:c r="H22" s="21"/>
      <x:c r="I22" s="21"/>
      <x:c r="J22" s="21"/>
      <x:c r="K22" s="21"/>
      <x:c r="L22" s="21"/>
    </x:row>
    <x:row r="23" ht="55.20000076293945" hidden="0" customHeight="1">
      <x:c r="A23" s="2" t="str">
        <x:v>Shunt-pair dissipation</x:v>
      </x:c>
      <x:c r="B23" s="19" t="n">
        <x:v>4.563586966352093</x:v>
      </x:c>
      <x:c r="C23" s="2"/>
      <x:c r="D23" s="2"/>
      <x:c r="E23" s="2"/>
      <x:c r="F23" s="2"/>
      <x:c r="G23" s="2"/>
      <x:c r="H23" s="21"/>
      <x:c r="I23" s="21"/>
      <x:c r="J23" s="21"/>
      <x:c r="K23" s="21"/>
      <x:c r="L23" s="21"/>
    </x:row>
    <x:row r="24" ht="68.6500015258789" hidden="0" customHeight="1">
      <x:c r="A24" s="2" t="str">
        <x:v>Reflected power</x:v>
      </x:c>
      <x:c r="B24" s="19" t="n">
        <x:v>14.399258865196215</x:v>
      </x:c>
      <x:c r="C24" s="2"/>
      <x:c r="D24" s="2"/>
      <x:c r="E24" s="2"/>
      <x:c r="F24" s="2"/>
      <x:c r="G24" s="2"/>
      <x:c r="H24" s="21"/>
      <x:c r="I24" s="21"/>
      <x:c r="J24" s="21"/>
      <x:c r="K24" s="21"/>
      <x:c r="L24" s="21"/>
    </x:row>
    <x:row r="25" ht="12.800000190734863" hidden="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</x:row>
  </x:sheetData>
  <x:mergeCells>
    <x:mergeCell ref="A1:L1"/>
    <x:mergeCell ref="A3:F3"/>
    <x:mergeCell ref="H3:L3"/>
    <x:mergeCell ref="A11:L13"/>
    <x:mergeCell ref="A15:L17"/>
    <x:mergeCell ref="B19:C19"/>
    <x:mergeCell ref="B20:C20"/>
    <x:mergeCell ref="B21:C21"/>
    <x:mergeCell ref="B22:C22"/>
    <x:mergeCell ref="B23:C23"/>
    <x:mergeCell ref="B24:C24"/>
    <x:mergeCell ref="H19:L19"/>
    <x:mergeCell ref="H20:L24"/>
  </x:mergeCells>
  <x:pageMargins left="0.7" right="0.7" top="0.75" bottom="0.75" header="0.3" footer="0.3"/>
  <x:drawing xmlns:r="http://schemas.openxmlformats.org/officeDocument/2006/relationships" r:id="R854ec8b8aa054962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2.800000190734863"/>
  <x:cols>
    <x:col min="1" max="1" width="30" hidden="0" customWidth="1"/>
    <x:col min="2" max="2" width="18" hidden="0" customWidth="1"/>
    <x:col min="3" max="3" width="10" hidden="0" customWidth="1"/>
    <x:col min="4" max="4" width="22" hidden="0" customWidth="1"/>
    <x:col min="5" max="5" width="36" hidden="0" customWidth="1"/>
    <x:col min="6" max="6" width="34" hidden="0" customWidth="1"/>
    <x:col min="7" max="7" width="12" hidden="0" customWidth="1"/>
  </x:cols>
  <x:sheetData>
    <x:row r="1" ht="19.399999618530273" hidden="0" customHeight="1">
      <x:c r="A1" s="1" t="s">
        <x:v>21</x:v>
      </x:c>
      <x:c r="B1" s="1"/>
      <x:c r="C1" s="1"/>
      <x:c r="D1" s="1"/>
      <x:c r="E1" s="1"/>
      <x:c r="F1" s="1"/>
      <x:c r="G1" s="1"/>
    </x:row>
    <x:row r="2" ht="13.800000190734863" hidden="0">
      <x:c r="A2" s="9"/>
      <x:c r="B2" s="9"/>
      <x:c r="C2" s="9"/>
      <x:c r="D2" s="9"/>
      <x:c r="E2" s="9"/>
      <x:c r="F2" s="9"/>
      <x:c r="G2" s="9"/>
    </x:row>
    <x:row r="3" ht="14.899999618530273" hidden="0">
      <x:c r="A3" s="7" t="s">
        <x:v>22</x:v>
      </x:c>
      <x:c r="B3" s="7" t="s">
        <x:v>23</x:v>
      </x:c>
      <x:c r="C3" s="7" t="s">
        <x:v>24</x:v>
      </x:c>
      <x:c r="D3" s="7" t="s">
        <x:v>25</x:v>
      </x:c>
      <x:c r="E3" s="7" t="s">
        <x:v>26</x:v>
      </x:c>
      <x:c r="F3" s="7" t="s">
        <x:v>27</x:v>
      </x:c>
      <x:c r="G3" s="7" t="s">
        <x:v>28</x:v>
      </x:c>
    </x:row>
    <x:row r="4" ht="14.899999618530273" hidden="0">
      <x:c r="A4" s="9" t="s">
        <x:v>29</x:v>
      </x:c>
      <x:c r="B4" s="10" t="n">
        <x:v>1300</x:v>
      </x:c>
      <x:c r="C4" s="9" t="s">
        <x:v>30</x:v>
      </x:c>
      <x:c r="D4" s="9" t="s">
        <x:v>31</x:v>
      </x:c>
      <x:c r="E4" s="9" t="s">
        <x:v>32</x:v>
      </x:c>
      <x:c r="F4" s="9" t="s">
        <x:v>33</x:v>
      </x:c>
      <x:c r="G4" s="9" t="s">
        <x:v>34</x:v>
      </x:c>
    </x:row>
    <x:row r="5" ht="14.899999618530273" hidden="0">
      <x:c r="A5" s="9" t="s">
        <x:v>35</x:v>
      </x:c>
      <x:c r="B5" s="10" t="n">
        <x:v>50</x:v>
      </x:c>
      <x:c r="C5" s="9" t="s">
        <x:v>36</x:v>
      </x:c>
      <x:c r="D5" s="9" t="s">
        <x:v>37</x:v>
      </x:c>
      <x:c r="E5" s="9" t="s">
        <x:v>32</x:v>
      </x:c>
      <x:c r="F5" s="9" t="s">
        <x:v>38</x:v>
      </x:c>
      <x:c r="G5" s="9" t="s">
        <x:v>34</x:v>
      </x:c>
    </x:row>
    <x:row r="6" ht="14.899999618530273" hidden="0">
      <x:c r="A6" s="9" t="s">
        <x:v>39</x:v>
      </x:c>
      <x:c r="B6" s="10" t="n">
        <x:v>0.318</x:v>
      </x:c>
      <x:c r="C6" s="9" t="s">
        <x:v>36</x:v>
      </x:c>
      <x:c r="D6" s="9" t="s">
        <x:v>40</x:v>
      </x:c>
      <x:c r="E6" s="9" t="s">
        <x:v>41</x:v>
      </x:c>
      <x:c r="F6" s="9" t="s">
        <x:v>42</x:v>
      </x:c>
      <x:c r="G6" s="9" t="s">
        <x:v>34</x:v>
      </x:c>
    </x:row>
    <x:row r="7" ht="28.350000381469727" hidden="0">
      <x:c r="A7" s="9" t="s">
        <x:v>43</x:v>
      </x:c>
      <x:c r="B7" s="10" t="n">
        <x:f aca="0">$B$40</x:f>
        <x:v>18.000078565555633</x:v>
      </x:c>
      <x:c r="C7" s="9" t="s">
        <x:v>44</x:v>
      </x:c>
      <x:c r="D7" s="9" t="s">
        <x:v>45</x:v>
      </x:c>
      <x:c r="E7" s="9" t="s">
        <x:v>46</x:v>
      </x:c>
      <x:c r="F7" s="9" t="s">
        <x:v>47</x:v>
      </x:c>
      <x:c r="G7" s="9" t="s">
        <x:v>34</x:v>
      </x:c>
    </x:row>
    <x:row r="8" ht="14.899999618530273" hidden="0">
      <x:c r="A8" s="9" t="s">
        <x:v>48</x:v>
      </x:c>
      <x:c r="B8" s="10" t="n">
        <x:v>4.5</x:v>
      </x:c>
      <x:c r="C8" s="9" t="s">
        <x:v>44</x:v>
      </x:c>
      <x:c r="D8" s="9" t="s">
        <x:v>40</x:v>
      </x:c>
      <x:c r="E8" s="9" t="s">
        <x:v>49</x:v>
      </x:c>
      <x:c r="F8" s="9" t="s">
        <x:v>50</x:v>
      </x:c>
      <x:c r="G8" s="9" t="s">
        <x:v>34</x:v>
      </x:c>
    </x:row>
    <x:row r="9" ht="14.899999618530273" hidden="0">
      <x:c r="A9" s="9" t="s">
        <x:v>51</x:v>
      </x:c>
      <x:c r="B9" s="10" t="n">
        <x:v>8.4</x:v>
      </x:c>
      <x:c r="C9" s="9" t="s">
        <x:v>36</x:v>
      </x:c>
      <x:c r="D9" s="9" t="s">
        <x:v>45</x:v>
      </x:c>
      <x:c r="E9" s="9" t="s">
        <x:v>52</x:v>
      </x:c>
      <x:c r="F9" s="9" t="s">
        <x:v>53</x:v>
      </x:c>
      <x:c r="G9" s="9" t="s">
        <x:v>34</x:v>
      </x:c>
    </x:row>
    <x:row r="10" ht="14.899999618530273" hidden="0">
      <x:c r="A10" s="9" t="s">
        <x:v>54</x:v>
      </x:c>
      <x:c r="B10" s="11" t="n">
        <x:v>0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59</x:v>
      </x:c>
    </x:row>
    <x:row r="11" ht="14.899999618530273" hidden="0">
      <x:c r="A11" s="9" t="s">
        <x:v>60</x:v>
      </x:c>
      <x:c r="B11" s="11" t="n">
        <x:v>0</x:v>
      </x:c>
      <x:c r="C11" s="9" t="s">
        <x:v>55</x:v>
      </x:c>
      <x:c r="D11" s="9" t="s">
        <x:v>61</x:v>
      </x:c>
      <x:c r="E11" s="9" t="s">
        <x:v>57</x:v>
      </x:c>
      <x:c r="F11" s="9" t="s">
        <x:v>58</x:v>
      </x:c>
      <x:c r="G11" s="9" t="s">
        <x:v>59</x:v>
      </x:c>
    </x:row>
    <x:row r="12" ht="13.800000190734863" hidden="0">
      <x:c r="A12" s="9"/>
      <x:c r="B12" s="9"/>
      <x:c r="C12" s="9"/>
      <x:c r="D12" s="9"/>
      <x:c r="E12" s="9"/>
      <x:c r="F12" s="9"/>
      <x:c r="G12" s="9"/>
    </x:row>
    <x:row r="13" ht="14.899999618530273" hidden="0">
      <x:c r="A13" s="5" t="s">
        <x:v>62</x:v>
      </x:c>
      <x:c r="B13" s="5" t="s">
        <x:v>23</x:v>
      </x:c>
      <x:c r="C13" s="5" t="s">
        <x:v>24</x:v>
      </x:c>
      <x:c r="D13" s="5"/>
      <x:c r="E13" s="5"/>
      <x:c r="F13" s="5"/>
      <x:c r="G13" s="5"/>
    </x:row>
    <x:row r="14" ht="14.899999618530273" hidden="0">
      <x:c r="A14" s="9" t="s">
        <x:v>63</x:v>
      </x:c>
      <x:c r="B14" s="10" t="n">
        <x:v>0.1</x:v>
      </x:c>
      <x:c r="C14" s="9" t="s">
        <x:v>64</x:v>
      </x:c>
      <x:c r="D14" s="9"/>
      <x:c r="E14" s="9"/>
      <x:c r="F14" s="9"/>
      <x:c r="G14" s="9"/>
    </x:row>
    <x:row r="15" ht="14.899999618530273" hidden="0">
      <x:c r="A15" s="9" t="s">
        <x:v>65</x:v>
      </x:c>
      <x:c r="B15" s="10" t="n">
        <x:v>1</x:v>
      </x:c>
      <x:c r="C15" s="9" t="s">
        <x:v>64</x:v>
      </x:c>
      <x:c r="D15" s="9"/>
      <x:c r="E15" s="9"/>
      <x:c r="F15" s="9"/>
      <x:c r="G15" s="9"/>
    </x:row>
    <x:row r="16" ht="14.899999618530273" hidden="0">
      <x:c r="A16" s="9" t="s">
        <x:v>66</x:v>
      </x:c>
      <x:c r="B16" s="10" t="n">
        <x:v>5</x:v>
      </x:c>
      <x:c r="C16" s="9" t="s">
        <x:v>64</x:v>
      </x:c>
      <x:c r="D16" s="9"/>
      <x:c r="E16" s="9"/>
      <x:c r="F16" s="9"/>
      <x:c r="G16" s="9"/>
    </x:row>
    <x:row r="17" ht="14.899999618530273" hidden="0">
      <x:c r="A17" s="9" t="s">
        <x:v>67</x:v>
      </x:c>
      <x:c r="B17" s="10" t="n">
        <x:v>10</x:v>
      </x:c>
      <x:c r="C17" s="9" t="s">
        <x:v>64</x:v>
      </x:c>
      <x:c r="D17" s="9"/>
      <x:c r="E17" s="9"/>
      <x:c r="F17" s="9"/>
      <x:c r="G17" s="9"/>
    </x:row>
    <x:row r="18" ht="14.899999618530273" hidden="0">
      <x:c r="A18" s="9" t="s">
        <x:v>68</x:v>
      </x:c>
      <x:c r="B18" s="10" t="n">
        <x:v>20</x:v>
      </x:c>
      <x:c r="C18" s="9" t="s">
        <x:v>64</x:v>
      </x:c>
      <x:c r="D18" s="9"/>
      <x:c r="E18" s="9"/>
      <x:c r="F18" s="9"/>
      <x:c r="G18" s="9"/>
    </x:row>
    <x:row r="19" ht="14.899999618530273" hidden="0">
      <x:c r="A19" s="9" t="s">
        <x:v>69</x:v>
      </x:c>
      <x:c r="B19" s="10" t="n">
        <x:v>30</x:v>
      </x:c>
      <x:c r="C19" s="9" t="s">
        <x:v>64</x:v>
      </x:c>
      <x:c r="D19" s="9"/>
      <x:c r="E19" s="9"/>
      <x:c r="F19" s="9"/>
      <x:c r="G19" s="9"/>
    </x:row>
    <x:row r="20" ht="14.899999618530273" hidden="0">
      <x:c r="A20" s="9" t="s">
        <x:v>70</x:v>
      </x:c>
      <x:c r="B20" s="10" t="n">
        <x:v>39</x:v>
      </x:c>
      <x:c r="C20" s="9" t="s">
        <x:v>64</x:v>
      </x:c>
      <x:c r="D20" s="9"/>
      <x:c r="E20" s="9"/>
      <x:c r="F20" s="9"/>
      <x:c r="G20" s="9"/>
    </x:row>
    <x:row r="21" ht="13.800000190734863" hidden="0">
      <x:c r="A21" s="9"/>
      <x:c r="B21" s="9"/>
      <x:c r="C21" s="9"/>
      <x:c r="D21" s="9"/>
      <x:c r="E21" s="9"/>
      <x:c r="F21" s="9"/>
      <x:c r="G21" s="9"/>
    </x:row>
    <x:row r="22" ht="15" hidden="0" customHeight="1">
      <x:c r="A22" s="12" t="s">
        <x:v>71</x:v>
      </x:c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3.800000190734863" hidden="0">
      <x:c r="A26" s="9"/>
      <x:c r="B26" s="9"/>
      <x:c r="C26" s="9"/>
      <x:c r="D26" s="9"/>
      <x:c r="E26" s="9"/>
      <x:c r="F26" s="9"/>
      <x:c r="G26" s="9"/>
    </x:row>
    <x:row r="27" ht="14.899999618530273" hidden="0">
      <x:c r="A27" s="7" t="s">
        <x:v>72</x:v>
      </x:c>
      <x:c r="B27" s="7"/>
      <x:c r="C27" s="7"/>
      <x:c r="D27" s="7"/>
      <x:c r="E27" s="7"/>
      <x:c r="F27" s="7"/>
      <x:c r="G27" s="7"/>
    </x:row>
    <x:row r="28" ht="27.700000762939453" hidden="0" customHeight="1">
      <x:c r="A28" s="9" t="s">
        <x:v>73</x:v>
      </x:c>
      <x:c r="B28" s="9" t="s">
        <x:v>74</x:v>
      </x:c>
      <x:c r="C28" s="9"/>
      <x:c r="D28" s="9"/>
      <x:c r="E28" s="9"/>
      <x:c r="F28" s="9"/>
      <x:c r="G28" s="9"/>
    </x:row>
    <x:row r="29" ht="31.899999618530273" hidden="0" customHeight="1">
      <x:c r="A29" s="9" t="s">
        <x:v>75</x:v>
      </x:c>
      <x:c r="B29" s="9" t="s">
        <x:v>76</x:v>
      </x:c>
      <x:c r="C29" s="9"/>
      <x:c r="D29" s="9"/>
      <x:c r="E29" s="9"/>
      <x:c r="F29" s="9"/>
      <x:c r="G29" s="9"/>
    </x:row>
    <x:row r="30" ht="12.800000190734863" hidden="0">
      <x:c r="A30" s="8"/>
    </x:row>
    <x:row r="31" ht="12.800000190734863" hidden="0">
      <x:c r="A31" s="8" t="s">
        <x:v>77</x:v>
      </x:c>
    </x:row>
    <x:row r="32" ht="12.800000190734863" hidden="0">
      <x:c r="A32" s="8" t="s">
        <x:v>22</x:v>
      </x:c>
      <x:c r="B32" s="8" t="s">
        <x:v>23</x:v>
      </x:c>
      <x:c r="C32" s="8" t="s">
        <x:v>24</x:v>
      </x:c>
      <x:c r="D32" s="8" t="s">
        <x:v>78</x:v>
      </x:c>
    </x:row>
    <x:row r="33" ht="12.800000190734863" hidden="0">
      <x:c r="A33" s="8" t="s">
        <x:v>79</x:v>
      </x:c>
      <x:c r="B33" s="8" t="n">
        <x:v>1.9</x:v>
      </x:c>
      <x:c r="C33" s="8" t="str">
        <x:v>—</x:v>
      </x:c>
      <x:c r="D33" s="8" t="s">
        <x:v>80</x:v>
      </x:c>
    </x:row>
    <x:row r="34" ht="12.800000190734863" hidden="0">
      <x:c r="A34" s="8" t="s">
        <x:v>81</x:v>
      </x:c>
      <x:c r="B34" s="8" t="n">
        <x:v>475.55</x:v>
      </x:c>
      <x:c r="C34" s="8" t="s">
        <x:v>82</x:v>
      </x:c>
      <x:c r="D34" s="8" t="s">
        <x:v>83</x:v>
      </x:c>
    </x:row>
    <x:row r="35" ht="12.800000190734863" hidden="0">
      <x:c r="A35" s="8" t="s">
        <x:v>84</x:v>
      </x:c>
      <x:c r="B35" s="8" t="n">
        <x:v>2</x:v>
      </x:c>
      <x:c r="C35" s="8" t="s">
        <x:v>85</x:v>
      </x:c>
      <x:c r="D35" s="8" t="s">
        <x:v>80</x:v>
      </x:c>
    </x:row>
    <x:row r="36" ht="12.800000190734863" hidden="0">
      <x:c r="A36" s="8" t="s">
        <x:v>86</x:v>
      </x:c>
      <x:c r="B36" s="8" t="n">
        <x:v>28</x:v>
      </x:c>
      <x:c r="C36" s="8" t="s">
        <x:v>44</x:v>
      </x:c>
      <x:c r="D36" s="8" t="s">
        <x:v>87</x:v>
      </x:c>
    </x:row>
    <x:row r="37" ht="12.800000190734863" hidden="0">
      <x:c r="A37" s="8" t="s">
        <x:v>88</x:v>
      </x:c>
      <x:c r="B37" s="8" t="n">
        <x:v>14</x:v>
      </x:c>
      <x:c r="C37" s="8" t="s">
        <x:v>44</x:v>
      </x:c>
      <x:c r="D37" s="8" t="s">
        <x:v>89</x:v>
      </x:c>
    </x:row>
    <x:row r="38" ht="12.800000190734863" hidden="0">
      <x:c r="A38" s="8" t="s">
        <x:v>90</x:v>
      </x:c>
      <x:c r="B38" s="8" t="n">
        <x:v>2</x:v>
      </x:c>
      <x:c r="C38" s="8" t="s">
        <x:v>91</x:v>
      </x:c>
      <x:c r="D38" s="8" t="s">
        <x:v>92</x:v>
      </x:c>
    </x:row>
    <x:row r="39" ht="12.800000190734863" hidden="0">
      <x:c r="A39" s="8" t="s">
        <x:v>93</x:v>
      </x:c>
      <x:c r="B39" s="8" t="n">
        <x:f aca="0">8.854187817*0.001*$B$33*$B$34/$B$38</x:f>
        <x:v>4.000078565555632</x:v>
      </x:c>
      <x:c r="C39" s="8" t="s">
        <x:v>44</x:v>
      </x:c>
      <x:c r="D39" s="8" t="s">
        <x:v>94</x:v>
      </x:c>
    </x:row>
    <x:row r="40" ht="12.800000190734863" hidden="0">
      <x:c r="A40" s="8" t="s">
        <x:v>95</x:v>
      </x:c>
      <x:c r="B40" s="8" t="n">
        <x:f aca="0">$B$37+$B$39</x:f>
        <x:v>18.000078565555633</x:v>
      </x:c>
      <x:c r="C40" s="8" t="s">
        <x:v>44</x:v>
      </x:c>
      <x:c r="D40" s="8" t="s">
        <x:v>96</x:v>
      </x:c>
    </x:row>
    <x:row r="41" ht="12.800000190734863" hidden="0">
      <x:c r="A41" s="8"/>
    </x:row>
    <x:row r="42" ht="12.800000190734863" hidden="0">
      <x:c r="A42" s="8" t="s">
        <x:v>97</x:v>
      </x:c>
      <x:c r="B42" s="8" t="s">
        <x:v>98</x:v>
      </x:c>
      <x:c r="C42" s="8" t="s">
        <x:v>99</x:v>
      </x:c>
      <x:c r="D42" s="8" t="s">
        <x:v>100</x:v>
      </x:c>
    </x:row>
    <x:row r="43" ht="12.800000190734863" hidden="0">
      <x:c r="A43" s="8" t="n">
        <x:v>0.5</x:v>
      </x:c>
      <x:c r="B43" s="8" t="n">
        <x:f aca="0">8.854187817*0.001*$B$33*$B$34/A43</x:f>
        <x:v>16.000314262222528</x:v>
      </x:c>
      <x:c r="C43" s="8" t="n">
        <x:f aca="0">$B$37+B43</x:f>
        <x:v>30.000314262222528</x:v>
      </x:c>
      <x:c r="D43" s="8" t="n">
        <x:f aca="0">A43/2</x:f>
        <x:v>0.25</x:v>
      </x:c>
    </x:row>
    <x:row r="44" ht="12.800000190734863" hidden="0">
      <x:c r="A44" s="8" t="n">
        <x:v>1</x:v>
      </x:c>
      <x:c r="B44" s="8" t="n">
        <x:f aca="0">8.854187817*0.001*$B$33*$B$34/A44</x:f>
        <x:v>8.000157131111264</x:v>
      </x:c>
      <x:c r="C44" s="8" t="n">
        <x:f aca="0">$B$37+B44</x:f>
        <x:v>22.000157131111266</x:v>
      </x:c>
      <x:c r="D44" s="8" t="n">
        <x:f aca="0">A44/2</x:f>
        <x:v>0.5</x:v>
      </x:c>
    </x:row>
    <x:row r="45" ht="12.800000190734863" hidden="0">
      <x:c r="A45" s="8" t="n">
        <x:v>1.5</x:v>
      </x:c>
      <x:c r="B45" s="8" t="n">
        <x:f aca="0">8.854187817*0.001*$B$33*$B$34/A45</x:f>
        <x:v>5.333438087407509</x:v>
      </x:c>
      <x:c r="C45" s="8" t="n">
        <x:f aca="0">$B$37+B45</x:f>
        <x:v>19.333438087407508</x:v>
      </x:c>
      <x:c r="D45" s="8" t="n">
        <x:f aca="0">A45/2</x:f>
        <x:v>0.75</x:v>
      </x:c>
    </x:row>
    <x:row r="46" ht="12.800000190734863" hidden="0">
      <x:c r="A46" s="8" t="n">
        <x:v>2</x:v>
      </x:c>
      <x:c r="B46" s="8" t="n">
        <x:f aca="0">8.854187817*0.001*$B$33*$B$34/A46</x:f>
        <x:v>4.000078565555632</x:v>
      </x:c>
      <x:c r="C46" s="8" t="n">
        <x:f aca="0">$B$37+B46</x:f>
        <x:v>18.000078565555633</x:v>
      </x:c>
      <x:c r="D46" s="8" t="n">
        <x:f aca="0">A46/2</x:f>
        <x:v>1</x:v>
      </x:c>
    </x:row>
    <x:row r="47" ht="12.800000190734863" hidden="0">
      <x:c r="A47" s="8" t="s">
        <x:v>101</x:v>
      </x:c>
    </x:row>
  </x:sheetData>
  <x:mergeCells>
    <x:mergeCell ref="A1:G1"/>
    <x:mergeCell ref="A22:G25"/>
    <x:mergeCell ref="B28:E28"/>
    <x:mergeCell ref="B29:E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2.800000190734863"/>
  <x:cols>
    <x:col min="1" max="1" width="9" hidden="0" customWidth="1"/>
    <x:col min="2" max="7" width="14" hidden="0" customWidth="1"/>
    <x:col min="8" max="8" width="17" hidden="0" customWidth="1"/>
    <x:col min="9" max="12" width="14" hidden="0" customWidth="1"/>
    <x:col min="13" max="14" width="15" hidden="0" customWidth="1"/>
    <x:col min="15" max="15" width="11" hidden="0" customWidth="1"/>
    <x:col min="16" max="16" width="15" hidden="0" customWidth="1"/>
    <x:col min="17" max="18" width="14" hidden="0" customWidth="1"/>
    <x:col min="19" max="20" width="17" hidden="0" customWidth="1"/>
    <x:col min="21" max="21" width="14" hidden="0" customWidth="1"/>
    <x:col min="22" max="22" width="18" hidden="0" customWidth="1"/>
    <x:col min="23" max="23" width="16" hidden="0" customWidth="1"/>
    <x:col min="24" max="24" width="15" hidden="0" customWidth="1"/>
    <x:col min="25" max="25" width="16" hidden="0" customWidth="1"/>
    <x:col min="26" max="26" width="15" hidden="0" customWidth="1"/>
    <x:col min="27" max="28" width="19" hidden="0" customWidth="1"/>
    <x:col min="29" max="30" width="15" hidden="0" customWidth="1"/>
    <x:col min="31" max="31" width="17" hidden="0" customWidth="1"/>
    <x:col min="32" max="32" width="15" hidden="0" customWidth="1"/>
    <x:col min="33" max="34" width="17" hidden="0" customWidth="1"/>
  </x:cols>
  <x:sheetData>
    <x:row r="1" ht="18.549999237060547" hidden="0">
      <x:c r="A1" s="13" t="s">
        <x:v>102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4"/>
      <x:c r="AG1" s="14"/>
      <x:c r="AH1" s="14"/>
    </x:row>
    <x:row r="2" ht="13.800000190734863" hidden="0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</x:row>
    <x:row r="3" ht="13.800000190734863" hidden="0" customHeight="1">
      <x:c r="A3" s="6" t="s">
        <x:v>103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  <x:c r="AF3" s="14"/>
      <x:c r="AG3" s="14"/>
      <x:c r="AH3" s="14"/>
    </x:row>
    <x:row r="4" ht="13.800000190734863" hidden="0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14"/>
      <x:c r="AG4" s="14"/>
      <x:c r="AH4" s="14"/>
    </x:row>
    <x:row r="5" ht="13.800000190734863" hidden="0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</x:row>
    <x:row r="6" ht="28.350000381469727" hidden="0">
      <x:c r="A6" s="7" t="s">
        <x:v>104</x:v>
      </x:c>
      <x:c r="B6" s="7" t="s">
        <x:v>105</x:v>
      </x:c>
      <x:c r="C6" s="7" t="s">
        <x:v>106</x:v>
      </x:c>
      <x:c r="D6" s="7" t="s">
        <x:v>107</x:v>
      </x:c>
      <x:c r="E6" s="7" t="s">
        <x:v>108</x:v>
      </x:c>
      <x:c r="F6" s="7" t="s">
        <x:v>109</x:v>
      </x:c>
      <x:c r="G6" s="7" t="s">
        <x:v>110</x:v>
      </x:c>
      <x:c r="H6" s="7" t="s">
        <x:v>111</x:v>
      </x:c>
      <x:c r="I6" s="7" t="s">
        <x:v>112</x:v>
      </x:c>
      <x:c r="J6" s="7" t="s">
        <x:v>113</x:v>
      </x:c>
      <x:c r="K6" s="7" t="s">
        <x:v>114</x:v>
      </x:c>
      <x:c r="L6" s="7" t="s">
        <x:v>115</x:v>
      </x:c>
      <x:c r="M6" s="7" t="s">
        <x:v>116</x:v>
      </x:c>
      <x:c r="N6" s="7" t="s">
        <x:v>117</x:v>
      </x:c>
      <x:c r="O6" s="7" t="s">
        <x:v>118</x:v>
      </x:c>
      <x:c r="P6" s="7" t="s">
        <x:v>119</x:v>
      </x:c>
      <x:c r="Q6" s="7" t="s">
        <x:v>120</x:v>
      </x:c>
      <x:c r="R6" s="7" t="s">
        <x:v>121</x:v>
      </x:c>
      <x:c r="S6" s="7" t="s">
        <x:v>122</x:v>
      </x:c>
      <x:c r="T6" s="7" t="s">
        <x:v>123</x:v>
      </x:c>
      <x:c r="U6" s="7" t="s">
        <x:v>124</x:v>
      </x:c>
      <x:c r="V6" s="7" t="s">
        <x:v>125</x:v>
      </x:c>
      <x:c r="W6" s="7" t="s">
        <x:v>126</x:v>
      </x:c>
      <x:c r="X6" s="7" t="s">
        <x:v>127</x:v>
      </x:c>
      <x:c r="Y6" s="7" t="s">
        <x:v>128</x:v>
      </x:c>
      <x:c r="Z6" s="7" t="s">
        <x:v>129</x:v>
      </x:c>
      <x:c r="AA6" s="7" t="s">
        <x:v>130</x:v>
      </x:c>
      <x:c r="AB6" s="7" t="s">
        <x:v>131</x:v>
      </x:c>
      <x:c r="AC6" s="7" t="s">
        <x:v>132</x:v>
      </x:c>
      <x:c r="AD6" s="7" t="s">
        <x:v>133</x:v>
      </x:c>
      <x:c r="AE6" s="7" t="s">
        <x:v>134</x:v>
      </x:c>
      <x:c r="AF6" s="7" t="s">
        <x:v>135</x:v>
      </x:c>
      <x:c r="AG6" s="7" t="s">
        <x:v>136</x:v>
      </x:c>
      <x:c r="AH6" s="7" t="s">
        <x:v>137</x:v>
      </x:c>
    </x:row>
    <x:row r="7" ht="14.899999618530273" hidden="0">
      <x:c r="A7" s="15" t="n">
        <x:f aca="0">'02_INPUTS'!B14</x:f>
        <x:v>0.1</x:v>
      </x:c>
      <x:c r="B7" s="15" t="n">
        <x:f aca="0">1/(2*PI()*A7*1000000*'02_INPUTS'!$B$7*0.000000000001)</x:f>
        <x:v>88419.0269016098</x:v>
      </x:c>
      <x:c r="C7" s="15" t="n">
        <x:f aca="0">1/(2*PI()*A7*1000000*'02_INPUTS'!$B$8*0.000000000001)</x:f>
        <x:v>353677.651315323</x:v>
      </x:c>
      <x:c r="D7" s="15" t="n">
        <x:f aca="0">(1/'02_INPUTS'!$B$5)/((1/'02_INPUTS'!$B$5)^2+(1/C7)^2)</x:f>
        <x:v>49.99999900070257</x:v>
      </x:c>
      <x:c r="E7" s="15" t="n">
        <x:f aca="0">-(1/C7)/((1/'02_INPUTS'!$B$5)^2+(1/C7)^2)</x:f>
        <x:v>-0.0070685833293046875</x:v>
      </x:c>
      <x:c r="F7" s="15" t="n">
        <x:f aca="0">D7+'02_INPUTS'!$B$6</x:f>
        <x:v>50.31799900070257</x:v>
      </x:c>
      <x:c r="G7" s="15" t="n">
        <x:f aca="0">E7</x:f>
        <x:v>-0.0070685833293046875</x:v>
      </x:c>
      <x:c r="H7" s="15" t="n">
        <x:f aca="0">('02_INPUTS'!$B$5*'02_INPUTS'!$B$9)/('02_INPUTS'!$B$5+'02_INPUTS'!$B$9)</x:f>
        <x:v>7.191780821917808</x:v>
      </x:c>
      <x:c r="I7" s="15" t="n">
        <x:f aca="0">H7</x:f>
        <x:v>7.191780821917808</x:v>
      </x:c>
      <x:c r="J7" s="15" t="n">
        <x:f aca="0">-B7</x:f>
        <x:v>-88419.0269016098</x:v>
      </x:c>
      <x:c r="K7" s="15" t="n">
        <x:f aca="0">F7/(F7^2+G7^2)+I7/(I7^2+J7^2)</x:f>
        <x:v>0.019873604801731032</x:v>
      </x:c>
      <x:c r="L7" s="15" t="n">
        <x:f aca="0">-G7/(F7^2+G7^2)-J7/(I7^2+J7^2)</x:f>
        <x:v>0.000014101591496893343</x:v>
      </x:c>
      <x:c r="M7" s="15" t="n">
        <x:f aca="0">K7/(K7^2+L7^2)</x:f>
        <x:v>50.31797233042981</x:v>
      </x:c>
      <x:c r="N7" s="15" t="n">
        <x:f aca="0">-L7/(K7^2+L7^2)</x:f>
        <x:v>-0.03570381407070644</x:v>
      </x:c>
      <x:c r="O7" s="15" t="n">
        <x:f aca="0">((M7-'02_INPUTS'!$B$5)^2+N7^2)/((M7+'02_INPUTS'!$B$5)^2+N7^2)</x:f>
        <x:v>0.000010173315712120694</x:v>
      </x:c>
      <x:c r="P7" s="15" t="n">
        <x:f aca="0">SQRT((4*'02_INPUTS'!$B$4*'02_INPUTS'!$B$5)*(M7^2+N7^2)/(('02_INPUTS'!$B$5+M7)^2+N7^2))</x:f>
        <x:v>255.75912787776716</x:v>
      </x:c>
      <x:c r="Q7" s="15" t="n">
        <x:f aca="0">P7/SQRT(F7^2+G7^2)</x:f>
        <x:v>5.0828556467558235</x:v>
      </x:c>
      <x:c r="R7" s="15" t="n">
        <x:f aca="0">P7/SQRT(I7^2+J7^2)</x:f>
        <x:v>0.002892580205800556</x:v>
      </x:c>
      <x:c r="S7" s="15" t="n">
        <x:f aca="0">Q7*SQRT(D7^2+E7^2)</x:f>
        <x:v>254.1427797981489</x:v>
      </x:c>
      <x:c r="T7" s="15" t="n">
        <x:f aca="0">R7*H7</x:f>
        <x:v>0.020802802849935506</x:v>
      </x:c>
      <x:c r="U7" s="15" t="n">
        <x:f aca="0">S7/'02_INPUTS'!$B$5</x:f>
        <x:v>5.082855595962978</x:v>
      </x:c>
      <x:c r="V7" s="15" t="n">
        <x:f aca="0">S7/C7</x:f>
        <x:v>0.0007185717809790776</x:v>
      </x:c>
      <x:c r="W7" s="15" t="n">
        <x:f aca="0">T7/'02_INPUTS'!$B$5</x:f>
        <x:v>0.0004160560569987101</x:v>
      </x:c>
      <x:c r="X7" s="15" t="n">
        <x:f aca="0">T7/'02_INPUTS'!$B$9</x:f>
        <x:v>0.0024765241488018458</x:v>
      </x:c>
      <x:c r="Y7" s="15" t="n">
        <x:f aca="0">S7^2/'02_INPUTS'!$B$5</x:f>
        <x:v>1291.7710504706079</x:v>
      </x:c>
      <x:c r="Z7" s="15" t="n">
        <x:f aca="0">T7^2/'02_INPUTS'!$B$5</x:f>
        <x:v>0.000008655132128265696</x:v>
      </x:c>
      <x:c r="AA7" s="15" t="n">
        <x:f aca="0">Q7^2*'02_INPUTS'!$B$6</x:f>
        <x:v>8.215664045190904</x:v>
      </x:c>
      <x:c r="AB7" s="15" t="n">
        <x:f aca="0">X7^2*'02_INPUTS'!$B$9</x:f>
        <x:v>0.000051518643620629134</x:v>
      </x:c>
      <x:c r="AC7" s="15" t="n">
        <x:f aca="0">'02_INPUTS'!$B$4*O7</x:f>
        <x:v>0.013225310425756902</x:v>
      </x:c>
      <x:c r="AD7" s="15" t="n">
        <x:f aca="0">SUM(Y7:AC7)</x:f>
        <x:v>1300.0000000000002</x:v>
      </x:c>
      <x:c r="AE7" s="15" t="n">
        <x:f aca="0">100*Y7/'02_INPUTS'!$B$4</x:f>
        <x:v>99.36700388235445</x:v>
      </x:c>
      <x:c r="AF7" s="15" t="n">
        <x:f aca="0">-10*LOG10(Y7/'02_INPUTS'!$B$4)</x:f>
        <x:v>0.0275780484606639</x:v>
      </x:c>
      <x:c r="AG7" s="15" t="n">
        <x:f aca="0">-10*LOG10(Z7/'02_INPUTS'!$B$4)</x:f>
        <x:v>81.766696501545</x:v>
      </x:c>
      <x:c r="AH7" s="15" t="n">
        <x:f aca="0">-10*LOG10(O7)</x:f>
        <x:v>49.9253747767817</x:v>
      </x:c>
    </x:row>
    <x:row r="8" ht="14.899999618530273" hidden="0">
      <x:c r="A8" s="15" t="n">
        <x:f aca="0">'02_INPUTS'!B15</x:f>
        <x:v>1</x:v>
      </x:c>
      <x:c r="B8" s="15" t="n">
        <x:f aca="0">1/(2*PI()*A8*1000000*'02_INPUTS'!$B$7*0.000000000001)</x:f>
        <x:v>8841.90269016098</x:v>
      </x:c>
      <x:c r="C8" s="15" t="n">
        <x:f aca="0">1/(2*PI()*A8*1000000*'02_INPUTS'!$B$8*0.000000000001)</x:f>
        <x:v>35367.7651315323</x:v>
      </x:c>
      <x:c r="D8" s="15" t="n">
        <x:f aca="0">(1/'02_INPUTS'!$B$5)/((1/'02_INPUTS'!$B$5)^2+(1/C8)^2)</x:f>
        <x:v>49.999900070455155</x:v>
      </x:c>
      <x:c r="E8" s="15" t="n">
        <x:f aca="0">-(1/C8)/((1/'02_INPUTS'!$B$5)^2+(1/C8)^2)</x:f>
        <x:v>-0.07068569343370455</x:v>
      </x:c>
      <x:c r="F8" s="15" t="n">
        <x:f aca="0">D8+'02_INPUTS'!$B$6</x:f>
        <x:v>50.31790007045515</x:v>
      </x:c>
      <x:c r="G8" s="15" t="n">
        <x:f aca="0">E8</x:f>
        <x:v>-0.07068569343370455</x:v>
      </x:c>
      <x:c r="H8" s="15" t="n">
        <x:f aca="0">('02_INPUTS'!$B$5*'02_INPUTS'!$B$9)/('02_INPUTS'!$B$5+'02_INPUTS'!$B$9)</x:f>
        <x:v>7.191780821917808</x:v>
      </x:c>
      <x:c r="I8" s="15" t="n">
        <x:f aca="0">H8</x:f>
        <x:v>7.191780821917808</x:v>
      </x:c>
      <x:c r="J8" s="15" t="n">
        <x:f aca="0">-B8</x:f>
        <x:v>-8841.90269016098</x:v>
      </x:c>
      <x:c r="K8" s="15" t="n">
        <x:f aca="0">F8/(F8^2+G8^2)+I8/(I8^2+J8^2)</x:f>
        <x:v>0.019873696119622447</x:v>
      </x:c>
      <x:c r="L8" s="15" t="n">
        <x:f aca="0">-G8/(F8^2+G8^2)-J8/(I8^2+J8^2)</x:f>
        <x:v>0.00014101584089190833</x:v>
      </x:c>
      <x:c r="M8" s="15" t="n">
        <x:f aca="0">K8/(K8^2+L8^2)</x:f>
        <x:v>50.315233208058736</x:v>
      </x:c>
      <x:c r="N8" s="15" t="n">
        <x:f aca="0">-L8/(K8^2+L8^2)</x:f>
        <x:v>-0.3570168768707965</x:v>
      </x:c>
      <x:c r="O8" s="15" t="n">
        <x:f aca="0">((M8-'02_INPUTS'!$B$5)^2+N8^2)/((M8+'02_INPUTS'!$B$5)^2+N8^2)</x:f>
        <x:v>0.000022540679869752697</x:v>
      </x:c>
      <x:c r="P8" s="15" t="n">
        <x:f aca="0">SQRT((4*'02_INPUTS'!$B$4*'02_INPUTS'!$B$5)*(M8^2+N8^2)/(('02_INPUTS'!$B$5+M8)^2+N8^2))</x:f>
        <x:v>255.756958731225</x:v>
      </x:c>
      <x:c r="Q8" s="15" t="n">
        <x:f aca="0">P8/SQRT(F8^2+G8^2)</x:f>
        <x:v>5.082817566242003</x:v>
      </x:c>
      <x:c r="R8" s="15" t="n">
        <x:f aca="0">P8/SQRT(I8^2+J8^2)</x:f>
        <x:v>0.028925547259664525</x:v>
      </x:c>
      <x:c r="S8" s="15" t="n">
        <x:f aca="0">Q8*SQRT(D8^2+E8^2)</x:f>
        <x:v>254.1406243501503</x:v>
      </x:c>
      <x:c r="T8" s="15" t="n">
        <x:f aca="0">R8*H8</x:f>
        <x:v>0.20802619604553255</x:v>
      </x:c>
      <x:c r="U8" s="15" t="n">
        <x:f aca="0">S8/'02_INPUTS'!$B$5</x:f>
        <x:v>5.082812487003006</x:v>
      </x:c>
      <x:c r="V8" s="15" t="n">
        <x:f aca="0">S8/C8</x:f>
        <x:v>0.007185656865934398</x:v>
      </x:c>
      <x:c r="W8" s="15" t="n">
        <x:f aca="0">T8/'02_INPUTS'!$B$5</x:f>
        <x:v>0.004160523920910651</x:v>
      </x:c>
      <x:c r="X8" s="15" t="n">
        <x:f aca="0">T8/'02_INPUTS'!$B$9</x:f>
        <x:v>0.024765023338753873</x:v>
      </x:c>
      <x:c r="Y8" s="15" t="n">
        <x:f aca="0">S8^2/'02_INPUTS'!$B$5</x:f>
        <x:v>1291.749138901684</x:v>
      </x:c>
      <x:c r="Z8" s="15" t="n">
        <x:f aca="0">T8^2/'02_INPUTS'!$B$5</x:f>
        <x:v>0.0008654979648234868</x:v>
      </x:c>
      <x:c r="AA8" s="15" t="n">
        <x:f aca="0">Q8^2*'02_INPUTS'!$B$6</x:f>
        <x:v>8.215540942920052</x:v>
      </x:c>
      <x:c r="AB8" s="15" t="n">
        <x:f aca="0">X8^2*'02_INPUTS'!$B$9</x:f>
        <x:v>0.005151773600139802</x:v>
      </x:c>
      <x:c r="AC8" s="15" t="n">
        <x:f aca="0">'02_INPUTS'!$B$4*O8</x:f>
        <x:v>0.029302883830678507</x:v>
      </x:c>
      <x:c r="AD8" s="15" t="n">
        <x:f aca="0">SUM(Y8:AC8)</x:f>
        <x:v>1300</x:v>
      </x:c>
      <x:c r="AE8" s="15" t="n">
        <x:f aca="0">100*Y8/'02_INPUTS'!$B$4</x:f>
        <x:v>99.36531837705262</x:v>
      </x:c>
      <x:c r="AF8" s="15" t="n">
        <x:f aca="0">-10*LOG10(Y8/'02_INPUTS'!$B$4)</x:f>
        <x:v>0.0276517159590857</x:v>
      </x:c>
      <x:c r="AG8" s="15" t="n">
        <x:f aca="0">-10*LOG10(Z8/'02_INPUTS'!$B$4)</x:f>
        <x:v>61.7667730131665</x:v>
      </x:c>
      <x:c r="AH8" s="15" t="n">
        <x:f aca="0">-10*LOG10(O8)</x:f>
        <x:v>46.4703298894523</x:v>
      </x:c>
    </x:row>
    <x:row r="9" ht="14.899999618530273" hidden="0">
      <x:c r="A9" s="15" t="n">
        <x:f aca="0">'02_INPUTS'!B16</x:f>
        <x:v>5</x:v>
      </x:c>
      <x:c r="B9" s="15" t="n">
        <x:f aca="0">1/(2*PI()*A9*1000000*'02_INPUTS'!$B$7*0.000000000001)</x:f>
        <x:v>1768.380538032196</x:v>
      </x:c>
      <x:c r="C9" s="15" t="n">
        <x:f aca="0">1/(2*PI()*A9*1000000*'02_INPUTS'!$B$8*0.000000000001)</x:f>
        <x:v>7073.55302630646</x:v>
      </x:c>
      <x:c r="D9" s="15" t="n">
        <x:f aca="0">(1/'02_INPUTS'!$B$5)/((1/'02_INPUTS'!$B$5)^2+(1/C9)^2)</x:f>
        <x:v>49.99750188120416</x:v>
      </x:c>
      <x:c r="E9" s="15" t="n">
        <x:f aca="0">-(1/C9)/((1/'02_INPUTS'!$B$5)^2+(1/C9)^2)</x:f>
        <x:v>-0.3534115153676239</x:v>
      </x:c>
      <x:c r="F9" s="15" t="n">
        <x:f aca="0">D9+'02_INPUTS'!$B$6</x:f>
        <x:v>50.315501881204156</x:v>
      </x:c>
      <x:c r="G9" s="15" t="n">
        <x:f aca="0">E9</x:f>
        <x:v>-0.3534115153676239</x:v>
      </x:c>
      <x:c r="H9" s="15" t="n">
        <x:f aca="0">('02_INPUTS'!$B$5*'02_INPUTS'!$B$9)/('02_INPUTS'!$B$5+'02_INPUTS'!$B$9)</x:f>
        <x:v>7.191780821917808</x:v>
      </x:c>
      <x:c r="I9" s="15" t="n">
        <x:f aca="0">H9</x:f>
        <x:v>7.191780821917808</x:v>
      </x:c>
      <x:c r="J9" s="15" t="n">
        <x:f aca="0">-B9</x:f>
        <x:v>-1768.380538032196</x:v>
      </x:c>
      <x:c r="K9" s="15" t="n">
        <x:f aca="0">F9/(F9^2+G9^2)+I9/(I9^2+J9^2)</x:f>
        <x:v>0.01987590985018683</x:v>
      </x:c>
      <x:c r="L9" s="15" t="n">
        <x:f aca="0">-G9/(F9^2+G9^2)-J9/(I9^2+J9^2)</x:f>
        <x:v>0.0007050702255746387</x:v>
      </x:c>
      <x:c r="M9" s="15" t="n">
        <x:f aca="0">K9/(K9^2+L9^2)</x:f>
        <x:v>50.24893009768994</x:v>
      </x:c>
      <x:c r="N9" s="15" t="n">
        <x:f aca="0">-L9/(K9^2+L9^2)</x:f>
        <x:v>-1.7825108257134439</x:v>
      </x:c>
      <x:c r="O9" s="15" t="n">
        <x:f aca="0">((M9-'02_INPUTS'!$B$5)^2+N9^2)/((M9+'02_INPUTS'!$B$5)^2+N9^2)</x:f>
        <x:v>0.0003222225082303827</x:v>
      </x:c>
      <x:c r="P9" s="15" t="n">
        <x:f aca="0">SQRT((4*'02_INPUTS'!$B$4*'02_INPUTS'!$B$5)*(M9^2+N9^2)/(('02_INPUTS'!$B$5+M9)^2+N9^2))</x:f>
        <x:v>255.7043910825294</x:v>
      </x:c>
      <x:c r="Q9" s="15" t="n">
        <x:f aca="0">P9/SQRT(F9^2+G9^2)</x:f>
        <x:v>5.0818947268613535</x:v>
      </x:c>
      <x:c r="R9" s="15" t="n">
        <x:f aca="0">P9/SQRT(I9^2+J9^2)</x:f>
        <x:v>0.1445968619325012</x:v>
      </x:c>
      <x:c r="S9" s="15" t="n">
        <x:f aca="0">Q9*SQRT(D9^2+E9^2)</x:f>
        <x:v>254.08838867541272</x:v>
      </x:c>
      <x:c r="T9" s="15" t="n">
        <x:f aca="0">R9*H9</x:f>
        <x:v>1.0399089385556595</x:v>
      </x:c>
      <x:c r="U9" s="15" t="n">
        <x:f aca="0">S9/'02_INPUTS'!$B$5</x:f>
        <x:v>5.081767773508254</x:v>
      </x:c>
      <x:c r="V9" s="15" t="n">
        <x:f aca="0">S9/C9</x:f>
        <x:v>0.035920899685131506</x:v>
      </x:c>
      <x:c r="W9" s="15" t="n">
        <x:f aca="0">T9/'02_INPUTS'!$B$5</x:f>
        <x:v>0.020798178771113188</x:v>
      </x:c>
      <x:c r="X9" s="15" t="n">
        <x:f aca="0">T9/'02_INPUTS'!$B$9</x:f>
        <x:v>0.12379868316138802</x:v>
      </x:c>
      <x:c r="Y9" s="15" t="n">
        <x:f aca="0">S9^2/'02_INPUTS'!$B$5</x:f>
        <x:v>1291.218185193352</x:v>
      </x:c>
      <x:c r="Z9" s="15" t="n">
        <x:f aca="0">T9^2/'02_INPUTS'!$B$5</x:f>
        <x:v>0.021628212009759163</x:v>
      </x:c>
      <x:c r="AA9" s="15" t="n">
        <x:f aca="0">Q9^2*'02_INPUTS'!$B$6</x:f>
        <x:v>8.21255797673859</x:v>
      </x:c>
      <x:c r="AB9" s="15" t="n">
        <x:f aca="0">X9^2*'02_INPUTS'!$B$9</x:f>
        <x:v>0.1287393572009474</x:v>
      </x:c>
      <x:c r="AC9" s="15" t="n">
        <x:f aca="0">'02_INPUTS'!$B$4*O9</x:f>
        <x:v>0.4188892606994975</x:v>
      </x:c>
      <x:c r="AD9" s="15" t="n">
        <x:f aca="0">SUM(Y9:AC9)</x:f>
        <x:v>1300.0000000000005</x:v>
      </x:c>
      <x:c r="AE9" s="15" t="n">
        <x:f aca="0">100*Y9/'02_INPUTS'!$B$4</x:f>
        <x:v>99.324475784104</x:v>
      </x:c>
      <x:c r="AF9" s="15" t="n">
        <x:f aca="0">-10*LOG10(Y9/'02_INPUTS'!$B$4)</x:f>
        <x:v>0.0294371839111697</x:v>
      </x:c>
      <x:c r="AG9" s="15" t="n">
        <x:f aca="0">-10*LOG10(Z9/'02_INPUTS'!$B$4)</x:f>
        <x:v>47.7892273422657</x:v>
      </x:c>
      <x:c r="AH9" s="15" t="n">
        <x:f aca="0">-10*LOG10(O9)</x:f>
        <x:v>34.9184412605575</x:v>
      </x:c>
    </x:row>
    <x:row r="10" ht="14.899999618530273" hidden="0">
      <x:c r="A10" s="15" t="n">
        <x:f aca="0">'02_INPUTS'!B17</x:f>
        <x:v>10</x:v>
      </x:c>
      <x:c r="B10" s="15" t="n">
        <x:f aca="0">1/(2*PI()*A10*1000000*'02_INPUTS'!$B$7*0.000000000001)</x:f>
        <x:v>884.190269016098</x:v>
      </x:c>
      <x:c r="C10" s="15" t="n">
        <x:f aca="0">1/(2*PI()*A10*1000000*'02_INPUTS'!$B$8*0.000000000001)</x:f>
        <x:v>3536.77651315323</x:v>
      </x:c>
      <x:c r="D10" s="15" t="n">
        <x:f aca="0">(1/'02_INPUTS'!$B$5)/((1/'02_INPUTS'!$B$5)^2+(1/C10)^2)</x:f>
        <x:v>49.990009022335585</x:v>
      </x:c>
      <x:c r="E10" s="15" t="n">
        <x:f aca="0">-(1/C10)/((1/'02_INPUTS'!$B$5)^2+(1/C10)^2)</x:f>
        <x:v>-0.7067171029385563</x:v>
      </x:c>
      <x:c r="F10" s="15" t="n">
        <x:f aca="0">D10+'02_INPUTS'!$B$6</x:f>
        <x:v>50.30800902233558</x:v>
      </x:c>
      <x:c r="G10" s="15" t="n">
        <x:f aca="0">E10</x:f>
        <x:v>-0.7067171029385563</x:v>
      </x:c>
      <x:c r="H10" s="15" t="n">
        <x:f aca="0">('02_INPUTS'!$B$5*'02_INPUTS'!$B$9)/('02_INPUTS'!$B$5+'02_INPUTS'!$B$9)</x:f>
        <x:v>7.191780821917808</x:v>
      </x:c>
      <x:c r="I10" s="15" t="n">
        <x:f aca="0">H10</x:f>
        <x:v>7.191780821917808</x:v>
      </x:c>
      <x:c r="J10" s="15" t="n">
        <x:f aca="0">-B10</x:f>
        <x:v>-884.190269016098</x:v>
      </x:c>
      <x:c r="K10" s="15" t="n">
        <x:f aca="0">F10/(F10^2+G10^2)+I10/(I10^2+J10^2)</x:f>
        <x:v>0.019882827306358312</x:v>
      </x:c>
      <x:c r="L10" s="15" t="n">
        <x:f aca="0">-G10/(F10^2+G10^2)-J10/(I10^2+J10^2)</x:f>
        <x:v>0.001410084336793804</x:v>
      </x:c>
      <x:c r="M10" s="15" t="n">
        <x:f aca="0">K10/(K10^2+L10^2)</x:f>
        <x:v>50.042961687672566</x:v>
      </x:c>
      <x:c r="N10" s="15" t="n">
        <x:f aca="0">-L10/(K10^2+L10^2)</x:f>
        <x:v>-3.54903230588306</x:v>
      </x:c>
      <x:c r="O10" s="15" t="n">
        <x:f aca="0">((M10-'02_INPUTS'!$B$5)^2+N10^2)/((M10+'02_INPUTS'!$B$5)^2+N10^2)</x:f>
        <x:v>0.001257083864211081</x:v>
      </x:c>
      <x:c r="P10" s="15" t="n">
        <x:f aca="0">SQRT((4*'02_INPUTS'!$B$4*'02_INPUTS'!$B$5)*(M10^2+N10^2)/(('02_INPUTS'!$B$5+M10)^2+N10^2))</x:f>
        <x:v>255.54033625284575</x:v>
      </x:c>
      <x:c r="Q10" s="15" t="n">
        <x:f aca="0">P10/SQRT(F10^2+G10^2)</x:f>
        <x:v>5.07901486620258</x:v>
      </x:c>
      <x:c r="R10" s="15" t="n">
        <x:f aca="0">P10/SQRT(I10^2+J10^2)</x:f>
        <x:v>0.28900101327304634</x:v>
      </x:c>
      <x:c r="S10" s="15" t="n">
        <x:f aca="0">Q10*SQRT(D10^2+E10^2)</x:f>
        <x:v>253.92536988049608</x:v>
      </x:c>
      <x:c r="T10" s="15" t="n">
        <x:f aca="0">R10*H10</x:f>
        <x:v>2.0784319447719084</x:v>
      </x:c>
      <x:c r="U10" s="15" t="n">
        <x:f aca="0">S10/'02_INPUTS'!$B$5</x:f>
        <x:v>5.078507397609922</x:v>
      </x:c>
      <x:c r="V10" s="15" t="n">
        <x:f aca="0">S10/C10</x:f>
        <x:v>0.07179570689189736</x:v>
      </x:c>
      <x:c r="W10" s="15" t="n">
        <x:f aca="0">T10/'02_INPUTS'!$B$5</x:f>
        <x:v>0.041568638895438166</x:v>
      </x:c>
      <x:c r="X10" s="15" t="n">
        <x:f aca="0">T10/'02_INPUTS'!$B$9</x:f>
        <x:v>0.24743237437760812</x:v>
      </x:c>
      <x:c r="Y10" s="15" t="n">
        <x:f aca="0">S10^2/'02_INPUTS'!$B$5</x:f>
        <x:v>1289.561869378935</x:v>
      </x:c>
      <x:c r="Z10" s="15" t="n">
        <x:f aca="0">T10^2/'02_INPUTS'!$B$5</x:f>
        <x:v>0.08639758698096674</x:v>
      </x:c>
      <x:c r="AA10" s="15" t="n">
        <x:f aca="0">Q10^2*'02_INPUTS'!$B$6</x:f>
        <x:v>8.203252659531966</x:v>
      </x:c>
      <x:c r="AB10" s="15" t="n">
        <x:f aca="0">X10^2*'02_INPUTS'!$B$9</x:f>
        <x:v>0.5142713510771829</x:v>
      </x:c>
      <x:c r="AC10" s="15" t="n">
        <x:f aca="0">'02_INPUTS'!$B$4*O10</x:f>
        <x:v>1.634209023474405</x:v>
      </x:c>
      <x:c r="AD10" s="15" t="n">
        <x:f aca="0">SUM(Y10:AC10)</x:f>
        <x:v>1299.9999999999993</x:v>
      </x:c>
      <x:c r="AE10" s="15" t="n">
        <x:f aca="0">100*Y10/'02_INPUTS'!$B$4</x:f>
        <x:v>99.19706687530268</x:v>
      </x:c>
      <x:c r="AF10" s="15" t="n">
        <x:f aca="0">-10*LOG10(Y10/'02_INPUTS'!$B$4)</x:f>
        <x:v>0.0350116916339658</x:v>
      </x:c>
      <x:c r="AG10" s="15" t="n">
        <x:f aca="0">-10*LOG10(Z10/'02_INPUTS'!$B$4)</x:f>
        <x:v>41.7744173917384</x:v>
      </x:c>
      <x:c r="AH10" s="15" t="n">
        <x:f aca="0">-10*LOG10(O10)</x:f>
        <x:v>29.0063574813014</x:v>
      </x:c>
    </x:row>
    <x:row r="11" ht="14.899999618530273" hidden="0">
      <x:c r="A11" s="15" t="n">
        <x:f aca="0">'02_INPUTS'!B18</x:f>
        <x:v>20</x:v>
      </x:c>
      <x:c r="B11" s="15" t="n">
        <x:f aca="0">1/(2*PI()*A11*1000000*'02_INPUTS'!$B$7*0.000000000001)</x:f>
        <x:v>442.095134508049</x:v>
      </x:c>
      <x:c r="C11" s="15" t="n">
        <x:f aca="0">1/(2*PI()*A11*1000000*'02_INPUTS'!$B$8*0.000000000001)</x:f>
        <x:v>1768.388256576615</x:v>
      </x:c>
      <x:c r="D11" s="15" t="n">
        <x:f aca="0">(1/'02_INPUTS'!$B$5)/((1/'02_INPUTS'!$B$5)^2+(1/C11)^2)</x:f>
        <x:v>49.96006003170223</x:v>
      </x:c>
      <x:c r="E11" s="15" t="n">
        <x:f aca="0">-(1/C11)/((1/'02_INPUTS'!$B$5)^2+(1/C11)^2)</x:f>
        <x:v>-1.4125874181165068</x:v>
      </x:c>
      <x:c r="F11" s="15" t="n">
        <x:f aca="0">D11+'02_INPUTS'!$B$6</x:f>
        <x:v>50.278060031702225</x:v>
      </x:c>
      <x:c r="G11" s="15" t="n">
        <x:f aca="0">E11</x:f>
        <x:v>-1.4125874181165068</x:v>
      </x:c>
      <x:c r="H11" s="15" t="n">
        <x:f aca="0">('02_INPUTS'!$B$5*'02_INPUTS'!$B$9)/('02_INPUTS'!$B$5+'02_INPUTS'!$B$9)</x:f>
        <x:v>7.191780821917808</x:v>
      </x:c>
      <x:c r="I11" s="15" t="n">
        <x:f aca="0">H11</x:f>
        <x:v>7.191780821917808</x:v>
      </x:c>
      <x:c r="J11" s="15" t="n">
        <x:f aca="0">-B11</x:f>
        <x:v>-442.095134508049</x:v>
      </x:c>
      <x:c r="K11" s="15" t="n">
        <x:f aca="0">F11/(F11^2+G11^2)+I11/(I11^2+J11^2)</x:f>
        <x:v>0.01991049028675673</x:v>
      </x:c>
      <x:c r="L11" s="15" t="n">
        <x:f aca="0">-G11/(F11^2+G11^2)-J11/(I11^2+J11^2)</x:f>
        <x:v>0.0028197198700832034</x:v>
      </x:c>
      <x:c r="M11" s="15" t="n">
        <x:f aca="0">K11/(K11^2+L11^2)</x:f>
        <x:v>49.23726920076995</x:v>
      </x:c>
      <x:c r="N11" s="15" t="n">
        <x:f aca="0">-L11/(K11^2+L11^2)</x:f>
        <x:v>-6.972972755291301</x:v>
      </x:c>
      <x:c r="O11" s="15" t="n">
        <x:f aca="0">((M11-'02_INPUTS'!$B$5)^2+N11^2)/((M11+'02_INPUTS'!$B$5)^2+N11^2)</x:f>
        <x:v>0.004971790232549863</x:v>
      </x:c>
      <x:c r="P11" s="15" t="n">
        <x:f aca="0">SQRT((4*'02_INPUTS'!$B$4*'02_INPUTS'!$B$5)*(M11^2+N11^2)/(('02_INPUTS'!$B$5+M11)^2+N11^2))</x:f>
        <x:v>254.8874166678259</x:v>
      </x:c>
      <x:c r="Q11" s="15" t="n">
        <x:f aca="0">P11/SQRT(F11^2+G11^2)</x:f>
        <x:v>5.067555856364037</x:v>
      </x:c>
      <x:c r="R11" s="15" t="n">
        <x:f aca="0">P11/SQRT(I11^2+J11^2)</x:f>
        <x:v>0.5764679994350038</x:v>
      </x:c>
      <x:c r="S11" s="15" t="n">
        <x:f aca="0">Q11*SQRT(D11^2+E11^2)</x:f>
        <x:v>253.27657359057474</x:v>
      </x:c>
      <x:c r="T11" s="15" t="n">
        <x:f aca="0">R11*H11</x:f>
        <x:v>4.1458315027859864</x:v>
      </x:c>
      <x:c r="U11" s="15" t="n">
        <x:f aca="0">S11/'02_INPUTS'!$B$5</x:f>
        <x:v>5.065531471811495</x:v>
      </x:c>
      <x:c r="V11" s="15" t="n">
        <x:f aca="0">S11/C11</x:f>
        <x:v>0.14322452812533795</x:v>
      </x:c>
      <x:c r="W11" s="15" t="n">
        <x:f aca="0">T11/'02_INPUTS'!$B$5</x:f>
        <x:v>0.08291663005571973</x:v>
      </x:c>
      <x:c r="X11" s="15" t="n">
        <x:f aca="0">T11/'02_INPUTS'!$B$9</x:f>
        <x:v>0.49355136937928407</x:v>
      </x:c>
      <x:c r="Y11" s="15" t="n">
        <x:f aca="0">S11^2/'02_INPUTS'!$B$5</x:f>
        <x:v>1282.9804545956365</x:v>
      </x:c>
      <x:c r="Z11" s="15" t="n">
        <x:f aca="0">T11^2/'02_INPUTS'!$B$5</x:f>
        <x:v>0.34375837698985423</x:v>
      </x:c>
      <x:c r="AA11" s="15" t="n">
        <x:f aca="0">Q11^2*'02_INPUTS'!$B$6</x:f>
        <x:v>8.166278909643484</x:v>
      </x:c>
      <x:c r="AB11" s="15" t="n">
        <x:f aca="0">X11^2*'02_INPUTS'!$B$9</x:f>
        <x:v>2.0461808154157985</x:v>
      </x:c>
      <x:c r="AC11" s="15" t="n">
        <x:f aca="0">'02_INPUTS'!$B$4*O11</x:f>
        <x:v>6.4633273023148226</x:v>
      </x:c>
      <x:c r="AD11" s="15" t="n">
        <x:f aca="0">SUM(Y11:AC11)</x:f>
        <x:v>1300.0000000000005</x:v>
      </x:c>
      <x:c r="AE11" s="15" t="n">
        <x:f aca="0">100*Y11/'02_INPUTS'!$B$4</x:f>
        <x:v>98.69080419966436</x:v>
      </x:c>
      <x:c r="AF11" s="15" t="n">
        <x:f aca="0">-10*LOG10(Y11/'02_INPUTS'!$B$4)</x:f>
        <x:v>0.0572331208617131</x:v>
      </x:c>
      <x:c r="AG11" s="15" t="n">
        <x:f aca="0">-10*LOG10(Z11/'02_INPUTS'!$B$4)</x:f>
        <x:v>35.7769006209065</x:v>
      </x:c>
      <x:c r="AH11" s="15" t="n">
        <x:f aca="0">-10*LOG10(O11)</x:f>
        <x:v>23.0348720319369</x:v>
      </x:c>
    </x:row>
    <x:row r="12" ht="14.899999618530273" hidden="0">
      <x:c r="A12" s="15" t="n">
        <x:f aca="0">'02_INPUTS'!B19</x:f>
        <x:v>30</x:v>
      </x:c>
      <x:c r="B12" s="15" t="n">
        <x:f aca="0">1/(2*PI()*A12*1000000*'02_INPUTS'!$B$7*0.000000000001)</x:f>
        <x:v>294.73008967203265</x:v>
      </x:c>
      <x:c r="C12" s="15" t="n">
        <x:f aca="0">1/(2*PI()*A12*1000000*'02_INPUTS'!$B$8*0.000000000001)</x:f>
        <x:v>1178.92550438441</x:v>
      </x:c>
      <x:c r="D12" s="15" t="n">
        <x:f aca="0">(1/'02_INPUTS'!$B$5)/((1/'02_INPUTS'!$B$5)^2+(1/C12)^2)</x:f>
        <x:v>49.91022471188404</x:v>
      </x:c>
      <x:c r="E12" s="15" t="n">
        <x:f aca="0">-(1/C12)/((1/'02_INPUTS'!$B$5)^2+(1/C12)^2)</x:f>
        <x:v>-2.1167675364672536</x:v>
      </x:c>
      <x:c r="F12" s="15" t="n">
        <x:f aca="0">D12+'02_INPUTS'!$B$6</x:f>
        <x:v>50.22822471188404</x:v>
      </x:c>
      <x:c r="G12" s="15" t="n">
        <x:f aca="0">E12</x:f>
        <x:v>-2.1167675364672536</x:v>
      </x:c>
      <x:c r="H12" s="15" t="n">
        <x:f aca="0">('02_INPUTS'!$B$5*'02_INPUTS'!$B$9)/('02_INPUTS'!$B$5+'02_INPUTS'!$B$9)</x:f>
        <x:v>7.191780821917808</x:v>
      </x:c>
      <x:c r="I12" s="15" t="n">
        <x:f aca="0">H12</x:f>
        <x:v>7.191780821917808</x:v>
      </x:c>
      <x:c r="J12" s="15" t="n">
        <x:f aca="0">-B12</x:f>
        <x:v>-294.73008967203265</x:v>
      </x:c>
      <x:c r="K12" s="15" t="n">
        <x:f aca="0">F12/(F12^2+G12^2)+I12/(I12^2+J12^2)</x:f>
        <x:v>0.01995657093292183</x:v>
      </x:c>
      <x:c r="L12" s="15" t="n">
        <x:f aca="0">-G12/(F12^2+G12^2)-J12/(I12^2+J12^2)</x:f>
        <x:v>0.004228458389830297</x:v>
      </x:c>
      <x:c r="M12" s="15" t="n">
        <x:f aca="0">K12/(K12^2+L12^2)</x:f>
        <x:v>47.95585888162905</x:v>
      </x:c>
      <x:c r="N12" s="15" t="n">
        <x:f aca="0">-L12/(K12^2+L12^2)</x:f>
        <x:v>-10.16103189827178</x:v>
      </x:c>
      <x:c r="O12" s="15" t="n">
        <x:f aca="0">((M12-'02_INPUTS'!$B$5)^2+N12^2)/((M12+'02_INPUTS'!$B$5)^2+N12^2)</x:f>
        <x:v>0.011076352973227857</x:v>
      </x:c>
      <x:c r="P12" s="15" t="n">
        <x:f aca="0">SQRT((4*'02_INPUTS'!$B$4*'02_INPUTS'!$B$5)*(M12^2+N12^2)/(('02_INPUTS'!$B$5+M12)^2+N12^2))</x:f>
        <x:v>253.81079943973037</x:v>
      </x:c>
      <x:c r="Q12" s="15" t="n">
        <x:f aca="0">P12/SQRT(F12^2+G12^2)</x:f>
        <x:v>5.048669601194284</x:v>
      </x:c>
      <x:c r="R12" s="15" t="n">
        <x:f aca="0">P12/SQRT(I12^2+J12^2)</x:f>
        <x:v>0.8609072502435964</x:v>
      </x:c>
      <x:c r="S12" s="15" t="n">
        <x:f aca="0">Q12*SQRT(D12^2+E12^2)</x:f>
        <x:v>252.2067553585888</x:v>
      </x:c>
      <x:c r="T12" s="15" t="n">
        <x:f aca="0">R12*H12</x:f>
        <x:v>6.191456251751892</x:v>
      </x:c>
      <x:c r="U12" s="15" t="n">
        <x:f aca="0">S12/'02_INPUTS'!$B$5</x:f>
        <x:v>5.044135107171776</x:v>
      </x:c>
      <x:c r="V12" s="15" t="n">
        <x:f aca="0">S12/C12</x:f>
        <x:v>0.2139293402514704</x:v>
      </x:c>
      <x:c r="W12" s="15" t="n">
        <x:f aca="0">T12/'02_INPUTS'!$B$5</x:f>
        <x:v>0.12382912503503783</x:v>
      </x:c>
      <x:c r="X12" s="15" t="n">
        <x:f aca="0">T12/'02_INPUTS'!$B$9</x:f>
        <x:v>0.7370781252085585</x:v>
      </x:c>
      <x:c r="Y12" s="15" t="n">
        <x:f aca="0">S12^2/'02_INPUTS'!$B$5</x:f>
        <x:v>1272.164948970141</x:v>
      </x:c>
      <x:c r="Z12" s="15" t="n">
        <x:f aca="0">T12^2/'02_INPUTS'!$B$5</x:f>
        <x:v>0.7666826103471517</x:v>
      </x:c>
      <x:c r="AA12" s="15" t="n">
        <x:f aca="0">Q12^2*'02_INPUTS'!$B$6</x:f>
        <x:v>8.105522587963394</x:v>
      </x:c>
      <x:c r="AB12" s="15" t="n">
        <x:f aca="0">X12^2*'02_INPUTS'!$B$9</x:f>
        <x:v>4.563586966352093</x:v>
      </x:c>
      <x:c r="AC12" s="15" t="n">
        <x:f aca="0">'02_INPUTS'!$B$4*O12</x:f>
        <x:v>14.399258865196215</x:v>
      </x:c>
      <x:c r="AD12" s="15" t="n">
        <x:f aca="0">SUM(Y12:AC12)</x:f>
        <x:v>1300</x:v>
      </x:c>
      <x:c r="AE12" s="15" t="n">
        <x:f aca="0">100*Y12/'02_INPUTS'!$B$4</x:f>
        <x:v>97.85884222847238</x:v>
      </x:c>
      <x:c r="AF12" s="15" t="n">
        <x:f aca="0">-10*LOG10(Y12/'02_INPUTS'!$B$4)</x:f>
        <x:v>0.09399926699523639</x:v>
      </x:c>
      <x:c r="AG12" s="15" t="n">
        <x:f aca="0">-10*LOG10(Z12/'02_INPUTS'!$B$4)</x:f>
        <x:v>32.2932773946918</x:v>
      </x:c>
      <x:c r="AH12" s="15" t="n">
        <x:f aca="0">-10*LOG10(O12)</x:f>
        <x:v>19.5560321292262</x:v>
      </x:c>
    </x:row>
    <x:row r="13" ht="14.899999618530273" hidden="0">
      <x:c r="A13" s="15" t="n">
        <x:f aca="0">'02_INPUTS'!B20</x:f>
        <x:v>39</x:v>
      </x:c>
      <x:c r="B13" s="15" t="n">
        <x:f aca="0">1/(2*PI()*A13*1000000*'02_INPUTS'!$B$7*0.000000000001)</x:f>
        <x:v>226.71545359387127</x:v>
      </x:c>
      <x:c r="C13" s="15" t="n">
        <x:f aca="0">1/(2*PI()*A13*1000000*'02_INPUTS'!$B$8*0.000000000001)</x:f>
        <x:v>906.8657726033923</x:v>
      </x:c>
      <x:c r="D13" s="15" t="n">
        <x:f aca="0">(1/'02_INPUTS'!$B$5)/((1/'02_INPUTS'!$B$5)^2+(1/C13)^2)</x:f>
        <x:v>49.848467496547386</x:v>
      </x:c>
      <x:c r="E13" s="15" t="n">
        <x:f aca="0">-(1/C13)/((1/'02_INPUTS'!$B$5)^2+(1/C13)^2)</x:f>
        <x:v>-2.748392816361593</x:v>
      </x:c>
      <x:c r="F13" s="15" t="n">
        <x:f aca="0">D13+'02_INPUTS'!$B$6</x:f>
        <x:v>50.166467496547384</x:v>
      </x:c>
      <x:c r="G13" s="15" t="n">
        <x:f aca="0">E13</x:f>
        <x:v>-2.748392816361593</x:v>
      </x:c>
      <x:c r="H13" s="15" t="n">
        <x:f aca="0">('02_INPUTS'!$B$5*'02_INPUTS'!$B$9)/('02_INPUTS'!$B$5+'02_INPUTS'!$B$9)</x:f>
        <x:v>7.191780821917808</x:v>
      </x:c>
      <x:c r="I13" s="15" t="n">
        <x:f aca="0">H13</x:f>
        <x:v>7.191780821917808</x:v>
      </x:c>
      <x:c r="J13" s="15" t="n">
        <x:f aca="0">-B13</x:f>
        <x:v>-226.71545359387127</x:v>
      </x:c>
      <x:c r="K13" s="15" t="n">
        <x:f aca="0">F13/(F13^2+G13^2)+I13/(I13^2+J13^2)</x:f>
        <x:v>0.020013760807809637</x:v>
      </x:c>
      <x:c r="L13" s="15" t="n">
        <x:f aca="0">-G13/(F13^2+G13^2)-J13/(I13^2+J13^2)</x:f>
        <x:v>0.00549518661107706</x:v>
      </x:c>
      <x:c r="M13" s="15" t="n">
        <x:f aca="0">K13/(K13^2+L13^2)</x:f>
        <x:v>46.46283873610911</x:v>
      </x:c>
      <x:c r="N13" s="15" t="n">
        <x:f aca="0">-L13/(K13^2+L13^2)</x:f>
        <x:v>-12.757320914701314</x:v>
      </x:c>
      <x:c r="O13" s="15" t="n">
        <x:f aca="0">((M13-'02_INPUTS'!$B$5)^2+N13^2)/((M13+'02_INPUTS'!$B$5)^2+N13^2)</x:f>
        <x:v>0.018511187316019924</x:v>
      </x:c>
      <x:c r="P13" s="15" t="n">
        <x:f aca="0">SQRT((4*'02_INPUTS'!$B$4*'02_INPUTS'!$B$5)*(M13^2+N13^2)/(('02_INPUTS'!$B$5+M13)^2+N13^2))</x:f>
        <x:v>252.4933825837283</x:v>
      </x:c>
      <x:c r="Q13" s="15" t="n">
        <x:f aca="0">P13/SQRT(F13^2+G13^2)</x:f>
        <x:v>5.025574320227802</x:v>
      </x:c>
      <x:c r="R13" s="15" t="n">
        <x:f aca="0">P13/SQRT(I13^2+J13^2)</x:f>
        <x:v>1.1131417698092843</x:v>
      </x:c>
      <x:c r="S13" s="15" t="n">
        <x:f aca="0">Q13*SQRT(D13^2+E13^2)</x:f>
        <x:v>250.89765815003668</x:v>
      </x:c>
      <x:c r="T13" s="15" t="n">
        <x:f aca="0">R13*H13</x:f>
        <x:v>8.005471632190059</x:v>
      </x:c>
      <x:c r="U13" s="15" t="n">
        <x:f aca="0">S13/'02_INPUTS'!$B$5</x:f>
        <x:v>5.017953163000733</x:v>
      </x:c>
      <x:c r="V13" s="15" t="n">
        <x:f aca="0">S13/C13</x:f>
        <x:v>0.2766646021161105</x:v>
      </x:c>
      <x:c r="W13" s="15" t="n">
        <x:f aca="0">T13/'02_INPUTS'!$B$5</x:f>
        <x:v>0.16010943264380118</x:v>
      </x:c>
      <x:c r="X13" s="15" t="n">
        <x:f aca="0">T13/'02_INPUTS'!$B$9</x:f>
        <x:v>0.9530323371654831</x:v>
      </x:c>
      <x:c r="Y13" s="15" t="n">
        <x:f aca="0">S13^2/'02_INPUTS'!$B$5</x:f>
        <x:v>1258.9926973034533</x:v>
      </x:c>
      <x:c r="Z13" s="15" t="n">
        <x:f aca="0">T13^2/'02_INPUTS'!$B$5</x:f>
        <x:v>1.2817515210759953</x:v>
      </x:c>
      <x:c r="AA13" s="15" t="n">
        <x:f aca="0">Q13^2*'02_INPUTS'!$B$6</x:f>
        <x:v>8.031534324906337</x:v>
      </x:c>
      <x:c r="AB13" s="15" t="n">
        <x:f aca="0">X13^2*'02_INPUTS'!$B$9</x:f>
        <x:v>7.629473339738066</x:v>
      </x:c>
      <x:c r="AC13" s="15" t="n">
        <x:f aca="0">'02_INPUTS'!$B$4*O13</x:f>
        <x:v>24.0645435108259</x:v>
      </x:c>
      <x:c r="AD13" s="15" t="n">
        <x:f aca="0">SUM(Y13:AC13)</x:f>
        <x:v>1299.9999999999995</x:v>
      </x:c>
      <x:c r="AE13" s="15" t="n">
        <x:f aca="0">100*Y13/'02_INPUTS'!$B$4</x:f>
        <x:v>96.84559210026563</x:v>
      </x:c>
      <x:c r="AF13" s="15" t="n">
        <x:f aca="0">-10*LOG10(Y13/'02_INPUTS'!$B$4)</x:f>
        <x:v>0.139201412855598</x:v>
      </x:c>
      <x:c r="AG13" s="15" t="n">
        <x:f aca="0">-10*LOG10(Z13/'02_INPUTS'!$B$4)</x:f>
        <x:v>30.061395108095603</x:v>
      </x:c>
      <x:c r="AH13" s="15" t="n">
        <x:f aca="0">-10*LOG10(O13)</x:f>
        <x:v>17.3256572450703</x:v>
      </x:c>
    </x:row>
    <x:row r="14" ht="13.800000190734863" hidden="0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  <x:c r="AE14" s="14"/>
      <x:c r="AF14" s="14"/>
      <x:c r="AG14" s="14"/>
      <x:c r="AH14" s="14"/>
    </x:row>
    <x:row r="15" ht="13.800000190734863" hidden="0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/>
      <x:c r="AF15" s="14"/>
      <x:c r="AG15" s="14"/>
      <x:c r="AH15" s="14"/>
    </x:row>
    <x:row r="16" ht="13.800000190734863" hidden="0">
      <x:c r="A16" s="16" t="s">
        <x:v>138</x:v>
      </x:c>
      <x:c r="B16" s="16"/>
      <x:c r="C16" s="16"/>
      <x:c r="D16" s="16"/>
      <x:c r="E16" s="16"/>
      <x:c r="F16" s="16"/>
      <x:c r="G16" s="16"/>
      <x:c r="H16" s="16"/>
      <x:c r="I16" s="14"/>
      <x:c r="J16" s="16" t="s">
        <x:v>139</x:v>
      </x:c>
      <x:c r="K16" s="16"/>
      <x:c r="L16" s="16"/>
      <x:c r="M16" s="16"/>
      <x:c r="N16" s="16"/>
      <x:c r="O16" s="16"/>
      <x:c r="P16" s="16"/>
      <x:c r="Q16" s="16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  <x:c r="AE16" s="14"/>
      <x:c r="AF16" s="14"/>
      <x:c r="AG16" s="14"/>
      <x:c r="AH16" s="14"/>
    </x:row>
    <x:row r="17" ht="14.899999618530273" hidden="0">
      <x:c r="A17" s="7" t="s">
        <x:v>140</x:v>
      </x:c>
      <x:c r="B17" s="7" t="s">
        <x:v>141</x:v>
      </x:c>
      <x:c r="C17" s="7" t="s">
        <x:v>142</x:v>
      </x:c>
      <x:c r="D17" s="14"/>
      <x:c r="E17" s="14"/>
      <x:c r="F17" s="14"/>
      <x:c r="G17" s="14"/>
      <x:c r="H17" s="14"/>
      <x:c r="I17" s="14"/>
      <x:c r="J17" s="7" t="s">
        <x:v>143</x:v>
      </x:c>
      <x:c r="K17" s="7" t="s">
        <x:v>23</x:v>
      </x:c>
      <x:c r="L17" s="7" t="s">
        <x:v>142</x:v>
      </x:c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  <x:c r="AE17" s="14"/>
      <x:c r="AF17" s="14"/>
      <x:c r="AG17" s="14"/>
      <x:c r="AH17" s="14"/>
    </x:row>
    <x:row r="18" ht="13.800000190734863" hidden="0">
      <x:c r="A18" s="14" t="s">
        <x:v>144</x:v>
      </x:c>
      <x:c r="B18" s="17" t="n">
        <x:f aca="0">Y12</x:f>
        <x:v>1272.164948970141</x:v>
      </x:c>
      <x:c r="C18" s="14" t="s">
        <x:v>145</x:v>
      </x:c>
      <x:c r="D18" s="14"/>
      <x:c r="E18" s="14"/>
      <x:c r="F18" s="14"/>
      <x:c r="G18" s="14"/>
      <x:c r="H18" s="14"/>
      <x:c r="I18" s="14"/>
      <x:c r="J18" s="14" t="s">
        <x:v>146</x:v>
      </x:c>
      <x:c r="K18" s="17" t="n">
        <x:f aca="0">T12</x:f>
        <x:v>6.191456251751892</x:v>
      </x:c>
      <x:c r="L18" s="14" t="s">
        <x:v>147</x:v>
      </x:c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</x:row>
    <x:row r="19" ht="13.800000190734863" hidden="0">
      <x:c r="A19" s="14" t="s">
        <x:v>148</x:v>
      </x:c>
      <x:c r="B19" s="17" t="n">
        <x:f aca="0">Z12</x:f>
        <x:v>0.7666826103471517</x:v>
      </x:c>
      <x:c r="C19" s="14" t="s">
        <x:v>149</x:v>
      </x:c>
      <x:c r="D19" s="14"/>
      <x:c r="E19" s="14"/>
      <x:c r="F19" s="14"/>
      <x:c r="G19" s="14"/>
      <x:c r="H19" s="14"/>
      <x:c r="I19" s="14"/>
      <x:c r="J19" s="14" t="s">
        <x:v>150</x:v>
      </x:c>
      <x:c r="K19" s="17" t="n">
        <x:f aca="0">R12</x:f>
        <x:v>0.8609072502435964</x:v>
      </x:c>
      <x:c r="L19" s="14" t="s">
        <x:v>151</x:v>
      </x:c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</x:row>
    <x:row r="20" ht="13.800000190734863" hidden="0">
      <x:c r="A20" s="14" t="s">
        <x:v>152</x:v>
      </x:c>
      <x:c r="B20" s="17" t="n">
        <x:f aca="0">AA12</x:f>
        <x:v>8.105522587963394</x:v>
      </x:c>
      <x:c r="C20" s="14" t="s">
        <x:v>153</x:v>
      </x:c>
      <x:c r="D20" s="14"/>
      <x:c r="E20" s="14"/>
      <x:c r="F20" s="14"/>
      <x:c r="G20" s="14"/>
      <x:c r="H20" s="14"/>
      <x:c r="I20" s="14"/>
      <x:c r="J20" s="14" t="s">
        <x:v>154</x:v>
      </x:c>
      <x:c r="K20" s="17" t="n">
        <x:f aca="0">W12</x:f>
        <x:v>0.12382912503503783</x:v>
      </x:c>
      <x:c r="L20" s="14" t="s">
        <x:v>155</x:v>
      </x:c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</x:row>
    <x:row r="21" ht="13.800000190734863" hidden="0">
      <x:c r="A21" s="14" t="s">
        <x:v>156</x:v>
      </x:c>
      <x:c r="B21" s="17" t="n">
        <x:f aca="0">AB12</x:f>
        <x:v>4.563586966352093</x:v>
      </x:c>
      <x:c r="C21" s="14" t="s">
        <x:v>157</x:v>
      </x:c>
      <x:c r="D21" s="14"/>
      <x:c r="E21" s="14"/>
      <x:c r="F21" s="14"/>
      <x:c r="G21" s="14"/>
      <x:c r="H21" s="14"/>
      <x:c r="I21" s="14"/>
      <x:c r="J21" s="14" t="s">
        <x:v>158</x:v>
      </x:c>
      <x:c r="K21" s="17" t="n">
        <x:f aca="0">X12</x:f>
        <x:v>0.7370781252085585</x:v>
      </x:c>
      <x:c r="L21" s="14" t="s">
        <x:v>159</x:v>
      </x:c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</x:row>
    <x:row r="22" ht="13.800000190734863" hidden="0">
      <x:c r="A22" s="14" t="s">
        <x:v>160</x:v>
      </x:c>
      <x:c r="B22" s="17" t="n">
        <x:f aca="0">AC12</x:f>
        <x:v>14.399258865196215</x:v>
      </x:c>
      <x:c r="C22" s="14" t="s">
        <x:v>161</x:v>
      </x:c>
      <x:c r="D22" s="14"/>
      <x:c r="E22" s="14"/>
      <x:c r="F22" s="14"/>
      <x:c r="G22" s="14"/>
      <x:c r="H22" s="14"/>
      <x:c r="I22" s="14"/>
      <x:c r="J22" s="14" t="s">
        <x:v>162</x:v>
      </x:c>
      <x:c r="K22" s="17" t="n">
        <x:f aca="0">S12</x:f>
        <x:v>252.2067553585888</x:v>
      </x:c>
      <x:c r="L22" s="14" t="s">
        <x:v>163</x:v>
      </x:c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</x:row>
    <x:row r="23" ht="13.800000190734863" hidden="0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 t="s">
        <x:v>164</x:v>
      </x:c>
      <x:c r="K23" s="17" t="n">
        <x:f aca="0">V12</x:f>
        <x:v>0.2139293402514704</x:v>
      </x:c>
      <x:c r="L23" s="14" t="s">
        <x:v>165</x:v>
      </x:c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</x:row>
    <x:row r="24" ht="13.800000190734863" hidden="0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</x:row>
    <x:row r="25" ht="13.800000190734863" hidden="0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</x:row>
    <x:row r="26" ht="13.800000190734863" hidden="0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</x:row>
    <x:row r="27" ht="13.800000190734863" hidden="0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  <x:c r="AE27" s="14"/>
      <x:c r="AF27" s="14"/>
      <x:c r="AG27" s="14"/>
      <x:c r="AH27" s="14"/>
    </x:row>
    <x:row r="28" ht="13.800000190734863" hidden="0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  <x:c r="AE28" s="14"/>
      <x:c r="AF28" s="14"/>
      <x:c r="AG28" s="14"/>
      <x:c r="AH28" s="14"/>
    </x:row>
    <x:row r="29" ht="13.800000190734863" hidden="0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/>
      <x:c r="AF29" s="14"/>
      <x:c r="AG29" s="14"/>
      <x:c r="AH29" s="14"/>
    </x:row>
    <x:row r="30" ht="13.800000190734863" hidden="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/>
      <x:c r="AH30" s="14"/>
    </x:row>
    <x:row r="31" ht="13.800000190734863" hidden="0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  <x:c r="AE31" s="14"/>
      <x:c r="AF31" s="14"/>
      <x:c r="AG31" s="14"/>
      <x:c r="AH31" s="14"/>
    </x:row>
    <x:row r="32" ht="13.800000190734863" hidden="0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</x:row>
    <x:row r="33" ht="13.800000190734863" hidden="0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  <x:c r="AE33" s="14"/>
      <x:c r="AF33" s="14"/>
      <x:c r="AG33" s="14"/>
      <x:c r="AH33" s="14"/>
    </x:row>
    <x:row r="34" ht="13.800000190734863" hidden="0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  <x:c r="AE34" s="14"/>
      <x:c r="AF34" s="14"/>
      <x:c r="AG34" s="14"/>
      <x:c r="AH34" s="14"/>
    </x:row>
    <x:row r="35" ht="13.800000190734863" hidden="0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</x:row>
    <x:row r="36" ht="13.800000190734863" hidden="0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/>
      <x:c r="AF36" s="14"/>
      <x:c r="AG36" s="14"/>
      <x:c r="AH36" s="14"/>
    </x:row>
    <x:row r="37" ht="13.800000190734863" hidden="0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  <x:c r="AE37" s="14"/>
      <x:c r="AF37" s="14"/>
      <x:c r="AG37" s="14"/>
      <x:c r="AH37" s="14"/>
    </x:row>
    <x:row r="38" ht="13.800000190734863" hidden="0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  <x:c r="AE38" s="14"/>
      <x:c r="AF38" s="14"/>
      <x:c r="AG38" s="14"/>
      <x:c r="AH38" s="14"/>
    </x:row>
    <x:row r="39" ht="13.800000190734863" hidden="0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  <x:c r="AE39" s="14"/>
      <x:c r="AF39" s="14"/>
      <x:c r="AG39" s="14"/>
      <x:c r="AH39" s="14"/>
    </x:row>
    <x:row r="40" ht="13.800000190734863" hidden="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  <x:c r="AE40" s="14"/>
      <x:c r="AF40" s="14"/>
      <x:c r="AG40" s="14"/>
      <x:c r="AH40" s="14"/>
    </x:row>
    <x:row r="41" ht="13.800000190734863" hidden="0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  <x:c r="AE41" s="14"/>
      <x:c r="AF41" s="14"/>
      <x:c r="AG41" s="14"/>
      <x:c r="AH41" s="14"/>
    </x:row>
    <x:row r="42" ht="13.800000190734863" hidden="0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  <x:c r="AE42" s="14"/>
      <x:c r="AF42" s="14"/>
      <x:c r="AG42" s="14"/>
      <x:c r="AH42" s="14"/>
    </x:row>
    <x:row r="43" ht="13.800000190734863" hidden="0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/>
      <x:c r="AF43" s="14"/>
      <x:c r="AG43" s="14"/>
      <x:c r="AH43" s="14"/>
    </x:row>
    <x:row r="44" ht="13.800000190734863" hidden="0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  <x:c r="AE44" s="14"/>
      <x:c r="AF44" s="14"/>
      <x:c r="AG44" s="14"/>
      <x:c r="AH44" s="14"/>
    </x:row>
    <x:row r="45" ht="13.800000190734863" hidden="0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  <x:c r="AE45" s="14"/>
      <x:c r="AF45" s="14"/>
      <x:c r="AG45" s="14"/>
      <x:c r="AH45" s="14"/>
    </x:row>
    <x:row r="46" ht="13.800000190734863" hidden="0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  <x:c r="AE46" s="14"/>
      <x:c r="AF46" s="14"/>
      <x:c r="AG46" s="14"/>
      <x:c r="AH46" s="14"/>
    </x:row>
    <x:row r="47" ht="13.800000190734863" hidden="0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  <x:c r="AE47" s="14"/>
      <x:c r="AF47" s="14"/>
      <x:c r="AG47" s="14"/>
      <x:c r="AH47" s="14"/>
    </x:row>
    <x:row r="48" ht="13.800000190734863" hidden="0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  <x:c r="AE48" s="14"/>
      <x:c r="AF48" s="14"/>
      <x:c r="AG48" s="14"/>
      <x:c r="AH48" s="14"/>
    </x:row>
    <x:row r="49" ht="13.800000190734863" hidden="0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  <x:c r="AE49" s="14"/>
      <x:c r="AF49" s="14"/>
      <x:c r="AG49" s="14"/>
      <x:c r="AH49" s="14"/>
    </x:row>
    <x:row r="50" ht="13.800000190734863" hidden="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/>
      <x:c r="AF50" s="14"/>
      <x:c r="AG50" s="14"/>
      <x:c r="AH50" s="14"/>
    </x:row>
    <x:row r="51" ht="13.800000190734863" hidden="0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  <x:c r="AE51" s="14"/>
      <x:c r="AF51" s="14"/>
      <x:c r="AG51" s="14"/>
      <x:c r="AH51" s="14"/>
    </x:row>
    <x:row r="52" ht="13.800000190734863" hidden="0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  <x:c r="AE52" s="14"/>
      <x:c r="AF52" s="14"/>
      <x:c r="AG52" s="14"/>
      <x:c r="AH52" s="14"/>
    </x:row>
    <x:row r="53" ht="13.800000190734863" hidden="0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  <x:c r="AE53" s="14"/>
      <x:c r="AF53" s="14"/>
      <x:c r="AG53" s="14"/>
      <x:c r="AH53" s="14"/>
    </x:row>
    <x:row r="54" ht="13.800000190734863" hidden="0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  <x:c r="AE54" s="14"/>
      <x:c r="AF54" s="14"/>
      <x:c r="AG54" s="14"/>
      <x:c r="AH54" s="14"/>
    </x:row>
    <x:row r="55" ht="13.800000190734863" hidden="0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  <x:c r="AE55" s="14"/>
      <x:c r="AF55" s="14"/>
      <x:c r="AG55" s="14"/>
      <x:c r="AH55" s="14"/>
    </x:row>
    <x:row r="56" ht="13.800000190734863" hidden="0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  <x:c r="AE56" s="14"/>
      <x:c r="AF56" s="14"/>
      <x:c r="AG56" s="14"/>
      <x:c r="AH56" s="14"/>
    </x:row>
    <x:row r="57" ht="13.800000190734863" hidden="0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  <x:c r="AE57" s="14"/>
      <x:c r="AF57" s="14"/>
      <x:c r="AG57" s="14"/>
      <x:c r="AH57" s="14"/>
    </x:row>
    <x:row r="58" ht="13.800000190734863" hidden="0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  <x:c r="AE58" s="14"/>
      <x:c r="AF58" s="14"/>
      <x:c r="AG58" s="14"/>
      <x:c r="AH58" s="14"/>
    </x:row>
    <x:row r="59" ht="13.800000190734863" hidden="0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  <x:c r="AE59" s="14"/>
      <x:c r="AF59" s="14"/>
      <x:c r="AG59" s="14"/>
      <x:c r="AH59" s="14"/>
    </x:row>
    <x:row r="60" ht="13.800000190734863" hidden="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  <x:c r="AE60" s="14"/>
      <x:c r="AF60" s="14"/>
      <x:c r="AG60" s="14"/>
      <x:c r="AH60" s="14"/>
    </x:row>
    <x:row r="61" ht="12.800000190734863" hidden="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</x:row>
  </x:sheetData>
  <x:mergeCells>
    <x:mergeCell ref="A1:AE1"/>
    <x:mergeCell ref="A3:AE4"/>
    <x:mergeCell ref="A16:H16"/>
    <x:mergeCell ref="J16:Q16"/>
  </x:mergeCells>
  <x:conditionalFormatting sqref="Y7:Y13">
    <x:cfRule type="dataBar" priority="2">
      <x:dataBar minLength="10" maxLength="90" showValue="1"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{51DA55C0-36B7-45E1-AE85-35798A107E39}</x14:id>
        </x:ext>
      </x:extLst>
    </x:cfRule>
  </x:conditionalFormatting>
  <x:conditionalFormatting sqref="Z7:Z13">
    <x:cfRule type="dataBar" priority="3">
      <x:dataBar minLength="10" maxLength="90" showValue="1"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{D2E72F34-9453-412F-B7FD-B34C12FDDC12}</x14:id>
        </x:ext>
      </x:extLst>
    </x:cfRule>
  </x:conditionalFormatting>
  <x:conditionalFormatting sqref="AG7:AG13">
    <x:cfRule type="colorScale" priority="4">
      <x:colorScale>
        <x:cfvo type="min" val="0"/>
        <x:cfvo type="percentile" val="50"/>
        <x:cfvo type="max" val="0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5daddbe9095348e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1DA55C0-36B7-45E1-AE85-35798A107E39}">
            <x14:dataBar minLength="10" maxLength="90" showValue="1" gradient="1">
              <x14:cfvo type="min"/>
              <x14:cfvo type="max"/>
              <x14:fillColor rgb="FFA02B93"/>
              <x14:negativeFillColor rgb="FFFF0000"/>
              <x14:axisColor rgb="FF000000"/>
            </x14:dataBar>
          </x14:cfRule>
          <xm:sqref>Y7:Y13</xm:sqref>
        </x14:conditionalFormatting>
        <x14:conditionalFormatting>
          <x14:cfRule type="dataBar" priority="3" id="{D2E72F34-9453-412F-B7FD-B34C12FDDC12}">
            <x14:dataBar minLength="10" maxLength="90" showValue="1" gradient="1">
              <x14:cfvo type="min"/>
              <x14:cfvo type="max"/>
              <x14:fillColor rgb="FFE97132"/>
              <x14:negativeFillColor rgb="FFFF0000"/>
              <x14:axisColor rgb="FF000000"/>
            </x14:dataBar>
          </x14:cfRule>
          <xm:sqref>Z7:Z13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2.800000190734863"/>
  <x:cols>
    <x:col min="1" max="1" width="10" hidden="0" customWidth="1"/>
    <x:col min="2" max="3" width="18" hidden="0" customWidth="1"/>
    <x:col min="4" max="4" width="16" hidden="0" customWidth="1"/>
    <x:col min="5" max="6" width="17" hidden="0" customWidth="1"/>
    <x:col min="7" max="7" width="20" hidden="0" customWidth="1"/>
    <x:col min="8" max="9" width="16" hidden="0" customWidth="1"/>
    <x:col min="10" max="10" width="17" hidden="0" customWidth="1"/>
    <x:col min="11" max="12" width="16" hidden="0" customWidth="1"/>
    <x:col min="13" max="14" width="18" hidden="0" customWidth="1"/>
    <x:col min="15" max="15" width="3" hidden="0" customWidth="1"/>
    <x:col min="16" max="16" width="12" hidden="0" customWidth="1"/>
    <x:col min="17" max="18" width="18" hidden="0" customWidth="1"/>
    <x:col min="19" max="19" width="3" hidden="0" customWidth="1"/>
    <x:col min="20" max="20" width="12" hidden="0" customWidth="1"/>
    <x:col min="21" max="22" width="17" hidden="0" customWidth="1"/>
  </x:cols>
  <x:sheetData>
    <x:row r="1" ht="12.800000190734863" hidden="0">
      <x:c r="A1" s="8" t="s">
        <x:v>166</x:v>
      </x:c>
    </x:row>
    <x:row r="2" ht="12.800000190734863" hidden="0">
      <x:c r="A2" s="8" t="s">
        <x:v>167</x:v>
      </x:c>
    </x:row>
    <x:row r="3" ht="12.800000190734863" hidden="0">
      <x:c r="A3" s="8" t="s">
        <x:v>22</x:v>
      </x:c>
      <x:c r="B3" s="18" t="s">
        <x:v>168</x:v>
      </x:c>
      <x:c r="C3" s="18" t="s">
        <x:v>169</x:v>
      </x:c>
      <x:c r="D3" s="18" t="s">
        <x:v>170</x:v>
      </x:c>
      <x:c r="E3" s="18" t="s">
        <x:v>24</x:v>
      </x:c>
    </x:row>
    <x:row r="4" ht="12.800000190734863" hidden="0">
      <x:c r="A4" s="8" t="s">
        <x:v>171</x:v>
      </x:c>
      <x:c r="B4" s="18" t="n">
        <x:v>16</x:v>
      </x:c>
      <x:c r="C4" s="18" t="n">
        <x:v>4</x:v>
      </x:c>
      <x:c r="D4" s="18" t="n">
        <x:v>12</x:v>
      </x:c>
      <x:c r="E4" s="18" t="s">
        <x:v>44</x:v>
      </x:c>
    </x:row>
    <x:row r="5" ht="12.800000190734863" hidden="0">
      <x:c r="A5" s="8" t="s">
        <x:v>172</x:v>
      </x:c>
      <x:c r="B5" s="18" t="n">
        <x:v>30</x:v>
      </x:c>
      <x:c r="C5" s="18" t="n">
        <x:v>18</x:v>
      </x:c>
      <x:c r="D5" s="18" t="n">
        <x:v>12</x:v>
      </x:c>
      <x:c r="E5" s="18" t="s">
        <x:v>44</x:v>
      </x:c>
    </x:row>
    <x:row r="6" ht="12.800000190734863" hidden="0">
      <x:c r="A6" s="8" t="s">
        <x:v>173</x:v>
      </x:c>
      <x:c r="B6" s="18" t="n">
        <x:v>0.25</x:v>
      </x:c>
      <x:c r="C6" s="18" t="n">
        <x:v>1</x:v>
      </x:c>
      <x:c r="D6" s="18" t="n">
        <x:v>-0.75</x:v>
      </x:c>
      <x:c r="E6" s="18" t="s">
        <x:v>174</x:v>
      </x:c>
    </x:row>
    <x:row r="7" ht="12.800000190734863" hidden="0">
      <x:c r="A7" s="8" t="s">
        <x:v>175</x:v>
      </x:c>
    </x:row>
  </x:sheetData>
  <x:conditionalFormatting sqref="D7:D12">
    <x:cfRule type="colorScale" priority="2">
      <x:colorScale>
        <x:cfvo type="min" val="0"/>
        <x:cfvo type="percentile" val="50"/>
        <x:cfvo type="max" val="0"/>
        <x:color rgb="FFF4CCCC"/>
        <x:color rgb="FFFFF2CC"/>
        <x:color rgb="FFD9EAD3"/>
      </x:colorScale>
    </x:cfRule>
  </x:conditionalFormatting>
  <x:conditionalFormatting sqref="G7:G12">
    <x:cfRule type="dataBar" priority="3">
      <x:dataBar minLength="10" maxLength="90" showValue="1"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{90BFDEC0-6236-42E8-8DBA-891CB9F2CBD2}</x14:id>
        </x:ext>
      </x:extLst>
    </x:cfRule>
  </x:conditionalFormatting>
  <x:conditionalFormatting sqref="J7:J12">
    <x:cfRule type="dataBar" priority="4">
      <x:dataBar minLength="10" maxLength="90" showValue="1"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{6DBDCCF7-ED9D-46B2-A398-894B5BC974AB}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90BFDEC0-6236-42E8-8DBA-891CB9F2CBD2}">
            <x14:dataBar minLength="10" maxLength="90" showValue="1" gradient="1">
              <x14:cfvo type="min"/>
              <x14:cfvo type="max"/>
              <x14:fillColor rgb="FFA02B93"/>
              <x14:negativeFillColor rgb="FFFF0000"/>
              <x14:axisColor rgb="FF000000"/>
            </x14:dataBar>
          </x14:cfRule>
          <xm:sqref>G7:G12</xm:sqref>
        </x14:conditionalFormatting>
        <x14:conditionalFormatting>
          <x14:cfRule type="dataBar" priority="4" id="{6DBDCCF7-ED9D-46B2-A398-894B5BC974AB}">
            <x14:dataBar minLength="10" maxLength="90" showValue="1" gradient="1">
              <x14:cfvo type="min"/>
              <x14:cfvo type="max"/>
              <x14:fillColor rgb="FF4EA72E"/>
              <x14:negativeFillColor rgb="FFFF0000"/>
              <x14:axisColor rgb="FF000000"/>
            </x14:dataBar>
          </x14:cfRule>
          <xm:sqref>J7:J12</xm:sqref>
        </x14:conditionalFormatting>
      </x14:conditionalFormattings>
    </x:ext>
  </x:extLst>
</x:worksheet>
</file>